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Default Extension="svg" ContentType="image/svg+xml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5.xml" ContentType="application/vnd.openxmlformats-officedocument.spreadsheetml.comments+xml"/>
  <Override PartName="/xl/drawings/drawing5.xml" ContentType="application/vnd.openxmlformats-officedocument.drawing+xml"/>
  <Default Extension="vml" ContentType="application/vnd.openxmlformats-officedocument.vmlDrawing"/>
  <Override PartName="/xl/worksheets/sheet5.xml" ContentType="application/vnd.openxmlformats-officedocument.spreadsheetml.worksheet+xml"/>
  <Override PartName="/xl/comments6.xml" ContentType="application/vnd.openxmlformats-officedocument.spreadsheetml.comment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7.xml" ContentType="application/vnd.openxmlformats-officedocument.spreadsheetml.comments+xml"/>
  <Override PartName="/xl/drawings/drawing7.xml" ContentType="application/vnd.openxmlformats-officedocument.drawing+xml"/>
  <Override PartName="/xl/worksheets/sheet7.xml" ContentType="application/vnd.openxmlformats-officedocument.spreadsheetml.worksheet+xml"/>
  <Override PartName="/xl/drawings/drawing8.xml" ContentType="application/vnd.openxmlformats-officedocument.drawing+xml"/>
  <Override PartName="/xl/worksheets/sheet8.xml" ContentType="application/vnd.openxmlformats-officedocument.spreadsheetml.worksheet+xml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drawings/drawing10.xml" ContentType="application/vnd.openxmlformats-officedocument.drawing+xml"/>
  <Override PartName="/xl/worksheets/sheet10.xml" ContentType="application/vnd.openxmlformats-officedocument.spreadsheetml.worksheet+xml"/>
  <Override PartName="/xl/drawings/drawing11.xml" ContentType="application/vnd.openxmlformats-officedocument.drawing+xml"/>
  <Override PartName="/xl/worksheets/sheet11.xml" ContentType="application/vnd.openxmlformats-officedocument.spreadsheetml.worksheet+xml"/>
  <Override PartName="/xl/drawings/drawing12.xml" ContentType="application/vnd.openxmlformats-officedocument.drawing+xml"/>
  <Override PartName="/xl/worksheets/sheet12.xml" ContentType="application/vnd.openxmlformats-officedocument.spreadsheetml.worksheet+xml"/>
  <Override PartName="/xl/drawings/drawing13.xml" ContentType="application/vnd.openxmlformats-officedocument.drawing+xml"/>
  <Override PartName="/xl/worksheets/sheet13.xml" ContentType="application/vnd.openxmlformats-officedocument.spreadsheetml.worksheet+xml"/>
  <Override PartName="/xl/comments14.xml" ContentType="application/vnd.openxmlformats-officedocument.spreadsheetml.comments+xml"/>
  <Override PartName="/xl/drawings/drawing14.xml" ContentType="application/vnd.openxmlformats-officedocument.drawing+xml"/>
  <Override PartName="/xl/worksheets/sheet14.xml" ContentType="application/vnd.openxmlformats-officedocument.spreadsheetml.worksheet+xml"/>
  <Override PartName="/xl/drawings/drawing15.xml" ContentType="application/vnd.openxmlformats-officedocument.drawing+xml"/>
  <Override PartName="/xl/worksheets/sheet15.xml" ContentType="application/vnd.openxmlformats-officedocument.spreadsheetml.worksheet+xml"/>
  <Override PartName="/xl/comments16.xml" ContentType="application/vnd.openxmlformats-officedocument.spreadsheetml.comments+xml"/>
  <Override PartName="/xl/drawings/drawing16.xml" ContentType="application/vnd.openxmlformats-officedocument.drawing+xml"/>
  <Override PartName="/xl/worksheets/sheet16.xml" ContentType="application/vnd.openxmlformats-officedocument.spreadsheetml.worksheet+xml"/>
  <Override PartName="/xl/drawings/drawing17.xml" ContentType="application/vnd.openxmlformats-officedocument.drawing+xml"/>
  <Override PartName="/xl/worksheets/sheet17.xml" ContentType="application/vnd.openxmlformats-officedocument.spreadsheetml.worksheet+xml"/>
  <Override PartName="/xl/drawings/drawing18.xml" ContentType="application/vnd.openxmlformats-officedocument.drawing+xml"/>
  <Override PartName="/xl/worksheets/sheet18.xml" ContentType="application/vnd.openxmlformats-officedocument.spreadsheetml.worksheet+xml"/>
  <Override PartName="/xl/drawings/drawing19.xml" ContentType="application/vnd.openxmlformats-officedocument.drawing+xml"/>
  <Override PartName="/xl/worksheets/sheet19.xml" ContentType="application/vnd.openxmlformats-officedocument.spreadsheetml.worksheet+xml"/>
  <Override PartName="/xl/drawings/drawing20.xml" ContentType="application/vnd.openxmlformats-officedocument.drawing+xml"/>
  <Override PartName="/xl/worksheets/sheet20.xml" ContentType="application/vnd.openxmlformats-officedocument.spreadsheetml.worksheet+xml"/>
  <Override PartName="/xl/drawings/drawing21.xml" ContentType="application/vnd.openxmlformats-officedocument.drawing+xml"/>
  <Override PartName="/xl/worksheets/sheet21.xml" ContentType="application/vnd.openxmlformats-officedocument.spreadsheetml.worksheet+xml"/>
  <Override PartName="/xl/drawings/drawing22.xml" ContentType="application/vnd.openxmlformats-officedocument.drawing+xml"/>
  <Override PartName="/xl/worksheets/sheet22.xml" ContentType="application/vnd.openxmlformats-officedocument.spreadsheetml.worksheet+xml"/>
  <Override PartName="/xl/drawings/drawing23.xml" ContentType="application/vnd.openxmlformats-officedocument.drawing+xml"/>
  <Override PartName="/xl/worksheets/sheet23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7830"/>
  <workbookPr filterPrivacy="1" defaultThemeVersion="124226"/>
  <bookViews>
    <workbookView xWindow="-108" yWindow="-108" windowWidth="23256" windowHeight="12576" firstSheet="18" activeTab="18"/>
  </bookViews>
  <sheets>
    <sheet name="פתיח" sheetId="26" r:id="rId3"/>
    <sheet name="בית" sheetId="27" r:id="rId4"/>
    <sheet name="יעדי קבוצת בזק" sheetId="5" r:id="rId5"/>
    <sheet name="סביבה&gt;&gt;&gt;" sheetId="33" r:id="rId6"/>
    <sheet name="פליטות גזי חממה" sheetId="14" r:id="rId7"/>
    <sheet name="עצימות" sheetId="25" r:id="rId8"/>
    <sheet name="צריכת אנרגיה" sheetId="4" r:id="rId9"/>
    <sheet name="מים" sheetId="16" r:id="rId10"/>
    <sheet name="פסולת" sheetId="29" r:id="rId11"/>
    <sheet name="חברה&gt;&gt;&gt; " sheetId="38" r:id="rId12"/>
    <sheet name="כוח אדם" sheetId="1" r:id="rId13"/>
    <sheet name="אופי העסקה" sheetId="11" r:id="rId14"/>
    <sheet name="ותק עובדים" sheetId="10" r:id="rId15"/>
    <sheet name="תחלופת עובדים" sheetId="9" r:id="rId16"/>
    <sheet name="גיוון והכללה" sheetId="7" r:id="rId17"/>
    <sheet name="הדרכות, משוב והערכה" sheetId="8" r:id="rId18"/>
    <sheet name="בטיחות וגהות" sheetId="3" r:id="rId19"/>
    <sheet name="ממשל תאגידי&gt;&gt;&gt;" sheetId="39" r:id="rId20"/>
    <sheet name="מבנה אחזקות" sheetId="28" r:id="rId21"/>
    <sheet name="חברי הדירקטוריון" sheetId="31" r:id="rId22"/>
    <sheet name="מענק שנתי לנושאי משרה" sheetId="32" r:id="rId23"/>
    <sheet name="פניות למבקר החברה" sheetId="24" r:id="rId24"/>
    <sheet name="ביצועים כספיים" sheetId="30" r:id="rId25"/>
  </sheets>
  <externalReferences>
    <externalReference r:id="rId27"/>
  </externalReferences>
  <definedNames>
    <definedName name="_ftn1" localSheetId="19">'חברי הדירקטוריון'!#REF!</definedName>
    <definedName name="_ftn2" localSheetId="19">'חברי הדירקטוריון'!#REF!</definedName>
    <definedName name="_ftnref1" localSheetId="19">'חברי הדירקטוריון'!$C$16</definedName>
    <definedName name="_ftnref2" localSheetId="19">'חברי הדירקטוריון'!#REF!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5" l="1"/>
</calcChain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מחבר</author>
  </authors>
  <commentList>
    <comment ref="K49" authorId="0" shapeId="0" xr:uid="{00000000-0006-0000-0D00-000001000000}">
      <text>
        <r>
          <rPr>
            <b/>
            <sz val="8"/>
            <rFont val="Calibri"/>
            <family val="2"/>
          </rPr>
          <t>[הערה משורשרת]
גירסת Excel שברשותך מאפשרת לך לקרוא הערה משורשרת זו; עם זאת, כל שינויי העריכה שיתבצעו בה יוסרו אם הקובץ ייפתח בגירסה חדשה יותר של Excel. למידע נוסף: https://go.microsoft.com/fwlink/?linkid=870924
הערה:
    יש לנו 2 עובדים שבשנה זו נפטרו לא הוספתי אותם לחישוב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מחבר</author>
  </authors>
  <commentList>
    <comment ref="D10" authorId="0" shapeId="0" xr:uid="{00000000-0006-0000-0F00-000001000000}">
      <text>
        <r>
          <rPr>
            <b/>
            <sz val="11"/>
            <color theme="1"/>
            <rFont val="Calibri"/>
            <family val="2"/>
          </rPr>
          <t>מחבר:</t>
        </r>
        <r>
          <rPr>
            <sz val="11"/>
            <color theme="1"/>
            <rFont val="Calibri"/>
            <family val="2"/>
          </rPr>
          <t xml:space="preserve">
לא קיים מידע מ 2020 לגבי הדרכות, מלבד קורסי הכשרה לעובדים</t>
        </r>
      </text>
    </comment>
    <comment ref="H10" authorId="0" shapeId="0" xr:uid="{00000000-0006-0000-0F00-000002000000}">
      <text>
        <r>
          <rPr>
            <b/>
            <sz val="11"/>
            <color theme="1"/>
            <rFont val="Calibri"/>
            <family val="2"/>
          </rPr>
          <t>מחבר:</t>
        </r>
        <r>
          <rPr>
            <sz val="11"/>
            <color theme="1"/>
            <rFont val="Calibri"/>
            <family val="2"/>
          </rPr>
          <t xml:space="preserve">
מוכב מ: 5184 שעות הדרכה קורסי שירות ותמיכה, 2700 קבלן</t>
        </r>
      </text>
    </comment>
    <comment ref="L10" authorId="0" shapeId="0" xr:uid="{00000000-0006-0000-0F00-000003000000}">
      <text>
        <r>
          <rPr>
            <b/>
            <sz val="11"/>
            <color theme="1"/>
            <rFont val="Calibri"/>
            <family val="2"/>
          </rPr>
          <t>מחבר:</t>
        </r>
        <r>
          <rPr>
            <sz val="11"/>
            <color theme="1"/>
            <rFont val="Calibri"/>
            <family val="2"/>
          </rPr>
          <t xml:space="preserve">
מורכב מ 3888 שעות קורסי תמיכה ושירות, 1620 שעות קורסי טכנאים בחת, 540 שעות קורסי קבלן מקוצרים . כולל ריענוני גובה ל 12 מנהלים 8 שעות כל אחד</t>
        </r>
      </text>
    </comment>
    <comment ref="P10" authorId="0" shapeId="0" xr:uid="{00000000-0006-0000-0F00-000004000000}">
      <text>
        <r>
          <rPr>
            <b/>
            <sz val="9"/>
            <rFont val="Tahoma"/>
            <family val="2"/>
          </rPr>
          <t>מחבר:</t>
        </r>
        <r>
          <rPr>
            <sz val="9"/>
            <rFont val="Tahoma"/>
            <family val="2"/>
          </rPr>
          <t xml:space="preserve">
מורכב מ 570 עובדים חדשים שנקלטו בקורסי הכשרה והכשרות עובדי מטה (טריפלרן ועוד) ותהליכי למידה מתקדמים  לנציגים קיימים (סדנאות, ימי עיון ועוד). </t>
        </r>
      </text>
    </comment>
    <comment ref="P11" authorId="0" shapeId="0" xr:uid="{00000000-0006-0000-0F00-000005000000}">
      <text>
        <r>
          <rPr>
            <b/>
            <sz val="9"/>
            <rFont val="Tahoma"/>
            <family val="2"/>
          </rPr>
          <t>מחבר:</t>
        </r>
        <r>
          <rPr>
            <sz val="9"/>
            <rFont val="Tahoma"/>
            <family val="2"/>
          </rPr>
          <t xml:space="preserve">
חישוב לפי 10,423 שעות סה"כ : 10,053 בקורסי הכשרה, 330 לתהליכי למידה מתקדמים בסיום הכשרה, 40 טריפלרן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מחבר</author>
  </authors>
  <commentList>
    <comment ref="G13" authorId="0" shapeId="0" xr:uid="{00000000-0006-0000-0400-000001000000}">
      <text>
        <r>
          <rPr>
            <b/>
            <sz val="11"/>
            <color theme="1"/>
            <rFont val="Calibri"/>
            <family val="2"/>
          </rPr>
          <t>מחבר:</t>
        </r>
        <r>
          <rPr>
            <sz val="11"/>
            <color theme="1"/>
            <rFont val="Calibri"/>
            <family val="2"/>
          </rPr>
          <t xml:space="preserve">
חלק מההפחתה במכלול 2 ניתן לייחס לפירוק מדויק יותר של מקורות רכש החשמל בשנת 2021, ומכאן ירידה במקדם הפליטה.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מחבר</author>
  </authors>
  <commentList>
    <comment ref="V7" authorId="0" shapeId="0" xr:uid="{00000000-0006-0000-0500-000001000000}">
      <text>
        <r>
          <rPr>
            <b/>
            <sz val="11"/>
            <color theme="1"/>
            <rFont val="Calibri"/>
            <family val="2"/>
          </rPr>
          <t>מחבר:</t>
        </r>
        <r>
          <rPr>
            <sz val="11"/>
            <color theme="1"/>
            <rFont val="Calibri"/>
            <family val="2"/>
          </rPr>
          <t xml:space="preserve">
מחבר:
למעצב/ת - נא לא להראות בגיליון זה את הטבלה שמוסתרת (פונט צבוע בלבן))
</t>
        </r>
      </text>
    </comment>
    <comment ref="P8" authorId="0" shapeId="0" xr:uid="{00000000-0006-0000-0500-000002000000}">
      <text>
        <r>
          <rPr>
            <b/>
            <sz val="11"/>
            <color theme="1"/>
            <rFont val="Calibri"/>
            <family val="2"/>
          </rPr>
          <t>מחבר:</t>
        </r>
        <r>
          <rPr>
            <sz val="11"/>
            <color theme="1"/>
            <rFont val="Calibri"/>
            <family val="2"/>
          </rPr>
          <t xml:space="preserve">
למעצב/ת - נא לא להראות בגיליון זה את הטבלה שמוסתרת (פונט צבוע בלבן))
</t>
        </r>
      </text>
    </comment>
    <comment ref="R10" authorId="0" shapeId="0" xr:uid="{00000000-0006-0000-0500-000003000000}">
      <text>
        <r>
          <rPr>
            <b/>
            <sz val="9"/>
            <rFont val="Tahoma"/>
            <family val="2"/>
          </rPr>
          <t>מחבר:</t>
        </r>
        <r>
          <rPr>
            <sz val="9"/>
            <rFont val="Tahoma"/>
            <family val="2"/>
          </rPr>
          <t xml:space="preserve">
סופי</t>
        </r>
      </text>
    </comment>
    <comment ref="U10" authorId="0" shapeId="0" xr:uid="{00000000-0006-0000-0500-000004000000}">
      <text>
        <r>
          <rPr>
            <b/>
            <sz val="9"/>
            <rFont val="Tahoma"/>
            <family val="2"/>
          </rPr>
          <t>מחבר:</t>
        </r>
        <r>
          <rPr>
            <sz val="9"/>
            <rFont val="Tahoma"/>
            <family val="2"/>
          </rPr>
          <t xml:space="preserve">
סופי
</t>
        </r>
      </text>
    </comment>
    <comment ref="W19" authorId="0" shapeId="0" xr:uid="{00000000-0006-0000-0500-000005000000}">
      <text>
        <r>
          <rPr>
            <b/>
            <sz val="11"/>
            <color theme="1"/>
            <rFont val="Calibri"/>
            <family val="2"/>
          </rPr>
          <t>מחבר:</t>
        </r>
        <r>
          <rPr>
            <sz val="11"/>
            <color theme="1"/>
            <rFont val="Calibri"/>
            <family val="2"/>
          </rPr>
          <t xml:space="preserve">
מחבר:
למעצב/ת - נא לא להראות בגיליון זה את הטבלה שמוסתרת (פונט צבוע בלבן))
</t>
        </r>
      </text>
    </comment>
    <comment ref="Z20" authorId="0" shapeId="0" xr:uid="{00000000-0006-0000-0500-000006000000}">
      <text>
        <r>
          <rPr>
            <b/>
            <sz val="11"/>
            <color theme="1"/>
            <rFont val="Calibri"/>
            <family val="2"/>
          </rPr>
          <t>מחבר:</t>
        </r>
        <r>
          <rPr>
            <sz val="11"/>
            <color theme="1"/>
            <rFont val="Calibri"/>
            <family val="2"/>
          </rPr>
          <t xml:space="preserve">
מעודכן 23.5.23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מחבר</author>
  </authors>
  <commentList>
    <comment ref="G16" authorId="0" shapeId="0" xr:uid="{00000000-0006-0000-0600-000001000000}">
      <text>
        <r>
          <rPr>
            <b/>
            <sz val="11"/>
            <color theme="1"/>
            <rFont val="Calibri"/>
            <family val="2"/>
          </rPr>
          <t>מחבר:</t>
        </r>
        <r>
          <rPr>
            <sz val="11"/>
            <color theme="1"/>
            <rFont val="Calibri"/>
            <family val="2"/>
          </rPr>
          <t xml:space="preserve">
2022- צריכת הדלק היא לפי נתונים של חברות הדלק השונות, למעט רכב חליפי של חברות הליסינג
לא כולל תוספות דלק לרכבי הליסינג</t>
        </r>
      </text>
    </comment>
    <comment ref="H31" authorId="0" shapeId="0" xr:uid="{00000000-0006-0000-0600-000002000000}">
      <text>
        <r>
          <rPr>
            <b/>
            <sz val="11"/>
            <color theme="1"/>
            <rFont val="Calibri"/>
            <family val="2"/>
          </rPr>
          <t>מחבר:</t>
        </r>
        <r>
          <rPr>
            <sz val="11"/>
            <color theme="1"/>
            <rFont val="Calibri"/>
            <family val="2"/>
          </rPr>
          <t xml:space="preserve">
רכבים פרטיים - רכבי נוסעים בלבד (לא כוללת מסחרי קל, מסחרי בינוני, מסחרי כבד ואופנועים)
</t>
        </r>
      </text>
    </comment>
  </commentList>
</comments>
</file>

<file path=xl/sharedStrings.xml><?xml version="1.0" encoding="utf-8"?>
<sst xmlns="http://schemas.openxmlformats.org/spreadsheetml/2006/main" count="1414" uniqueCount="471">
  <si>
    <t>בזק</t>
  </si>
  <si>
    <t>Yes</t>
  </si>
  <si>
    <t>פלאפון</t>
  </si>
  <si>
    <t>בזק בינלאומי</t>
  </si>
  <si>
    <t>הערות</t>
  </si>
  <si>
    <t>אינדיקטור GRI 2021</t>
  </si>
  <si>
    <t>נשים</t>
  </si>
  <si>
    <t>גברים</t>
  </si>
  <si>
    <t>סה"כ</t>
  </si>
  <si>
    <t>2-7
405-1</t>
  </si>
  <si>
    <t>מנהלים</t>
  </si>
  <si>
    <t>עובדים</t>
  </si>
  <si>
    <t>כולל עובדי קבלן</t>
  </si>
  <si>
    <t>גיל ממוצע</t>
  </si>
  <si>
    <t>405-1</t>
  </si>
  <si>
    <t>עד 30 (כולל)</t>
  </si>
  <si>
    <t>31-50 (כולל)</t>
  </si>
  <si>
    <t>51 ומעלה</t>
  </si>
  <si>
    <t>2-7, 2-8</t>
  </si>
  <si>
    <t>אחוז עובדים חיצוניים (שמחזיקים במשרות מקצועיות)</t>
  </si>
  <si>
    <t>אחוז העובדים במשרה חלקית</t>
  </si>
  <si>
    <t>סה"כ מספר (מלאה+חלקית)</t>
  </si>
  <si>
    <t>סה"כ אחוזים (מלאה+חלקית)</t>
  </si>
  <si>
    <t>2021 </t>
  </si>
  <si>
    <t>2022 </t>
  </si>
  <si>
    <t>קבוצת גיל</t>
  </si>
  <si>
    <t xml:space="preserve">עובדים ומנהלים שנקלטו לעבודה </t>
  </si>
  <si>
    <t>עובדים ומנהלים שהעסקתם הסתיימה (פוטרו/ התפטרו/ פרשו)</t>
  </si>
  <si>
    <t>שיעור תחלופה (עובדים ומנהלים)</t>
  </si>
  <si>
    <t>401-1</t>
  </si>
  <si>
    <t>מעל 51</t>
  </si>
  <si>
    <t>סה"כ גברים</t>
  </si>
  <si>
    <t>סה"כ נשים</t>
  </si>
  <si>
    <t>סה"כ עד 30 (כולל)</t>
  </si>
  <si>
    <t>N/A</t>
  </si>
  <si>
    <t>סה"כ 31-50 (כולל)</t>
  </si>
  <si>
    <t>סה"כ 51 ומעלה</t>
  </si>
  <si>
    <t>yes</t>
  </si>
  <si>
    <t>בזק בינלאומי tech</t>
  </si>
  <si>
    <t>404-1</t>
  </si>
  <si>
    <t>ממוצע שעות כללי</t>
  </si>
  <si>
    <t>404-3</t>
  </si>
  <si>
    <t>אחוז כללי</t>
  </si>
  <si>
    <t>סניפים</t>
  </si>
  <si>
    <t>מטה</t>
  </si>
  <si>
    <t>יצאו לחופשת הורות/לידה</t>
  </si>
  <si>
    <t>401-3</t>
  </si>
  <si>
    <t>חזרו מחופשת הורות/לידה</t>
  </si>
  <si>
    <t>מכלול 1</t>
  </si>
  <si>
    <t>מכלול 2</t>
  </si>
  <si>
    <t>בנזין </t>
  </si>
  <si>
    <t>סולר </t>
  </si>
  <si>
    <t>היברידי </t>
  </si>
  <si>
    <t>חשמלי </t>
  </si>
  <si>
    <t>2020 </t>
  </si>
  <si>
    <t>yes </t>
  </si>
  <si>
    <t>פלאפון </t>
  </si>
  <si>
    <t>בזק </t>
  </si>
  <si>
    <t>פינוי פסולת אלקטרונית (ק"ג) </t>
  </si>
  <si>
    <t>2021  </t>
  </si>
  <si>
    <t>2022  </t>
  </si>
  <si>
    <t>  </t>
  </si>
  <si>
    <t>סה"כ ימי היעדרות  </t>
  </si>
  <si>
    <t>ממוצע ימי היעדרות  </t>
  </si>
  <si>
    <t>2020  </t>
  </si>
  <si>
    <t>191  </t>
  </si>
  <si>
    <t>5,043  </t>
  </si>
  <si>
    <t>26.4  </t>
  </si>
  <si>
    <t>229  </t>
  </si>
  <si>
    <t>5,049  </t>
  </si>
  <si>
    <t>22  </t>
  </si>
  <si>
    <t>186  </t>
  </si>
  <si>
    <t>4,913  </t>
  </si>
  <si>
    <t>אירועי בטיחות מגורם עבודה ישיר  </t>
  </si>
  <si>
    <t>אירועי בטיחות בדרכים  </t>
  </si>
  <si>
    <t>אובדן ימי עבודה כתוצאה מתאונה, בממוצע לעובד  </t>
  </si>
  <si>
    <t>25  </t>
  </si>
  <si>
    <t>50  </t>
  </si>
  <si>
    <t>0.85  </t>
  </si>
  <si>
    <t>1.61  </t>
  </si>
  <si>
    <t>32  </t>
  </si>
  <si>
    <t>74  </t>
  </si>
  <si>
    <t>0.84  </t>
  </si>
  <si>
    <t>1.96  </t>
  </si>
  <si>
    <t>21  </t>
  </si>
  <si>
    <t>51  </t>
  </si>
  <si>
    <t>0.86  </t>
  </si>
  <si>
    <t>1.52  </t>
  </si>
  <si>
    <t>13  </t>
  </si>
  <si>
    <t>246  </t>
  </si>
  <si>
    <t>5.19%  </t>
  </si>
  <si>
    <t>0.08%  </t>
  </si>
  <si>
    <t>0.09%  </t>
  </si>
  <si>
    <t>24  </t>
  </si>
  <si>
    <t>36  </t>
  </si>
  <si>
    <t>14  </t>
  </si>
  <si>
    <t>247  </t>
  </si>
  <si>
    <t>248  </t>
  </si>
  <si>
    <t>40  </t>
  </si>
  <si>
    <t>49  </t>
  </si>
  <si>
    <t>0.01%  </t>
  </si>
  <si>
    <t>0.02%  </t>
  </si>
  <si>
    <t>עובדים המאוגדים תחת הסכמים קיבוציים</t>
  </si>
  <si>
    <t>מספר</t>
  </si>
  <si>
    <t>אחוז מסך המועסקים בחברה</t>
  </si>
  <si>
    <t>סה"כ עובדים</t>
  </si>
  <si>
    <t>ותק ממוצע</t>
  </si>
  <si>
    <t>עד 5 שנים (כולל)</t>
  </si>
  <si>
    <t>6-10 שנים (כולל)</t>
  </si>
  <si>
    <t>11-20 שנים (כולל)</t>
  </si>
  <si>
    <t>21 שנה  ומעלה</t>
  </si>
  <si>
    <t>עובדים חדשים שנקלטו</t>
  </si>
  <si>
    <t>מנהלים חדשים שנקלטו</t>
  </si>
  <si>
    <t>עובדים שהסתיימה העסקתם</t>
  </si>
  <si>
    <t>מנהלים שהסתיימה העסקתם</t>
  </si>
  <si>
    <t>51 לעובדים, 21 למנהלים</t>
  </si>
  <si>
    <t>יחידות מטה - 94.8%  יחידות קו - 98.4%</t>
  </si>
  <si>
    <t>הדרכה ופיתוח</t>
  </si>
  <si>
    <t>נשארו בעבודה 12 חודשים לאחר חזרה מחל"ד</t>
  </si>
  <si>
    <t xml:space="preserve">נשים </t>
  </si>
  <si>
    <t>גיוון והכללה בקבוצת בזק</t>
  </si>
  <si>
    <t>אנשים עם מוגבלויות (מבוסס על הצהרות העובדים בלבד)</t>
  </si>
  <si>
    <t>יוצאי אתיופיה</t>
  </si>
  <si>
    <t>המגזר החרדי</t>
  </si>
  <si>
    <t>המגזר הערבי</t>
  </si>
  <si>
    <t>n/a</t>
  </si>
  <si>
    <t>כוח אדם</t>
  </si>
  <si>
    <t>אחוז הנשים בדירקטוריון</t>
  </si>
  <si>
    <t>דירקטוריון בזק</t>
  </si>
  <si>
    <t>דירקטוריון החברות הבנות</t>
  </si>
  <si>
    <t>ימי אוריינטציה לעובדים חדשים  </t>
  </si>
  <si>
    <t>פרונטלי  </t>
  </si>
  <si>
    <t>לומדה – קורסי בסיס  </t>
  </si>
  <si>
    <t>דיגיטלי  </t>
  </si>
  <si>
    <t>תוכנית פיתוח מנהלים  </t>
  </si>
  <si>
    <t>לומדה – ריענון ידע לכלל החברה  </t>
  </si>
  <si>
    <t>סה"כ  </t>
  </si>
  <si>
    <t>סוג הפעילות  </t>
  </si>
  <si>
    <t>צורת העברה  </t>
  </si>
  <si>
    <t>משתתפים  </t>
  </si>
  <si>
    <t>סה"כ שעות  </t>
  </si>
  <si>
    <t>יחידות לקוחות – 98.9%  (נציגים, טכנאים ואגפי המכירות בעסקית)
יחידות מטה – 96.21%</t>
  </si>
  <si>
    <t>פלאפון  </t>
  </si>
  <si>
    <t>מגדר</t>
  </si>
  <si>
    <t>סה"כ מכלולים</t>
  </si>
  <si>
    <t>סה"כ פליטות</t>
  </si>
  <si>
    <t>סה"כ נסועה בליטרים</t>
  </si>
  <si>
    <t>סה"כ רכבים פרטיים בצי</t>
  </si>
  <si>
    <t>49.4 לעובדים, 19.5 למנהלים</t>
  </si>
  <si>
    <t>סה"כ צריכת אנרגיה</t>
  </si>
  <si>
    <t>מס' העובדים והעובדות בחברת yes</t>
  </si>
  <si>
    <t>מס' העובדים והעובדות בחברת פלאפון</t>
  </si>
  <si>
    <t>מס' העובדים והעובדות בחברת בזק</t>
  </si>
  <si>
    <t>גיל העובדים והמנהלים בחברת בזק</t>
  </si>
  <si>
    <t>גיל העובדים והמנהלים בחברת yes</t>
  </si>
  <si>
    <t>גיל העובדים והמנהלים בחברת פלאפון</t>
  </si>
  <si>
    <t xml:space="preserve">אופי ההעסקה בחברת בזק </t>
  </si>
  <si>
    <t>אופי ההעסקה בחברת פלאפון</t>
  </si>
  <si>
    <t>אופי ההעסקה בחברת בזק בינלאומי TECH</t>
  </si>
  <si>
    <t xml:space="preserve">ותק העובדים בחברת בזק </t>
  </si>
  <si>
    <t>תחלופת העובדים בחברת בזק</t>
  </si>
  <si>
    <t>21 שנים  ומעלה</t>
  </si>
  <si>
    <t>אופי ההעסקה בחברת yes</t>
  </si>
  <si>
    <t>מס' העובדים החיצוניים (שמחזיקים במשרות מקצועיות)</t>
  </si>
  <si>
    <t>מס' העובדים החיצוניים שנקלטו</t>
  </si>
  <si>
    <t>מס' העובדים במשרה מלאה</t>
  </si>
  <si>
    <t>שיעור העובדים במשרה מלאה</t>
  </si>
  <si>
    <t>מס' העובדים במשרה חלקית</t>
  </si>
  <si>
    <t>שיעור העובדים במשרה חלקית</t>
  </si>
  <si>
    <t>סה"כ מועסקים (מלאה+חלקית)</t>
  </si>
  <si>
    <t>שיעור העובדים החיצוניים שנקלטו</t>
  </si>
  <si>
    <t>שיעור העובדים החיצוניים (שמחזיקים במשרות מקצועיות)</t>
  </si>
  <si>
    <t>ותק העובדים בחברת yes</t>
  </si>
  <si>
    <t>תחלופת העובדים בחברת yes</t>
  </si>
  <si>
    <t>ותק העובדים בחברת פלאפון</t>
  </si>
  <si>
    <t>תחלופת העובדים בחברת פלאפון</t>
  </si>
  <si>
    <t>ותק העובדים בחברת בזק בינלאומי TECH</t>
  </si>
  <si>
    <t>בזק בינלאומי TECH</t>
  </si>
  <si>
    <t>מס' עובדים מודרכים</t>
  </si>
  <si>
    <t>שיעור העובדים שקיבלו משוב במהלך השנה</t>
  </si>
  <si>
    <t>סה"כ ימי מחלה שנוצלו  </t>
  </si>
  <si>
    <t xml:space="preserve">שיעור ימי מחלה מתוך סך ימי העבודה </t>
  </si>
  <si>
    <t>בזק בינלאומי TECH  </t>
  </si>
  <si>
    <t>מס' תאונות לכל 100 אלף שעות עבודה  </t>
  </si>
  <si>
    <t>מס' התאונות  </t>
  </si>
  <si>
    <t>שיעור הרכבים ההיברידיים והחשמליים בצי הרכבים</t>
  </si>
  <si>
    <t>שיעור הנשים בהנהלה</t>
  </si>
  <si>
    <t>מס' המנהלות</t>
  </si>
  <si>
    <t>שיעור המנהלות בקרב כלל המנהלים בארגון</t>
  </si>
  <si>
    <t>שנה</t>
  </si>
  <si>
    <t>צריכת אנרגיה</t>
  </si>
  <si>
    <t>מגמות בצי הרכבים הפרטיים בחברת בזק </t>
  </si>
  <si>
    <t>שיעור הרכבים החשמליים וההיברידיים בצי הרכבים הכולל</t>
  </si>
  <si>
    <t>פסולת מעורבת להטמנה</t>
  </si>
  <si>
    <t>טיפול - פסולת מסוכנת (מצברים)</t>
  </si>
  <si>
    <t>פסולת אלקטרונית למיחזור</t>
  </si>
  <si>
    <t>ניילון ופלסטיק למיחזור</t>
  </si>
  <si>
    <t>נייר וקרטון למיחזור</t>
  </si>
  <si>
    <t>302-1
302-4</t>
  </si>
  <si>
    <t>בזק בינלאומי Tech</t>
  </si>
  <si>
    <t>אחוז שינוי</t>
  </si>
  <si>
    <t>מכלול</t>
  </si>
  <si>
    <t>פליטות בכל מכלול</t>
  </si>
  <si>
    <t>305-1
305-2
305-5</t>
  </si>
  <si>
    <t>303-3</t>
  </si>
  <si>
    <t>306-3
306-4
306-5</t>
  </si>
  <si>
    <t>ביתי</t>
  </si>
  <si>
    <t>מסחרי</t>
  </si>
  <si>
    <t>30,430 </t>
  </si>
  <si>
    <t>29,574 </t>
  </si>
  <si>
    <t>34,210 </t>
  </si>
  <si>
    <t>2-7</t>
  </si>
  <si>
    <t>חברת בזק</t>
  </si>
  <si>
    <t>חברת yes</t>
  </si>
  <si>
    <t>חברת פלאפון</t>
  </si>
  <si>
    <t>כלל הקבוצה</t>
  </si>
  <si>
    <t>נתוני כוח אדם (headcount)</t>
  </si>
  <si>
    <t>2-30</t>
  </si>
  <si>
    <t>חברת בזק בינלאומי Tech</t>
  </si>
  <si>
    <t>אופי העסקה בחברה</t>
  </si>
  <si>
    <t>תחלופת עובדים</t>
  </si>
  <si>
    <t>405-1 
2-7</t>
  </si>
  <si>
    <t>ותק עובדים</t>
  </si>
  <si>
    <t>נתוני בטיחות ובריאות העובדים בקבוצת בזק</t>
  </si>
  <si>
    <t>403-9
403-10</t>
  </si>
  <si>
    <t>היעדרות עובדים כתוצאה מתאונות עבודה בחברת בזק</t>
  </si>
  <si>
    <t>בטיחות וגהות</t>
  </si>
  <si>
    <t>הדרכות, משוב והערכה</t>
  </si>
  <si>
    <t>משוב והערכה בחברת בזק</t>
  </si>
  <si>
    <t>משוב והערכה בחברת yes</t>
  </si>
  <si>
    <t>משוב והערכה בחברת פלאפון</t>
  </si>
  <si>
    <t>משוב והערכה בחברת בזק בינלאומי TECH</t>
  </si>
  <si>
    <t>סטטוס עמידה ביעדי הדירקטוריון של חברת בזק</t>
  </si>
  <si>
    <t>יעד: Net zero 2050</t>
  </si>
  <si>
    <t>פיתוח והכשרת עובדים - שעות הדרכה כלליות בקבוצת בזק</t>
  </si>
  <si>
    <t>העובדים בחברת בזק בינלאומי tech</t>
  </si>
  <si>
    <t>גילאי עובדים ומנהלים בחברת בזק בינלאומי tech</t>
  </si>
  <si>
    <t>תחלופת עובדים בחברת בזק בינלאומי tech</t>
  </si>
  <si>
    <t>העסקה קבועה</t>
  </si>
  <si>
    <t>סך המנהלות בארגון</t>
  </si>
  <si>
    <t>מועד תחילת כהונה</t>
  </si>
  <si>
    <t>ישראלית</t>
  </si>
  <si>
    <t>לא</t>
  </si>
  <si>
    <t>כן</t>
  </si>
  <si>
    <t>תומר ראב"ד</t>
  </si>
  <si>
    <t>ועדת בטחון</t>
  </si>
  <si>
    <t>14.5.2020</t>
  </si>
  <si>
    <t>דארן גלאט</t>
  </si>
  <si>
    <t>אמריקאית</t>
  </si>
  <si>
    <t>דוד גרנות</t>
  </si>
  <si>
    <t>זאב וורמברנד</t>
  </si>
  <si>
    <t>עידית לוסקי</t>
  </si>
  <si>
    <t>ציפי לבני</t>
  </si>
  <si>
    <t>ועדת תגמול</t>
  </si>
  <si>
    <t>רן פורר</t>
  </si>
  <si>
    <t>פטריס טייב</t>
  </si>
  <si>
    <t>משאבי אנוש</t>
  </si>
  <si>
    <t>תפעול</t>
  </si>
  <si>
    <t>אחר</t>
  </si>
  <si>
    <t>אחוז השינוי</t>
  </si>
  <si>
    <t>הכנסות (במיליוני ₪)</t>
  </si>
  <si>
    <t>דירקטור מקרב העובדים</t>
  </si>
  <si>
    <r>
      <t xml:space="preserve">חזון הקיימות של קבוצת בזק הוא </t>
    </r>
    <r>
      <rPr>
        <b/>
        <sz val="12"/>
        <color rgb="FF16254F"/>
        <rFont val="Calibri"/>
        <family val="2"/>
      </rPr>
      <t xml:space="preserve">לחבר את ישראל לעתיד טוב יותר, </t>
    </r>
    <r>
      <rPr>
        <sz val="12"/>
        <color rgb="FF16254F"/>
        <rFont val="Calibri"/>
        <family val="2"/>
      </rPr>
      <t xml:space="preserve">והוא נשען על התפיסה שלפיה ליבת הפעילות העסקית של הקבוצה נמצאת בהלימה מלאה עם עקרונות אחריות תאגידית ופיתוח בר־קיימא בשלושה תחומים:
</t>
    </r>
    <r>
      <rPr>
        <b/>
        <sz val="12"/>
        <color rgb="FF16254F"/>
        <rFont val="Calibri"/>
        <family val="2"/>
      </rPr>
      <t>סביבה (Environment)
חברה (Society)
ממשל תאגידי (Governance)</t>
    </r>
    <r>
      <rPr>
        <sz val="12"/>
        <color rgb="FF16254F"/>
        <rFont val="Calibri"/>
        <family val="2"/>
      </rPr>
      <t xml:space="preserve">
שלושת התחומים הללו מתווים באופן טבעי את היעדים והמטרות לקידום ומימוש חזון הקבוצה בדרך להטמעתם המלאה באסטרטגיה העסקית שלה.</t>
    </r>
  </si>
  <si>
    <t>קראו עוד:</t>
  </si>
  <si>
    <t>תוכן העניינים</t>
  </si>
  <si>
    <t>סביבה</t>
  </si>
  <si>
    <t>פליטות גזי חממה</t>
  </si>
  <si>
    <t>למעבר &gt;</t>
  </si>
  <si>
    <t>מים</t>
  </si>
  <si>
    <t>פסולת</t>
  </si>
  <si>
    <t>חברה</t>
  </si>
  <si>
    <t>אופי העסקה</t>
  </si>
  <si>
    <t>גיוון והכללה</t>
  </si>
  <si>
    <t>יעדי קבוצת בזק</t>
  </si>
  <si>
    <t>ממשל תאגידי</t>
  </si>
  <si>
    <t>ביצועים כספיים</t>
  </si>
  <si>
    <t>מבנה אחזקות</t>
  </si>
  <si>
    <r>
      <t xml:space="preserve">פליטות גזי חממה בכל הקבוצה </t>
    </r>
    <r>
      <rPr>
        <sz val="11"/>
        <color rgb="FF16254F"/>
        <rFont val="Calibri"/>
        <family val="2"/>
      </rPr>
      <t>(טון ש"ע פד"ח)</t>
    </r>
  </si>
  <si>
    <t>עצימות</t>
  </si>
  <si>
    <r>
      <t xml:space="preserve">עצימות פליטות גזי חממה (tCO2e-revenue) - </t>
    </r>
    <r>
      <rPr>
        <sz val="11"/>
        <color rgb="FF16254F"/>
        <rFont val="Calibri"/>
        <family val="2"/>
      </rPr>
      <t>טון tCO2e למיליון ₪</t>
    </r>
  </si>
  <si>
    <r>
      <t xml:space="preserve">עצימות אנרגטית (kWh-revenue) - </t>
    </r>
    <r>
      <rPr>
        <sz val="11"/>
        <color rgb="FF16254F"/>
        <rFont val="Calibri"/>
        <family val="2"/>
      </rPr>
      <t>קוט"ש ל- ₪</t>
    </r>
  </si>
  <si>
    <r>
      <t xml:space="preserve">צריכת אנרגיה </t>
    </r>
    <r>
      <rPr>
        <sz val="11"/>
        <color rgb="FF16254F"/>
        <rFont val="Calibri"/>
        <family val="2"/>
      </rPr>
      <t>(בקוט"ש)</t>
    </r>
  </si>
  <si>
    <t xml:space="preserve">2020
</t>
  </si>
  <si>
    <t xml:space="preserve">2021
</t>
  </si>
  <si>
    <t xml:space="preserve">2022
</t>
  </si>
  <si>
    <t xml:space="preserve">סה"כ דלקים
</t>
  </si>
  <si>
    <t xml:space="preserve">בזק  
</t>
  </si>
  <si>
    <t xml:space="preserve">בזק בינלאומי TECH
</t>
  </si>
  <si>
    <t xml:space="preserve">פלאפון 
</t>
  </si>
  <si>
    <t xml:space="preserve">yes 
</t>
  </si>
  <si>
    <r>
      <t xml:space="preserve">נסועה </t>
    </r>
    <r>
      <rPr>
        <sz val="11"/>
        <color rgb="FF16254F"/>
        <rFont val="Calibri"/>
        <family val="2"/>
      </rPr>
      <t>(בליטרים)</t>
    </r>
  </si>
  <si>
    <r>
      <t xml:space="preserve">צריכת מים </t>
    </r>
    <r>
      <rPr>
        <sz val="11"/>
        <color rgb="FF16254F"/>
        <rFont val="Calibri"/>
        <family val="2"/>
      </rPr>
      <t>(קוב</t>
    </r>
    <r>
      <rPr>
        <sz val="11"/>
        <rFont val="Calibri"/>
        <family val="2"/>
      </rPr>
      <t>) </t>
    </r>
  </si>
  <si>
    <r>
      <t xml:space="preserve">פסולת מיוצרת בחברת בזק </t>
    </r>
    <r>
      <rPr>
        <sz val="11"/>
        <color rgb="FF16254F"/>
        <rFont val="Calibri"/>
        <family val="2"/>
      </rPr>
      <t>(ק"ג)</t>
    </r>
  </si>
  <si>
    <t>מימוש חוק האריזות
(פסולת למיחזור) </t>
  </si>
  <si>
    <t>מיחדוש מוצרים - ציוד
(מס' יחידות) </t>
  </si>
  <si>
    <t>מכירת ציוד
עודף
(מס’ יחידות) </t>
  </si>
  <si>
    <t>פינוי משטחי
עץ
(ק”ג) </t>
  </si>
  <si>
    <t>הטמנת
סוללות
(ק"ג) </t>
  </si>
  <si>
    <t>קרטון
למיחזור
(ק"ג) </t>
  </si>
  <si>
    <t>מימוש חוק האריזות
(ק"ג - פסולת למיחזור) </t>
  </si>
  <si>
    <t> 27,700</t>
  </si>
  <si>
    <t>מיחזור
נייר
(ק"ג)</t>
  </si>
  <si>
    <t xml:space="preserve">מיחזור
קרטונים
(ק"ג) </t>
  </si>
  <si>
    <t>מיחזור מוצרים –
בזק טק</t>
  </si>
  <si>
    <r>
      <t xml:space="preserve">מס' העובדים בקבוצה </t>
    </r>
    <r>
      <rPr>
        <sz val="11"/>
        <color rgb="FF16254F"/>
        <rFont val="Calibri"/>
        <family val="2"/>
      </rPr>
      <t>(סה"כ מועסקים, עובדים ומנהלים, במשרה חלקית ומלאה, לא כולל עובדים חיצוניים)</t>
    </r>
  </si>
  <si>
    <t>נתינות</t>
  </si>
  <si>
    <t>תפקיד</t>
  </si>
  <si>
    <t>ועדת ביקורת</t>
  </si>
  <si>
    <t xml:space="preserve">בעל מומחיות חשבונאית ופיננסית </t>
  </si>
  <si>
    <t>זכר</t>
  </si>
  <si>
    <t xml:space="preserve">יו"ר הדירקטוריון </t>
  </si>
  <si>
    <t>יו"ר</t>
  </si>
  <si>
    <t>דירקטור</t>
  </si>
  <si>
    <t>חבר</t>
  </si>
  <si>
    <t>1.12.2019</t>
  </si>
  <si>
    <t>9.5.2017</t>
  </si>
  <si>
    <t>3.9.2017</t>
  </si>
  <si>
    <t>26.4.2018</t>
  </si>
  <si>
    <t>נקבה</t>
  </si>
  <si>
    <t>26.4.2021</t>
  </si>
  <si>
    <t>1.1.2022</t>
  </si>
  <si>
    <t>מענק שנתי לנושאי משרה</t>
  </si>
  <si>
    <t>מקור: מדיניות תגמול</t>
  </si>
  <si>
    <t>אובדן ימי עבודה כתוצאה מתאונות</t>
  </si>
  <si>
    <t>חברי הדירקטוריון</t>
  </si>
  <si>
    <t>שם</t>
  </si>
  <si>
    <t>דירקטורית חיצונית</t>
  </si>
  <si>
    <t xml:space="preserve">דירקטורית חיצונית </t>
  </si>
  <si>
    <t>דירקטור חיצוני</t>
  </si>
  <si>
    <t xml:space="preserve">דירקטור בלתי תלוי </t>
  </si>
  <si>
    <t>א.</t>
  </si>
  <si>
    <t>רכיב המבוסס על יעדי חברה וקבוצה</t>
  </si>
  <si>
    <t>ב.</t>
  </si>
  <si>
    <t>רכיב המבוסס על  יעדים אישיים</t>
  </si>
  <si>
    <t>ג.</t>
  </si>
  <si>
    <t>רכיב מענק המותנה בשיקול דעת</t>
  </si>
  <si>
    <t>יעדים שיחולו באותה שנה בתוכניות המענק עבור כל נושאי המשרה, כאשר יוגדרו יעדים נפרדים עבור נושאי המשרה בבזק ועבור מנכ"לי החברות הבנות המהותיות.</t>
  </si>
  <si>
    <t>נושאי המשרה בחברה יהיו זכאים לרכיב מענק שאינו מדיד המבוסס על הערכה איכותית של ביצועיהם על ידי המנהל הממונה.</t>
  </si>
  <si>
    <t>יעדים המתאימים לתפקידו של נושא המשרה הרלבנטי וליעדים והנושאים הספציפיים שהחברה או הקבוצה רוצה שיקדם באותה שנה.</t>
  </si>
  <si>
    <t>במסגרת יעדי החברה וקבוצה (רכיב א' לעיל), יעד ה-EBITDA או ה-EBITDA המתואם ו/או יעד הרווח הנקי (לאחר מס) מתואם ו/או יעד התזרים של החברה או הקבוצה יהוו את היעד/ים בעל/י המשקולת המשמעותית/גדולה ביותר מתוך יעדי חברה/קבוצה. משקל יעד ה- EBITDA או ה -EBITDA המתואם (לפי העניין) ו/או הרווח הנקי (לאחר מס) מתואם ו/או תזרים של כל נושא משרה יקבע ביחס לתפקידו בחברה או בקבוצה, לפי העניין.</t>
  </si>
  <si>
    <t>יעד ה- EBITDA או ה-EBITDA המתואם (לפי העניין) יהווה יעד לטווח ארוך והמענק בגין יעד זה ישולם על פני שנתיים, כך שנושא המשרה יהיה צריך לעמוד במשך שנתיים ביעד ה- EBITDA או ה-EBITDA המתואם (לפי העניין) שנקבע לו על מנת שיהיה זכאי למלוא המענק השנתי בגינו.</t>
  </si>
  <si>
    <t>פניות למבקר החברה</t>
  </si>
  <si>
    <t>ועדה לבחינת
הדוחות הכספיים</t>
  </si>
  <si>
    <t xml:space="preserve">הפניות למבקר החברה עוסקות בעיקרן בסוגיות הנוגעות למשאבי אנוש ולתפעול. הטיפול של מבקר החברה בפניות אלו מבוצע על ידי ביצוע הבירורים והבדיקות הדרושים, בהתאם לאופי הפניות שהתקבלו, מול הגורמים הרלבנטיים. </t>
  </si>
  <si>
    <t>מבנה אחזקות*</t>
  </si>
  <si>
    <t>גיוון בדירקטוריון</t>
  </si>
  <si>
    <t>דירקטוריון מלא</t>
  </si>
  <si>
    <t>מספר דירקטורים</t>
  </si>
  <si>
    <t>% נשים</t>
  </si>
  <si>
    <t>ועדה לבחינת הדוחות הכספיים</t>
  </si>
  <si>
    <t xml:space="preserve">סה"כ </t>
  </si>
  <si>
    <t xml:space="preserve">2023
</t>
  </si>
  <si>
    <t>חופשת לידה/הורות 2023</t>
  </si>
  <si>
    <t>305-4</t>
  </si>
  <si>
    <t xml:space="preserve">
302-4</t>
  </si>
  <si>
    <t>302-3</t>
  </si>
  <si>
    <t xml:space="preserve">306-3
306-4
</t>
  </si>
  <si>
    <t>403-5</t>
  </si>
  <si>
    <t>שעות למידה דיגיטליות ופרונטליות בנושא אתיקה ב־2023 בחברת בזק</t>
  </si>
  <si>
    <t xml:space="preserve"> 2-30</t>
  </si>
  <si>
    <t>תכיפות וחומרת תאונות העבודה בחברת פלאפון</t>
  </si>
  <si>
    <t>היעדרות עובדים כתוצאה מתאונות עבודה בחברת yes</t>
  </si>
  <si>
    <t>היעדרות עובדים כתוצאה מתאונות עבודה בחברת בזק בינלאומי TECH</t>
  </si>
  <si>
    <t>הדרכות בטיחות</t>
  </si>
  <si>
    <t>הדרכה פרונטלית לעובדים</t>
  </si>
  <si>
    <t>אחוז העובדים שהשלימו את לומדת הבטיחות המקוונת</t>
  </si>
  <si>
    <t xml:space="preserve">הדרכה מקוונת לעובדים </t>
  </si>
  <si>
    <t>מספר קבלני הביצוע שעברו הדרכות</t>
  </si>
  <si>
    <t>מספר הטכנאים שעברו הדרכות (באמצעות מעכרת פל"א)</t>
  </si>
  <si>
    <t>הדרכות לשעת חירום - מס' תרגילי ההתגוננות והפינוי בשנה</t>
  </si>
  <si>
    <t>ביטוח בריאות</t>
  </si>
  <si>
    <t>אחוז העובדים המכוסים בביטוח בריאות ממלכתי</t>
  </si>
  <si>
    <t>אחוז העובדים המכוסים בביטוח בריאות משלים</t>
  </si>
  <si>
    <r>
      <t>פליטות גזי חממה</t>
    </r>
    <r>
      <rPr>
        <sz val="12"/>
        <color rgb="FF16254F"/>
        <rFont val="Calibri"/>
        <family val="2"/>
      </rPr>
      <t xml:space="preserve"> (טון ש"ע פד"ח)</t>
    </r>
  </si>
  <si>
    <t>פסולת שהועברה להטמנה</t>
  </si>
  <si>
    <t>תיקון דיווח של שנת 2022</t>
  </si>
  <si>
    <t>תיקון נתונים של כל השנים אחורה. בנוסף בשנת 2021 נגרטו גנרטורים</t>
  </si>
  <si>
    <t>מיחזור פלסטיקה (ק"ג) </t>
  </si>
  <si>
    <t>תיקון שנים אחורה</t>
  </si>
  <si>
    <t>נייר למיחזור
(ק"ג) </t>
  </si>
  <si>
    <t>קרטון למיחזור
(ק"ג) </t>
  </si>
  <si>
    <t>אחוז השינוי
2022-2023</t>
  </si>
  <si>
    <r>
      <t xml:space="preserve">צריכת דלק ברכבים </t>
    </r>
    <r>
      <rPr>
        <sz val="11"/>
        <color rgb="FF16254F"/>
        <rFont val="Calibri"/>
        <family val="2"/>
      </rPr>
      <t>(בליטרים</t>
    </r>
    <r>
      <rPr>
        <sz val="11"/>
        <rFont val="Calibri"/>
        <family val="2"/>
      </rPr>
      <t>) </t>
    </r>
  </si>
  <si>
    <t>הישגים בתחום ה־ESG לשנת 2023:</t>
  </si>
  <si>
    <t>-</t>
  </si>
  <si>
    <t>47.4 עובדים   25.2 מנהלים</t>
  </si>
  <si>
    <t>חברי הדירקטוריון (נכון ל-31.12.2023)</t>
  </si>
  <si>
    <t>פניות למבקר החברה בנושאי אתיקה</t>
  </si>
  <si>
    <t>15.2</t>
  </si>
  <si>
    <t>מכלול 3</t>
  </si>
  <si>
    <t>Purchased Goods and Services</t>
  </si>
  <si>
    <t>Capital Goods</t>
  </si>
  <si>
    <t>Upstream Transportation and Distribution</t>
  </si>
  <si>
    <t>Waste</t>
  </si>
  <si>
    <t>Employee Commuting</t>
  </si>
  <si>
    <t>Business Travel</t>
  </si>
  <si>
    <t>Use of Sold Products</t>
  </si>
  <si>
    <t>Total</t>
  </si>
  <si>
    <t>קטגוריה</t>
  </si>
  <si>
    <t>מכלול 3*</t>
  </si>
  <si>
    <t>מכלול 3 בבזק*</t>
  </si>
  <si>
    <t>305-1
305-2
305-3
305-5</t>
  </si>
  <si>
    <t>פליטות גזי חממה במכלולים 1, 2, 3</t>
  </si>
  <si>
    <t>אינדקס GRI 2021</t>
  </si>
  <si>
    <t>שיעור אוכלוסיות גיוון בקבוצה</t>
  </si>
  <si>
    <t>יעד: לפחות 50% נשים בדרגי הניהול של הקבוצה עד 2030</t>
  </si>
  <si>
    <t>יעד: לפחות 40% נשים בדירקטוריון הקבוצה על 2030</t>
  </si>
  <si>
    <t xml:space="preserve"> *לטובת חישוב קטגוריות 1, 2, 4 ו-11, נעשה שימוש בנתונים שנשלחו על ידי ספקי הארגון. אחוז הספקים שנכללו בחישוב מסך הרכש של בזק הינו כ-20% בלבד (בהערכה של הוצאה כספית). </t>
  </si>
  <si>
    <t>אחוז שינוי (שלושת המכלולים)</t>
  </si>
  <si>
    <t>אחוז שינוי (מכלולים 1+2 בלבד)</t>
  </si>
  <si>
    <r>
      <t xml:space="preserve">% הפחתה
מהשנה הקודמת </t>
    </r>
    <r>
      <rPr>
        <b/>
        <sz val="8"/>
        <rFont val="Calibri"/>
        <family val="2"/>
      </rPr>
      <t>(שלושת המכלולים)</t>
    </r>
  </si>
  <si>
    <r>
      <t xml:space="preserve">% הפחתה
מהשנה הקודמת </t>
    </r>
    <r>
      <rPr>
        <b/>
        <sz val="8"/>
        <rFont val="Calibri"/>
        <family val="2"/>
      </rPr>
      <t>(מכלולים 1+2 בלבד)</t>
    </r>
  </si>
  <si>
    <t>מגמות בצי הרכבים הפרטיים בחברת בזק בינלאומי Tech</t>
  </si>
  <si>
    <t>בנזין</t>
  </si>
  <si>
    <t>סולר</t>
  </si>
  <si>
    <t>היברידי</t>
  </si>
  <si>
    <t>חשמלי</t>
  </si>
  <si>
    <t>מגמות בצי הרכבים הפרטיים בחברת פלאפון</t>
  </si>
  <si>
    <t>מגמות בצי הרכבים הפרטיים בחברת yes</t>
  </si>
  <si>
    <t>302-3
305-1
305-2
305-3
305-5</t>
  </si>
  <si>
    <t>אחוז השמשה מחדש של מוצרים במפעל בזק טק (מיחדוש)</t>
  </si>
  <si>
    <t>301-3
306-3
306-4
306-5</t>
  </si>
  <si>
    <t>* As of May 2024</t>
  </si>
  <si>
    <t>2-9</t>
  </si>
  <si>
    <t>מר טל פורר מונה כדירקטור חליף למר רן פורר, בישיבות הדירקטוריון בהן ייבצר ממר רן פורר להשתתף, וזאת החל ממועד המינוי כאמור ועד להודעה אחרת.</t>
  </si>
  <si>
    <t>טל פורר</t>
  </si>
  <si>
    <t>15.12.1977</t>
  </si>
  <si>
    <t>תאריך לידה</t>
  </si>
  <si>
    <t>18.11.1975</t>
  </si>
  <si>
    <t>30.1.1947</t>
  </si>
  <si>
    <t>19.6.1951</t>
  </si>
  <si>
    <t>16.8.1950</t>
  </si>
  <si>
    <t>8.7.1958</t>
  </si>
  <si>
    <t>2.9.1984</t>
  </si>
  <si>
    <t>26.8.1960</t>
  </si>
  <si>
    <t>18.4.1985</t>
  </si>
  <si>
    <t>מר תומר ראב"ד מכהן ביו"ר דירקטוריון החברה מיום 1 בינואר 2024</t>
  </si>
  <si>
    <t>מספר ביקורות השטח לטכנאים, צוותים ועובדי קבלן</t>
  </si>
  <si>
    <r>
      <t xml:space="preserve">חיבור תשתית אינטרנט </t>
    </r>
    <r>
      <rPr>
        <b/>
        <sz val="15"/>
        <rFont val="Calibri"/>
        <family val="2"/>
      </rPr>
      <t>ב-1,000</t>
    </r>
    <r>
      <rPr>
        <sz val="10"/>
        <rFont val="Calibri"/>
        <family val="2"/>
      </rPr>
      <t xml:space="preserve"> מקלטים</t>
    </r>
  </si>
  <si>
    <r>
      <rPr>
        <b/>
        <sz val="15"/>
        <rFont val="Calibri"/>
        <family val="2"/>
      </rPr>
      <t>תרומה של אלפי מכשירים</t>
    </r>
    <r>
      <rPr>
        <sz val="10"/>
        <rFont val="Calibri"/>
        <family val="2"/>
      </rPr>
      <t xml:space="preserve"> ותשתיות תקשורת למפונים ולנפגעים</t>
    </r>
  </si>
  <si>
    <r>
      <rPr>
        <b/>
        <sz val="15"/>
        <rFont val="Calibri"/>
        <family val="2"/>
      </rPr>
      <t>הכפלת מספר הנשים הבכירות</t>
    </r>
    <r>
      <rPr>
        <sz val="10"/>
        <rFont val="Calibri"/>
        <family val="2"/>
      </rPr>
      <t xml:space="preserve"> בחברות yes ופלאפון</t>
    </r>
  </si>
  <si>
    <r>
      <t>כ-</t>
    </r>
    <r>
      <rPr>
        <b/>
        <sz val="15"/>
        <rFont val="Calibri"/>
        <family val="2"/>
      </rPr>
      <t>16%</t>
    </r>
    <r>
      <rPr>
        <sz val="10"/>
        <rFont val="Calibri"/>
        <family val="2"/>
      </rPr>
      <t xml:space="preserve"> מעובדי הקבוצה משתייכים לאוכלוסיית גיוון
</t>
    </r>
    <r>
      <rPr>
        <sz val="8"/>
        <rFont val="Calibri"/>
        <family val="2"/>
      </rPr>
      <t>* עובדים מהמגזר החרדי, החברה הערבית, יוצאי אתיופיה ואנשים עם מוגבלות</t>
    </r>
  </si>
  <si>
    <r>
      <rPr>
        <b/>
        <sz val="15"/>
        <rFont val="Calibri"/>
        <family val="2"/>
      </rPr>
      <t>91.4%</t>
    </r>
    <r>
      <rPr>
        <sz val="10"/>
        <rFont val="Calibri"/>
        <family val="2"/>
      </rPr>
      <t xml:space="preserve"> מעובדי הקבוצה מאוגדים בהסכמים קיבוציים</t>
    </r>
  </si>
  <si>
    <r>
      <t xml:space="preserve">סה"כ </t>
    </r>
    <r>
      <rPr>
        <b/>
        <sz val="15"/>
        <rFont val="Calibri"/>
        <family val="2"/>
      </rPr>
      <t xml:space="preserve">612 </t>
    </r>
    <r>
      <rPr>
        <sz val="10"/>
        <rFont val="Calibri"/>
        <family val="2"/>
      </rPr>
      <t>ביקורות שטח לקבלנים בכל הקבוצה ו-</t>
    </r>
    <r>
      <rPr>
        <b/>
        <sz val="10"/>
        <rFont val="Calibri"/>
        <family val="2"/>
      </rPr>
      <t xml:space="preserve">111 בדיקות מדגמיות ובדיקות פתע </t>
    </r>
    <r>
      <rPr>
        <sz val="10"/>
        <rFont val="Calibri"/>
        <family val="2"/>
      </rPr>
      <t>לתלושי השכר והתשלומים של ספקי השירות</t>
    </r>
  </si>
  <si>
    <r>
      <t xml:space="preserve">עלייה של </t>
    </r>
    <r>
      <rPr>
        <b/>
        <sz val="15"/>
        <rFont val="Calibri"/>
        <family val="2"/>
      </rPr>
      <t>17%</t>
    </r>
    <r>
      <rPr>
        <sz val="11"/>
        <rFont val="Calibri"/>
        <family val="2"/>
      </rPr>
      <t xml:space="preserve"> בייצוג הנשים בדירקטוריון</t>
    </r>
  </si>
  <si>
    <r>
      <t>כ־</t>
    </r>
    <r>
      <rPr>
        <b/>
        <sz val="15"/>
        <rFont val="Calibri"/>
        <family val="2"/>
      </rPr>
      <t>98%</t>
    </r>
    <r>
      <rPr>
        <sz val="11"/>
        <rFont val="Calibri"/>
        <family val="2"/>
      </rPr>
      <t xml:space="preserve"> מכלל עובדי החברות ,yes פלאפון ובזק בינלאומי TECH ביצעו את לומדת הקוד האתי</t>
    </r>
  </si>
  <si>
    <r>
      <rPr>
        <b/>
        <sz val="15"/>
        <rFont val="Calibri"/>
        <family val="2"/>
      </rPr>
      <t>800</t>
    </r>
    <r>
      <rPr>
        <sz val="11"/>
        <rFont val="Calibri"/>
        <family val="2"/>
      </rPr>
      <t xml:space="preserve"> שעות הדרכת אתיקה בבזק</t>
    </r>
    <r>
      <rPr>
        <sz val="12"/>
        <rFont val="Goudy Old Style"/>
        <family val="1"/>
      </rPr>
      <t> </t>
    </r>
  </si>
  <si>
    <r>
      <t xml:space="preserve">במרץ 2023 הצטרפה בזק </t>
    </r>
    <r>
      <rPr>
        <b/>
        <sz val="15"/>
        <rFont val="Calibri"/>
        <family val="2"/>
      </rPr>
      <t>ליוזמת השוויון המגדרי</t>
    </r>
    <r>
      <rPr>
        <b/>
        <sz val="11"/>
        <rFont val="Calibri"/>
        <family val="2"/>
      </rPr>
      <t xml:space="preserve"> של ארגון הנשים של האו"ם (WEPs). </t>
    </r>
  </si>
  <si>
    <r>
      <t>פרסום</t>
    </r>
    <r>
      <rPr>
        <b/>
        <sz val="15"/>
        <rFont val="Calibri"/>
        <family val="2"/>
      </rPr>
      <t xml:space="preserve"> קוד אתי ייעודי לספקים </t>
    </r>
  </si>
  <si>
    <r>
      <t xml:space="preserve">ירידה של </t>
    </r>
    <r>
      <rPr>
        <b/>
        <sz val="15"/>
        <rFont val="Calibri"/>
        <family val="2"/>
      </rPr>
      <t>20%</t>
    </r>
    <r>
      <rPr>
        <sz val="10"/>
        <rFont val="Calibri"/>
        <family val="2"/>
      </rPr>
      <t xml:space="preserve"> בצריכת המים</t>
    </r>
  </si>
  <si>
    <r>
      <rPr>
        <b/>
        <sz val="14"/>
        <rFont val="Calibri"/>
        <family val="2"/>
      </rPr>
      <t>91.3%</t>
    </r>
    <r>
      <rPr>
        <sz val="10"/>
        <rFont val="Calibri"/>
        <family val="2"/>
      </rPr>
      <t xml:space="preserve"> מיחדוש מוצרים באתר בזקטק</t>
    </r>
  </si>
  <si>
    <r>
      <rPr>
        <sz val="10"/>
        <rFont val="Calibri"/>
        <family val="2"/>
      </rPr>
      <t>ירידה של</t>
    </r>
    <r>
      <rPr>
        <b/>
        <sz val="15"/>
        <rFont val="Calibri"/>
        <family val="2"/>
      </rPr>
      <t xml:space="preserve"> 29%</t>
    </r>
    <r>
      <rPr>
        <sz val="10"/>
        <rFont val="Calibri"/>
        <family val="2"/>
      </rPr>
      <t xml:space="preserve"> בפליטות במכלול 3 בבזק</t>
    </r>
  </si>
  <si>
    <r>
      <rPr>
        <b/>
        <sz val="15"/>
        <rFont val="Calibri"/>
        <family val="2"/>
      </rPr>
      <t>72%</t>
    </r>
    <r>
      <rPr>
        <sz val="10"/>
        <rFont val="Calibri"/>
        <family val="2"/>
      </rPr>
      <t xml:space="preserve"> מהרכבים בקבוצה הם חשמליים והיברידיים</t>
    </r>
  </si>
  <si>
    <r>
      <t xml:space="preserve">לראשונה: </t>
    </r>
    <r>
      <rPr>
        <b/>
        <sz val="10"/>
        <rFont val="Calibri"/>
        <family val="2"/>
      </rPr>
      <t>מדידה של</t>
    </r>
    <r>
      <rPr>
        <sz val="10"/>
        <rFont val="Calibri"/>
        <family val="2"/>
      </rPr>
      <t xml:space="preserve"> </t>
    </r>
    <r>
      <rPr>
        <b/>
        <sz val="15"/>
        <rFont val="Calibri"/>
        <family val="2"/>
      </rPr>
      <t>מכלול 3</t>
    </r>
  </si>
  <si>
    <t xml:space="preserve"> הקיטון נובע מיציאה ממתקן "ברקת", ומתקופת השיפוץ באתר שחם בפתח תקווה</t>
  </si>
  <si>
    <t>הפחתה בפסולת המיוצרת כתוצאה ממעבר לארגזים רב פעמיים - בוקסיט ומפאות</t>
  </si>
  <si>
    <t>ירידה בפסולת המיוצרת בעקבות מעבר לארגזים רב פעמיים לבוקסיט ומפאות</t>
  </si>
  <si>
    <t>403-8</t>
  </si>
  <si>
    <t>אירועי בטיחות (כולל "כמעט ונפגע"), כולל תאונות דרכים</t>
  </si>
  <si>
    <t>תאונות דרכים בדרך אל או מהעבודה / במהלך נסיעת עבודה</t>
  </si>
  <si>
    <t>403-1</t>
  </si>
  <si>
    <t>2-20</t>
  </si>
  <si>
    <t xml:space="preserve"> 2-26</t>
  </si>
  <si>
    <t>רכיב</t>
  </si>
  <si>
    <t>פירוט</t>
  </si>
  <si>
    <t>יעד: הכפלת אחוז העובדים מאוכלוסיות גיוון עד 2030</t>
  </si>
  <si>
    <t xml:space="preserve">בשנת 2023, כ-65% מהפניות למבקר החברה עסקו בסוגיות משאבי אנוש, כ-14% עסקו בנושאי תפעול, והשאר עסקו בנושאים אחרים. </t>
  </si>
  <si>
    <r>
      <t xml:space="preserve">פסולת מיוצרת בחברת פלאפון </t>
    </r>
    <r>
      <rPr>
        <sz val="11"/>
        <color rgb="FF16254F"/>
        <rFont val="Calibri"/>
        <family val="2"/>
      </rPr>
      <t>(ק"ג)</t>
    </r>
  </si>
  <si>
    <r>
      <t>yes - פסולת</t>
    </r>
    <r>
      <rPr>
        <sz val="11"/>
        <color rgb="FF16254F"/>
        <rFont val="Calibri"/>
        <family val="2"/>
      </rPr>
      <t xml:space="preserve"> (ק"ג)</t>
    </r>
  </si>
  <si>
    <r>
      <t xml:space="preserve">בזק בינלאומי tech - פסולת </t>
    </r>
    <r>
      <rPr>
        <sz val="11"/>
        <color rgb="FF16254F"/>
        <rFont val="Calibri"/>
        <family val="2"/>
      </rPr>
      <t>(ק"ג)</t>
    </r>
  </si>
  <si>
    <t>* נכון לאוגוסט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</si>
</sst>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₪&quot;\ * #,##0_ ;_ &quot;₪&quot;\ * \-#,##0_ ;_ &quot;₪&quot;\ * &quot;-&quot;_ ;_ @_ "/>
    <numFmt numFmtId="41" formatCode="_ * #,##0_ ;_ * \-#,##0_ ;_ * &quot;-&quot;_ ;_ @_ "/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  <numFmt numFmtId="167" formatCode="_ * #,##0.000_ ;_ * \-#,##0.000_ ;_ * &quot;-&quot;??_ ;_ @_ "/>
    <numFmt numFmtId="168" formatCode="#,##0.0"/>
  </numFmts>
  <fonts count="54"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  <scheme val="minor"/>
    </font>
    <font>
      <u val="single"/>
      <sz val="11"/>
      <color theme="1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rgb="FF16254F"/>
      <name val="Calibri"/>
      <family val="2"/>
    </font>
    <font>
      <b/>
      <sz val="12"/>
      <color rgb="FF16254F"/>
      <name val="Calibri"/>
      <family val="2"/>
    </font>
    <font>
      <sz val="10"/>
      <color rgb="FF16254F"/>
      <name val="Arial"/>
      <family val="2"/>
      <scheme val="minor"/>
    </font>
    <font>
      <b/>
      <sz val="16"/>
      <color theme="0"/>
      <name val="Calibri"/>
      <family val="2"/>
    </font>
    <font>
      <sz val="14"/>
      <color theme="0"/>
      <name val="Calibri"/>
      <family val="2"/>
    </font>
    <font>
      <sz val="10"/>
      <color theme="1"/>
      <name val="Calibri"/>
      <family val="2"/>
    </font>
    <font>
      <sz val="10"/>
      <color rgb="FF1229C6"/>
      <name val="Calibri"/>
      <family val="2"/>
    </font>
    <font>
      <sz val="10"/>
      <color rgb="FF000000"/>
      <name val="Calibri"/>
      <family val="2"/>
    </font>
    <font>
      <sz val="11"/>
      <color rgb="FF1229C6"/>
      <name val="Calibri"/>
      <family val="2"/>
    </font>
    <font>
      <sz val="14"/>
      <color rgb="FF1229C6"/>
      <name val="Calibri"/>
      <family val="2"/>
    </font>
    <font>
      <b/>
      <sz val="10"/>
      <color rgb="FF000000"/>
      <name val="Calibri"/>
      <family val="2"/>
    </font>
    <font>
      <sz val="18"/>
      <color rgb="FF16254F"/>
      <name val="Calibri"/>
      <family val="2"/>
    </font>
    <font>
      <b/>
      <sz val="14"/>
      <color rgb="FF16254F"/>
      <name val="Calibri"/>
      <family val="2"/>
    </font>
    <font>
      <sz val="11"/>
      <color rgb="FF16254F"/>
      <name val="Calibri"/>
      <family val="2"/>
    </font>
    <font>
      <b/>
      <sz val="10"/>
      <color theme="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theme="1"/>
      <name val="Calibri"/>
      <family val="2"/>
    </font>
    <font>
      <sz val="10"/>
      <color theme="0"/>
      <name val="Calibri"/>
      <family val="2"/>
    </font>
    <font>
      <b/>
      <sz val="10"/>
      <color rgb="FF16254F"/>
      <name val="Calibri"/>
      <family val="2"/>
    </font>
    <font>
      <u val="single"/>
      <sz val="10"/>
      <color theme="10"/>
      <name val="Calibri"/>
      <family val="2"/>
    </font>
    <font>
      <sz val="10"/>
      <color theme="10"/>
      <name val="Calibri"/>
      <family val="2"/>
    </font>
    <font>
      <sz val="10"/>
      <name val="Arial"/>
      <family val="2"/>
      <scheme val="minor"/>
    </font>
    <font>
      <b/>
      <sz val="11"/>
      <color theme="1"/>
      <name val="Calibri"/>
      <family val="2"/>
    </font>
    <font>
      <sz val="18"/>
      <color theme="1"/>
      <name val="Calibri"/>
      <family val="2"/>
    </font>
    <font>
      <b/>
      <sz val="14"/>
      <color theme="1"/>
      <name val="Calibri"/>
      <family val="2"/>
    </font>
    <font>
      <sz val="8"/>
      <name val="Calibri"/>
      <family val="2"/>
    </font>
    <font>
      <sz val="9"/>
      <name val="Tahoma"/>
      <family val="2"/>
    </font>
    <font>
      <b/>
      <sz val="9"/>
      <name val="Tahoma"/>
      <family val="2"/>
    </font>
    <font>
      <b/>
      <sz val="14"/>
      <color rgb="FFFF0000"/>
      <name val="Calibri"/>
      <family val="2"/>
    </font>
    <font>
      <b/>
      <sz val="18"/>
      <color rgb="FF16254F"/>
      <name val="Calibri"/>
      <family val="2"/>
    </font>
    <font>
      <sz val="18"/>
      <name val="Calibri"/>
      <family val="2"/>
    </font>
    <font>
      <b/>
      <sz val="11"/>
      <name val="Arial"/>
      <family val="2"/>
      <scheme val="minor"/>
    </font>
    <font>
      <b/>
      <sz val="10"/>
      <name val="Arial"/>
      <family val="2"/>
      <scheme val="minor"/>
    </font>
    <font>
      <sz val="11"/>
      <name val="Arial"/>
      <family val="2"/>
      <scheme val="minor"/>
    </font>
    <font>
      <sz val="11"/>
      <name val="Arial"/>
      <family val="2"/>
    </font>
    <font>
      <b/>
      <sz val="18"/>
      <color rgb="FF16254F"/>
      <name val="Calibri Light"/>
      <family val="2"/>
    </font>
    <font>
      <sz val="12"/>
      <name val="Goudy Old Style"/>
      <family val="1"/>
    </font>
    <font>
      <b/>
      <sz val="8"/>
      <name val="Calibri"/>
      <family val="2"/>
    </font>
    <font>
      <b/>
      <sz val="10"/>
      <color rgb="FFFFFFFF"/>
      <name val="Calibri"/>
      <family val="2"/>
    </font>
    <font>
      <sz val="8"/>
      <color theme="1"/>
      <name val="Calibri"/>
      <family val="2"/>
    </font>
    <font>
      <b/>
      <sz val="15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04961000010371208"/>
        <bgColor indexed="64"/>
      </patternFill>
    </fill>
    <fill>
      <patternFill patternType="solid">
        <fgColor rgb="FF16254F"/>
        <bgColor indexed="64"/>
      </patternFill>
    </fill>
    <fill>
      <patternFill patternType="solid">
        <fgColor theme="0" tint="-0.1496199965476989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BF9"/>
        <bgColor indexed="64"/>
      </patternFill>
    </fill>
    <fill>
      <patternFill patternType="solid">
        <fgColor rgb="FF0C1C60"/>
        <bgColor indexed="64"/>
      </patternFill>
    </fill>
    <fill>
      <patternFill patternType="solid">
        <fgColor rgb="FFD2CBD2"/>
        <bgColor indexed="64"/>
      </patternFill>
    </fill>
    <fill>
      <patternFill patternType="solid">
        <fgColor rgb="FF5392C7"/>
        <bgColor indexed="64"/>
      </patternFill>
    </fill>
    <fill>
      <patternFill patternType="solid">
        <fgColor theme="0" tint="-0.14981000125408173"/>
        <bgColor indexed="64"/>
      </patternFill>
    </fill>
    <fill>
      <patternFill patternType="solid">
        <fgColor theme="0" tint="-0.04992000013589859"/>
        <bgColor indexed="64"/>
      </patternFill>
    </fill>
  </fills>
  <borders count="88">
    <border>
      <left/>
      <right/>
      <top/>
      <bottom/>
      <diagonal/>
    </border>
    <border>
      <left style="thin">
        <color theme="0"/>
      </left>
      <right/>
      <top/>
      <bottom/>
    </border>
    <border>
      <left/>
      <right style="thin">
        <color theme="0"/>
      </right>
      <top style="thin">
        <color theme="0" tint="-0.04961000010371208"/>
      </top>
      <bottom/>
    </border>
    <border>
      <left/>
      <right/>
      <top style="thin">
        <color theme="0" tint="-0.04961000010371208"/>
      </top>
      <bottom/>
    </border>
    <border>
      <left/>
      <right/>
      <top/>
      <bottom style="thin">
        <color theme="0" tint="-0.04961000010371208"/>
      </bottom>
    </border>
    <border>
      <left/>
      <right style="thin">
        <color theme="0"/>
      </right>
      <top/>
      <bottom/>
    </border>
    <border>
      <left/>
      <right style="thin">
        <color theme="0"/>
      </right>
      <top/>
      <bottom style="thin">
        <color theme="0" tint="-0.04961000010371208"/>
      </bottom>
    </border>
    <border>
      <left/>
      <right/>
      <top style="thin">
        <color theme="0" tint="-0.04961000010371208"/>
      </top>
      <bottom style="thin">
        <color theme="0" tint="-0.04961000010371208"/>
      </bottom>
    </border>
    <border>
      <left/>
      <right/>
      <top/>
      <bottom style="thin">
        <color theme="0" tint="-0.14961999654769897"/>
      </bottom>
    </border>
    <border>
      <left/>
      <right/>
      <top style="thin">
        <color theme="0" tint="-0.14961999654769897"/>
      </top>
      <bottom/>
    </border>
    <border>
      <left/>
      <right/>
      <top style="thin">
        <color theme="0" tint="-0.04992000013589859"/>
      </top>
      <bottom style="thin">
        <color theme="0" tint="-0.04992000013589859"/>
      </bottom>
    </border>
    <border>
      <left/>
      <right/>
      <top/>
      <bottom style="thick">
        <color rgb="FF16254F"/>
      </bottom>
    </border>
    <border>
      <left style="thick">
        <color theme="0"/>
      </left>
      <right/>
      <top/>
      <bottom/>
    </border>
    <border>
      <left/>
      <right style="thin">
        <color theme="0" tint="-0.34961000084877014"/>
      </right>
      <top/>
      <bottom/>
    </border>
    <border>
      <left style="thin">
        <color theme="0" tint="-0.34961000084877014"/>
      </left>
      <right/>
      <top/>
      <bottom/>
    </border>
    <border>
      <left/>
      <right style="thin">
        <color theme="0" tint="-0.34961000084877014"/>
      </right>
      <top style="thin">
        <color theme="0" tint="-0.04961000010371208"/>
      </top>
      <bottom style="thin">
        <color theme="0" tint="-0.04961000010371208"/>
      </bottom>
    </border>
    <border>
      <left/>
      <right style="thin">
        <color theme="0" tint="-0.34961000084877014"/>
      </right>
      <top/>
      <bottom style="thin">
        <color theme="0" tint="-0.04961000010371208"/>
      </bottom>
    </border>
    <border>
      <left/>
      <right/>
      <top style="thin">
        <color theme="0" tint="-0.04961000010371208"/>
      </top>
      <bottom style="thin">
        <color theme="0" tint="-0.34961000084877014"/>
      </bottom>
    </border>
    <border>
      <left style="thin">
        <color theme="0"/>
      </left>
      <right style="thin">
        <color theme="0"/>
      </right>
      <top/>
      <bottom/>
    </border>
    <border>
      <left/>
      <right style="thick">
        <color theme="0"/>
      </right>
      <top/>
      <bottom/>
    </border>
    <border>
      <left/>
      <right style="thick">
        <color theme="0"/>
      </right>
      <top style="thin">
        <color theme="0" tint="-0.04961000010371208"/>
      </top>
      <bottom/>
    </border>
    <border>
      <left/>
      <right style="thick">
        <color theme="0"/>
      </right>
      <top/>
      <bottom style="thin">
        <color theme="0" tint="-0.04961000010371208"/>
      </bottom>
    </border>
    <border>
      <left/>
      <right style="thick">
        <color theme="0"/>
      </right>
      <top style="thin">
        <color theme="0" tint="-0.04961000010371208"/>
      </top>
      <bottom style="thin">
        <color theme="0" tint="-0.04961000010371208"/>
      </bottom>
    </border>
    <border>
      <left style="thick">
        <color theme="0"/>
      </left>
      <right style="thin">
        <color auto="1"/>
      </right>
      <top style="thin">
        <color auto="1"/>
      </top>
      <bottom/>
    </border>
    <border>
      <left style="thin">
        <color theme="0" tint="-0.34961000084877014"/>
      </left>
      <right/>
      <top/>
      <bottom style="thin">
        <color theme="0" tint="-0.04961000010371208"/>
      </bottom>
    </border>
    <border>
      <left style="thin">
        <color theme="0" tint="-0.34961000084877014"/>
      </left>
      <right/>
      <top style="thin">
        <color theme="0" tint="-0.04961000010371208"/>
      </top>
      <bottom style="thin">
        <color theme="0" tint="-0.04961000010371208"/>
      </bottom>
    </border>
    <border>
      <left/>
      <right style="thin">
        <color theme="0" tint="-0.34961000084877014"/>
      </right>
      <top style="thin">
        <color theme="0" tint="-0.04961000010371208"/>
      </top>
      <bottom/>
    </border>
    <border>
      <left/>
      <right style="thin">
        <color theme="0" tint="-0.14961999654769897"/>
      </right>
      <top style="thin">
        <color theme="0" tint="-0.04961000010371208"/>
      </top>
      <bottom style="thin">
        <color theme="0" tint="-0.04961000010371208"/>
      </bottom>
    </border>
    <border>
      <left style="thick">
        <color theme="0"/>
      </left>
      <right style="thick">
        <color theme="0"/>
      </right>
      <top/>
      <bottom/>
    </border>
    <border>
      <left/>
      <right/>
      <top/>
      <bottom style="thin">
        <color theme="0" tint="-0.14959000051021576"/>
      </bottom>
    </border>
    <border>
      <left/>
      <right/>
      <top style="thin">
        <color theme="0" tint="-0.14959000051021576"/>
      </top>
      <bottom style="thin">
        <color theme="0" tint="-0.14959000051021576"/>
      </bottom>
    </border>
    <border>
      <left/>
      <right/>
      <top style="thin">
        <color theme="0" tint="-0.14959000051021576"/>
      </top>
      <bottom/>
    </border>
    <border>
      <left style="thin">
        <color theme="0" tint="-0.34961000084877014"/>
      </left>
      <right/>
      <top style="thin">
        <color theme="0" tint="-0.04961000010371208"/>
      </top>
      <bottom/>
    </border>
    <border>
      <left/>
      <right/>
      <top/>
      <bottom style="thin">
        <color theme="0" tint="-0.04949000105261803"/>
      </bottom>
    </border>
    <border>
      <left/>
      <right/>
      <top style="thin">
        <color theme="0" tint="-0.04949000105261803"/>
      </top>
      <bottom style="thin">
        <color theme="0" tint="-0.04949000105261803"/>
      </bottom>
    </border>
    <border>
      <left/>
      <right/>
      <top style="thin">
        <color theme="0" tint="-0.04949000105261803"/>
      </top>
      <bottom/>
    </border>
    <border>
      <left/>
      <right/>
      <top style="thin">
        <color rgb="FFF2F2F2"/>
      </top>
      <bottom style="thin">
        <color rgb="FFF2F2F2"/>
      </bottom>
    </border>
    <border>
      <left/>
      <right/>
      <top/>
      <bottom style="medium">
        <color rgb="FFF2F2F2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 style="thin">
        <color auto="1"/>
      </right>
      <top/>
      <bottom style="thin">
        <color theme="0" tint="-0.04961000010371208"/>
      </bottom>
    </border>
    <border>
      <left/>
      <right style="thin">
        <color auto="1"/>
      </right>
      <top style="thin">
        <color theme="0" tint="-0.04961000010371208"/>
      </top>
      <bottom style="thin">
        <color theme="0" tint="-0.04961000010371208"/>
      </bottom>
    </border>
    <border>
      <left/>
      <right style="thin">
        <color auto="1"/>
      </right>
      <top style="thin">
        <color theme="0" tint="-0.04961000010371208"/>
      </top>
      <bottom/>
    </border>
    <border>
      <left/>
      <right/>
      <top/>
      <bottom style="thin">
        <color theme="0" tint="-0.04992000013589859"/>
      </bottom>
    </border>
    <border>
      <left/>
      <right/>
      <top style="thin">
        <color theme="0" tint="-0.04992000013589859"/>
      </top>
      <bottom/>
    </border>
    <border>
      <left/>
      <right/>
      <top style="thin">
        <color theme="2"/>
      </top>
      <bottom/>
    </border>
    <border>
      <left/>
      <right/>
      <top style="thin">
        <color theme="0" tint="-0.04961000010371208"/>
      </top>
      <bottom style="thin">
        <color theme="0" tint="-0.04992000013589859"/>
      </bottom>
    </border>
    <border>
      <left style="thin">
        <color theme="0" tint="-0.24990999698638916"/>
      </left>
      <right/>
      <top/>
      <bottom style="thin">
        <color theme="0" tint="-0.04961000010371208"/>
      </bottom>
    </border>
    <border>
      <left style="thin">
        <color theme="0" tint="-0.24990999698638916"/>
      </left>
      <right/>
      <top style="thin">
        <color theme="0" tint="-0.04961000010371208"/>
      </top>
      <bottom style="thin">
        <color theme="0" tint="-0.04961000010371208"/>
      </bottom>
    </border>
    <border>
      <left/>
      <right style="thin">
        <color theme="0" tint="-0.24990999698638916"/>
      </right>
      <top/>
      <bottom/>
    </border>
    <border>
      <left/>
      <right style="medium">
        <color theme="0"/>
      </right>
      <top/>
      <bottom/>
    </border>
    <border>
      <left/>
      <right style="medium">
        <color theme="0"/>
      </right>
      <top/>
      <bottom style="thin">
        <color theme="0" tint="-0.04949000105261803"/>
      </bottom>
    </border>
    <border>
      <left/>
      <right style="medium">
        <color theme="0"/>
      </right>
      <top style="thin">
        <color theme="0" tint="-0.04961000010371208"/>
      </top>
      <bottom style="thin">
        <color theme="0" tint="-0.04961000010371208"/>
      </bottom>
    </border>
    <border>
      <left/>
      <right style="thin">
        <color theme="0" tint="-0.04992000013589859"/>
      </right>
      <top/>
      <bottom/>
    </border>
    <border>
      <left/>
      <right style="thin">
        <color theme="0" tint="-0.04992000013589859"/>
      </right>
      <top/>
      <bottom style="thin">
        <color theme="0" tint="-0.04949000105261803"/>
      </bottom>
    </border>
    <border>
      <left/>
      <right style="thin">
        <color theme="0" tint="-0.04992000013589859"/>
      </right>
      <top style="thin">
        <color theme="0" tint="-0.04961000010371208"/>
      </top>
      <bottom style="thin">
        <color theme="0" tint="-0.04961000010371208"/>
      </bottom>
    </border>
    <border>
      <left/>
      <right style="thin">
        <color theme="0" tint="-0.14993000030517578"/>
      </right>
      <top/>
      <bottom style="thin">
        <color theme="0" tint="-0.04949000105261803"/>
      </bottom>
    </border>
    <border>
      <left/>
      <right style="thin">
        <color theme="0" tint="-0.14993000030517578"/>
      </right>
      <top/>
      <bottom/>
    </border>
    <border>
      <left/>
      <right style="thin">
        <color theme="0" tint="-0.14993000030517578"/>
      </right>
      <top style="thin">
        <color theme="0" tint="-0.04961000010371208"/>
      </top>
      <bottom style="thin">
        <color theme="0" tint="-0.04961000010371208"/>
      </bottom>
    </border>
    <border>
      <left/>
      <right style="thin">
        <color theme="0" tint="-0.24990999698638916"/>
      </right>
      <top/>
      <bottom style="thin">
        <color theme="0" tint="-0.04961000010371208"/>
      </bottom>
    </border>
    <border>
      <left/>
      <right style="thin">
        <color theme="0" tint="-0.24990999698638916"/>
      </right>
      <top style="thin">
        <color theme="0" tint="-0.04961000010371208"/>
      </top>
      <bottom/>
    </border>
    <border>
      <left/>
      <right style="thin">
        <color theme="0" tint="-0.24990999698638916"/>
      </right>
      <top style="thin">
        <color theme="0" tint="-0.04961000010371208"/>
      </top>
      <bottom style="thin">
        <color theme="0" tint="-0.04961000010371208"/>
      </bottom>
    </border>
    <border>
      <left/>
      <right/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theme="0"/>
      </top>
      <bottom/>
    </border>
    <border>
      <left style="thick">
        <color theme="0"/>
      </left>
      <right/>
      <top/>
      <bottom style="thin">
        <color theme="0" tint="-0.04961000010371208"/>
      </bottom>
    </border>
    <border>
      <left/>
      <right style="thick">
        <color rgb="FFFFFFFF"/>
      </right>
      <top/>
      <bottom style="thin">
        <color rgb="FFF2F2F2"/>
      </bottom>
    </border>
    <border>
      <left/>
      <right style="thick">
        <color rgb="FFFFFFFF"/>
      </right>
      <top style="thin">
        <color rgb="FFF2F2F2"/>
      </top>
      <bottom style="thin">
        <color rgb="FFF2F2F2"/>
      </bottom>
    </border>
    <border>
      <left/>
      <right style="thick">
        <color rgb="FFFFFFFF"/>
      </right>
      <top style="thin">
        <color rgb="FFF2F2F2"/>
      </top>
      <bottom/>
    </border>
    <border>
      <left style="thick">
        <color theme="0"/>
      </left>
      <right/>
      <top style="thin">
        <color theme="0" tint="-0.04961000010371208"/>
      </top>
      <bottom style="thin">
        <color theme="0" tint="-0.04961000010371208"/>
      </bottom>
    </border>
    <border>
      <left style="thick">
        <color theme="0"/>
      </left>
      <right/>
      <top style="thin">
        <color theme="0" tint="-0.04961000010371208"/>
      </top>
      <bottom/>
    </border>
    <border>
      <left style="thin">
        <color theme="0"/>
      </left>
      <right style="thin">
        <color theme="0"/>
      </right>
      <top/>
      <bottom style="thin">
        <color theme="0" tint="-0.04961000010371208"/>
      </bottom>
    </border>
    <border>
      <left style="thin">
        <color theme="0"/>
      </left>
      <right/>
      <top/>
      <bottom style="thin">
        <color theme="0" tint="-0.04961000010371208"/>
      </bottom>
    </border>
    <border>
      <left style="thin">
        <color theme="0" tint="-0.34961000084877014"/>
      </left>
      <right style="thin">
        <color theme="0" tint="-0.34961000084877014"/>
      </right>
      <top style="thin">
        <color theme="0" tint="-0.04961000010371208"/>
      </top>
      <bottom/>
    </border>
    <border>
      <left style="thick">
        <color theme="0"/>
      </left>
      <right style="thin">
        <color auto="1"/>
      </right>
      <top/>
      <bottom/>
    </border>
    <border>
      <left/>
      <right style="thick">
        <color theme="0"/>
      </right>
      <top style="thin">
        <color theme="0" tint="-0.04949000105261803"/>
      </top>
      <bottom/>
    </border>
    <border>
      <left style="thin">
        <color theme="0" tint="-0.24990999698638916"/>
      </left>
      <right/>
      <top style="thin">
        <color theme="0" tint="-0.04992000013589859"/>
      </top>
      <bottom/>
    </border>
    <border>
      <left/>
      <right style="thick">
        <color theme="0"/>
      </right>
      <top style="thin">
        <color theme="0" tint="-0.04992000013589859"/>
      </top>
      <bottom/>
    </border>
    <border>
      <left style="thin">
        <color theme="0" tint="-0.24990999698638916"/>
      </left>
      <right/>
      <top style="thin">
        <color theme="0" tint="-0.04961000010371208"/>
      </top>
      <bottom style="thin">
        <color theme="0" tint="-0.04992000013589859"/>
      </bottom>
    </border>
    <border>
      <left/>
      <right style="thin">
        <color theme="0" tint="-0.24990999698638916"/>
      </right>
      <top style="thin">
        <color theme="0" tint="-0.04961000010371208"/>
      </top>
      <bottom style="thin">
        <color theme="0" tint="-0.04992000013589859"/>
      </bottom>
    </border>
    <border>
      <left/>
      <right style="thin">
        <color theme="0" tint="-0.24990999698638916"/>
      </right>
      <top style="thin">
        <color theme="0" tint="-0.04949000105261803"/>
      </top>
      <bottom/>
    </border>
    <border>
      <left style="thin">
        <color theme="0" tint="-0.24990999698638916"/>
      </left>
      <right/>
      <top/>
      <bottom/>
    </border>
    <border>
      <left/>
      <right style="thin">
        <color theme="0" tint="-0.24990999698638916"/>
      </right>
      <top style="thin">
        <color theme="0" tint="-0.04992000013589859"/>
      </top>
      <bottom/>
    </border>
    <border>
      <left/>
      <right style="thin">
        <color theme="0" tint="-0.34961000084877014"/>
      </right>
      <top style="thin">
        <color theme="0" tint="-0.04961000010371208"/>
      </top>
      <bottom style="thin">
        <color theme="0" tint="-0.34961000084877014"/>
      </bottom>
    </border>
    <border>
      <left/>
      <right/>
      <top style="thin">
        <color theme="0" tint="-0.34961000084877014"/>
      </top>
      <bottom style="thin">
        <color theme="0" tint="-0.04961000010371208"/>
      </bottom>
    </border>
    <border>
      <left/>
      <right style="thin">
        <color theme="0" tint="-0.34961000084877014"/>
      </right>
      <top style="thin">
        <color theme="0" tint="-0.34961000084877014"/>
      </top>
      <bottom style="thin">
        <color theme="0" tint="-0.04961000010371208"/>
      </bottom>
    </border>
    <border>
      <left style="thin">
        <color theme="0" tint="-0.04992000013589859"/>
      </left>
      <right/>
      <top/>
      <bottom/>
    </border>
    <border>
      <left style="thin">
        <color theme="0" tint="-0.14993000030517578"/>
      </left>
      <right/>
      <top/>
      <bottom/>
    </border>
  </borders>
  <cellStyleXfs count="27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7" fillId="0" borderId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ill="0" applyBorder="0" applyAlignment="0" applyProtection="0"/>
    <xf numFmtId="43" fontId="7" fillId="0" borderId="0" applyFill="0" applyBorder="0" applyAlignment="0" applyProtection="0"/>
    <xf numFmtId="41" fontId="1" fillId="0" borderId="0" applyFill="0" applyBorder="0" applyAlignment="0" applyProtection="0"/>
    <xf numFmtId="0" fontId="5" fillId="0" borderId="0" applyNumberFormat="0" applyFill="0" applyBorder="0" applyAlignment="0" applyProtection="0"/>
    <xf numFmtId="43" fontId="7" fillId="0" borderId="0" applyFill="0" applyBorder="0" applyAlignment="0" applyProtection="0"/>
    <xf numFmtId="0" fontId="0" fillId="0" borderId="0" applyNumberFormat="0" applyFill="0" applyBorder="0">
      <alignment/>
      <protection/>
    </xf>
    <xf numFmtId="0" fontId="7" fillId="0" borderId="0" applyNumberFormat="0" applyFill="0" applyBorder="0">
      <alignment/>
      <protection/>
    </xf>
    <xf numFmtId="43" fontId="7" fillId="0" borderId="0" applyFill="0" applyBorder="0" applyAlignment="0" applyProtection="0"/>
    <xf numFmtId="9" fontId="7" fillId="0" borderId="0" applyFill="0" applyBorder="0" applyAlignment="0" applyProtection="0"/>
    <xf numFmtId="43" fontId="7" fillId="0" borderId="0" applyFill="0" applyBorder="0" applyAlignment="0" applyProtection="0"/>
  </cellStyleXfs>
  <cellXfs count="964">
    <xf numFmtId="0" fontId="0" fillId="0" borderId="0" xfId="0"/>
    <xf numFmtId="0" fontId="24" fillId="2" borderId="1" xfId="18" applyNumberFormat="1" applyFont="1" applyFill="1" applyBorder="1" applyAlignment="1">
      <alignment horizontal="center" vertical="center" wrapText="1" readingOrder="2"/>
    </xf>
    <xf numFmtId="9" fontId="13" fillId="0" borderId="2" xfId="15" applyFont="1" applyBorder="1" applyAlignment="1">
      <alignment horizontal="right" vertical="center"/>
    </xf>
    <xf numFmtId="0" fontId="22" fillId="3" borderId="0" xfId="0" applyFont="1" applyFill="1" applyAlignment="1">
      <alignment horizontal="center" vertical="center" wrapText="1" readingOrder="2"/>
    </xf>
    <xf numFmtId="0" fontId="24" fillId="2" borderId="0" xfId="18" applyNumberFormat="1" applyFont="1" applyFill="1" applyAlignment="1">
      <alignment horizontal="center" vertical="center" wrapText="1" readingOrder="2"/>
    </xf>
    <xf numFmtId="0" fontId="20" fillId="4" borderId="0" xfId="18" applyNumberFormat="1" applyFont="1" applyFill="1" applyAlignment="1">
      <alignment horizontal="center" vertical="center" wrapText="1" readingOrder="2"/>
    </xf>
    <xf numFmtId="0" fontId="22" fillId="3" borderId="0" xfId="0" applyFont="1" applyFill="1" applyAlignment="1">
      <alignment horizontal="right" vertical="center" wrapText="1"/>
    </xf>
    <xf numFmtId="9" fontId="13" fillId="0" borderId="3" xfId="15" applyFont="1" applyBorder="1" applyAlignment="1">
      <alignment horizontal="right" vertical="center"/>
    </xf>
    <xf numFmtId="9" fontId="13" fillId="0" borderId="4" xfId="15" applyFont="1" applyBorder="1" applyAlignment="1">
      <alignment horizontal="right" vertical="center"/>
    </xf>
    <xf numFmtId="166" fontId="13" fillId="5" borderId="0" xfId="18" applyNumberFormat="1" applyFont="1" applyFill="1" applyAlignment="1">
      <alignment horizontal="center" vertical="center"/>
    </xf>
    <xf numFmtId="166" fontId="13" fillId="5" borderId="3" xfId="18" applyNumberFormat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readingOrder="2"/>
    </xf>
    <xf numFmtId="0" fontId="27" fillId="0" borderId="4" xfId="18" applyNumberFormat="1" applyFont="1" applyBorder="1" applyAlignment="1">
      <alignment horizontal="right" vertical="center"/>
    </xf>
    <xf numFmtId="9" fontId="13" fillId="0" borderId="6" xfId="15" applyFont="1" applyBorder="1" applyAlignment="1">
      <alignment horizontal="right" vertical="center"/>
    </xf>
    <xf numFmtId="0" fontId="22" fillId="3" borderId="5" xfId="0" applyFont="1" applyFill="1" applyBorder="1" applyAlignment="1">
      <alignment horizontal="right" vertical="center" wrapText="1"/>
    </xf>
    <xf numFmtId="0" fontId="27" fillId="6" borderId="3" xfId="18" applyNumberFormat="1" applyFont="1" applyFill="1" applyBorder="1" applyAlignment="1">
      <alignment horizontal="right" vertical="center"/>
    </xf>
    <xf numFmtId="0" fontId="27" fillId="6" borderId="4" xfId="18" applyNumberFormat="1" applyFont="1" applyFill="1" applyBorder="1" applyAlignment="1">
      <alignment horizontal="right" vertical="center"/>
    </xf>
    <xf numFmtId="0" fontId="22" fillId="3" borderId="1" xfId="0" applyFont="1" applyFill="1" applyBorder="1" applyAlignment="1">
      <alignment horizontal="center" vertical="center" readingOrder="2"/>
    </xf>
    <xf numFmtId="0" fontId="22" fillId="3" borderId="0" xfId="0" applyFont="1" applyFill="1" applyAlignment="1">
      <alignment horizontal="center" vertical="center" readingOrder="2"/>
    </xf>
    <xf numFmtId="166" fontId="13" fillId="5" borderId="7" xfId="18" applyNumberFormat="1" applyFont="1" applyFill="1" applyBorder="1" applyAlignment="1">
      <alignment horizontal="center" vertical="center"/>
    </xf>
    <xf numFmtId="166" fontId="13" fillId="5" borderId="4" xfId="18" applyNumberFormat="1" applyFont="1" applyFill="1" applyBorder="1" applyAlignment="1">
      <alignment horizontal="center" vertical="center"/>
    </xf>
    <xf numFmtId="0" fontId="27" fillId="6" borderId="8" xfId="18" applyNumberFormat="1" applyFont="1" applyFill="1" applyBorder="1" applyAlignment="1">
      <alignment horizontal="right" vertical="center"/>
    </xf>
    <xf numFmtId="0" fontId="27" fillId="6" borderId="0" xfId="18" applyNumberFormat="1" applyFont="1" applyFill="1" applyAlignment="1">
      <alignment horizontal="right" vertical="center"/>
    </xf>
    <xf numFmtId="0" fontId="27" fillId="6" borderId="9" xfId="18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horizontal="right" wrapText="1"/>
    </xf>
    <xf numFmtId="0" fontId="15" fillId="0" borderId="7" xfId="0" applyFont="1" applyBorder="1" applyAlignment="1">
      <alignment horizontal="right" vertical="center" wrapText="1" readingOrder="2"/>
    </xf>
    <xf numFmtId="0" fontId="24" fillId="0" borderId="7" xfId="0" applyFont="1" applyBorder="1" applyAlignment="1">
      <alignment horizontal="right" vertical="center" wrapText="1" readingOrder="2"/>
    </xf>
    <xf numFmtId="0" fontId="8" fillId="0" borderId="0" xfId="0" applyFont="1" applyAlignment="1">
      <alignment vertical="top" wrapText="1" readingOrder="2"/>
    </xf>
    <xf numFmtId="0" fontId="27" fillId="0" borderId="3" xfId="0" applyFont="1" applyBorder="1" applyAlignment="1">
      <alignment horizontal="right" vertical="center"/>
    </xf>
    <xf numFmtId="0" fontId="22" fillId="3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horizontal="center" vertical="center" readingOrder="2"/>
    </xf>
    <xf numFmtId="9" fontId="13" fillId="0" borderId="3" xfId="15" applyFont="1" applyBorder="1" applyAlignment="1">
      <alignment horizontal="right" vertical="center"/>
    </xf>
    <xf numFmtId="9" fontId="13" fillId="0" borderId="4" xfId="15" applyFont="1" applyBorder="1" applyAlignment="1">
      <alignment horizontal="right" vertical="center"/>
    </xf>
    <xf numFmtId="0" fontId="22" fillId="3" borderId="0" xfId="0" applyFont="1" applyFill="1" applyAlignment="1">
      <alignment horizontal="right" vertical="center" wrapText="1"/>
    </xf>
    <xf numFmtId="0" fontId="27" fillId="0" borderId="3" xfId="18" applyNumberFormat="1" applyFont="1" applyBorder="1" applyAlignment="1">
      <alignment horizontal="right" vertical="center"/>
    </xf>
    <xf numFmtId="0" fontId="27" fillId="0" borderId="7" xfId="18" applyNumberFormat="1" applyFont="1" applyBorder="1" applyAlignment="1">
      <alignment horizontal="right" vertical="center"/>
    </xf>
    <xf numFmtId="0" fontId="27" fillId="0" borderId="4" xfId="18" applyNumberFormat="1" applyFont="1" applyBorder="1" applyAlignment="1">
      <alignment horizontal="right" vertical="center"/>
    </xf>
    <xf numFmtId="3" fontId="0" fillId="0" borderId="0" xfId="0" applyNumberFormat="1"/>
    <xf numFmtId="0" fontId="0" fillId="0" borderId="0" xfId="18" applyNumberFormat="1" applyFont="1"/>
    <xf numFmtId="166" fontId="0" fillId="0" borderId="0" xfId="18" applyNumberFormat="1" applyFont="1"/>
    <xf numFmtId="9" fontId="0" fillId="0" borderId="0" xfId="15" applyFont="1"/>
    <xf numFmtId="165" fontId="0" fillId="0" borderId="0" xfId="15" applyNumberFormat="1" applyFont="1"/>
    <xf numFmtId="166" fontId="0" fillId="0" borderId="0" xfId="18" applyNumberFormat="1" applyFont="1" applyAlignment="1">
      <alignment horizontal="center"/>
    </xf>
    <xf numFmtId="0" fontId="2" fillId="0" borderId="0" xfId="18" applyNumberFormat="1" applyFont="1" applyAlignment="1">
      <alignment horizontal="right" vertical="center" wrapText="1" readingOrder="2"/>
    </xf>
    <xf numFmtId="166" fontId="0" fillId="0" borderId="0" xfId="18" applyNumberFormat="1" applyFont="1" applyAlignment="1">
      <alignment wrapText="1"/>
    </xf>
    <xf numFmtId="0" fontId="0" fillId="0" borderId="0" xfId="0" applyAlignment="1">
      <alignment vertical="top"/>
    </xf>
    <xf numFmtId="0" fontId="9" fillId="0" borderId="0" xfId="0" applyFont="1" applyAlignment="1">
      <alignment vertical="center" wrapText="1" readingOrder="2"/>
    </xf>
    <xf numFmtId="0" fontId="0" fillId="0" borderId="0" xfId="0" applyAlignment="1">
      <alignment vertical="center"/>
    </xf>
    <xf numFmtId="0" fontId="11" fillId="3" borderId="0" xfId="0" applyFont="1" applyFill="1" applyAlignment="1">
      <alignment vertical="center" wrapText="1" readingOrder="2"/>
    </xf>
    <xf numFmtId="0" fontId="12" fillId="3" borderId="0" xfId="0" applyFont="1" applyFill="1" applyAlignment="1">
      <alignment vertical="center" wrapText="1" readingOrder="2"/>
    </xf>
    <xf numFmtId="0" fontId="13" fillId="0" borderId="4" xfId="0" applyFont="1" applyBorder="1" applyAlignment="1">
      <alignment vertical="center" wrapText="1" readingOrder="2"/>
    </xf>
    <xf numFmtId="0" fontId="14" fillId="0" borderId="4" xfId="20" applyFont="1" applyBorder="1" applyAlignment="1">
      <alignment vertical="center"/>
    </xf>
    <xf numFmtId="0" fontId="13" fillId="0" borderId="4" xfId="0" applyFont="1" applyBorder="1" applyAlignment="1">
      <alignment horizontal="right" vertical="center" wrapText="1" readingOrder="2"/>
    </xf>
    <xf numFmtId="0" fontId="13" fillId="0" borderId="7" xfId="0" applyFont="1" applyBorder="1" applyAlignment="1">
      <alignment vertical="center" wrapText="1" readingOrder="2"/>
    </xf>
    <xf numFmtId="0" fontId="13" fillId="0" borderId="7" xfId="0" applyFont="1" applyBorder="1" applyAlignment="1">
      <alignment horizontal="right" vertical="center" wrapText="1" readingOrder="2"/>
    </xf>
    <xf numFmtId="0" fontId="13" fillId="0" borderId="3" xfId="0" applyFont="1" applyBorder="1" applyAlignment="1">
      <alignment vertical="center" wrapText="1" readingOrder="2"/>
    </xf>
    <xf numFmtId="0" fontId="13" fillId="0" borderId="3" xfId="0" applyFont="1" applyBorder="1" applyAlignment="1">
      <alignment horizontal="right" vertical="center" wrapText="1" readingOrder="2"/>
    </xf>
    <xf numFmtId="0" fontId="0" fillId="0" borderId="0" xfId="0" applyAlignment="1">
      <alignment vertical="center" wrapText="1" readingOrder="2"/>
    </xf>
    <xf numFmtId="0" fontId="16" fillId="0" borderId="0" xfId="0" applyFont="1" applyAlignment="1">
      <alignment vertical="center"/>
    </xf>
    <xf numFmtId="0" fontId="17" fillId="3" borderId="0" xfId="0" applyFont="1" applyFill="1" applyAlignment="1">
      <alignment vertical="center" wrapText="1" readingOrder="2"/>
    </xf>
    <xf numFmtId="0" fontId="15" fillId="0" borderId="7" xfId="0" applyFont="1" applyBorder="1" applyAlignment="1">
      <alignment horizontal="right" vertical="center" readingOrder="2"/>
    </xf>
    <xf numFmtId="0" fontId="13" fillId="0" borderId="0" xfId="0" applyFont="1" applyAlignment="1">
      <alignment readingOrder="2"/>
    </xf>
    <xf numFmtId="0" fontId="19" fillId="0" borderId="11" xfId="0" applyFont="1" applyBorder="1" applyAlignment="1">
      <alignment vertical="center" readingOrder="2"/>
    </xf>
    <xf numFmtId="0" fontId="13" fillId="0" borderId="11" xfId="0" applyFont="1" applyBorder="1" applyAlignment="1">
      <alignment readingOrder="2"/>
    </xf>
    <xf numFmtId="0" fontId="19" fillId="0" borderId="0" xfId="0" applyFont="1" applyAlignment="1">
      <alignment vertical="center" readingOrder="2"/>
    </xf>
    <xf numFmtId="0" fontId="22" fillId="3" borderId="4" xfId="18" applyNumberFormat="1" applyFont="1" applyFill="1" applyBorder="1" applyAlignment="1">
      <alignment horizontal="right" vertical="top" wrapText="1" readingOrder="2"/>
    </xf>
    <xf numFmtId="0" fontId="22" fillId="3" borderId="12" xfId="0" applyFont="1" applyFill="1" applyBorder="1" applyAlignment="1">
      <alignment horizontal="center" vertical="center" wrapText="1" readingOrder="2"/>
    </xf>
    <xf numFmtId="0" fontId="23" fillId="0" borderId="7" xfId="18" applyNumberFormat="1" applyFont="1" applyBorder="1" applyAlignment="1">
      <alignment horizontal="right" vertical="center" wrapText="1" readingOrder="2"/>
    </xf>
    <xf numFmtId="166" fontId="13" fillId="0" borderId="7" xfId="18" applyNumberFormat="1" applyFont="1" applyBorder="1" applyAlignment="1">
      <alignment vertical="center" readingOrder="2"/>
    </xf>
    <xf numFmtId="0" fontId="23" fillId="0" borderId="3" xfId="18" applyNumberFormat="1" applyFont="1" applyBorder="1" applyAlignment="1">
      <alignment horizontal="right" vertical="center" wrapText="1" readingOrder="2"/>
    </xf>
    <xf numFmtId="166" fontId="13" fillId="0" borderId="3" xfId="18" applyNumberFormat="1" applyFont="1" applyBorder="1" applyAlignment="1">
      <alignment vertical="center" readingOrder="2"/>
    </xf>
    <xf numFmtId="0" fontId="22" fillId="3" borderId="0" xfId="18" applyNumberFormat="1" applyFont="1" applyFill="1" applyAlignment="1">
      <alignment vertical="center" wrapText="1"/>
    </xf>
    <xf numFmtId="0" fontId="23" fillId="0" borderId="0" xfId="18" applyNumberFormat="1" applyFont="1" applyAlignment="1">
      <alignment horizontal="right" vertical="center" wrapText="1" readingOrder="2"/>
    </xf>
    <xf numFmtId="0" fontId="23" fillId="0" borderId="4" xfId="18" applyNumberFormat="1" applyFont="1" applyBorder="1" applyAlignment="1">
      <alignment horizontal="right" vertical="center" wrapText="1" readingOrder="2"/>
    </xf>
    <xf numFmtId="0" fontId="25" fillId="0" borderId="0" xfId="0" applyFont="1"/>
    <xf numFmtId="0" fontId="22" fillId="3" borderId="0" xfId="18" applyNumberFormat="1" applyFont="1" applyFill="1" applyAlignment="1">
      <alignment horizontal="right" vertical="center" wrapText="1"/>
    </xf>
    <xf numFmtId="0" fontId="22" fillId="3" borderId="0" xfId="18" applyNumberFormat="1" applyFont="1" applyFill="1" applyAlignment="1">
      <alignment vertical="top" wrapText="1" readingOrder="2"/>
    </xf>
    <xf numFmtId="0" fontId="22" fillId="3" borderId="0" xfId="18" applyNumberFormat="1" applyFont="1" applyFill="1" applyAlignment="1">
      <alignment vertical="top" wrapText="1"/>
    </xf>
    <xf numFmtId="0" fontId="22" fillId="3" borderId="0" xfId="18" applyNumberFormat="1" applyFont="1" applyFill="1" applyAlignment="1">
      <alignment horizontal="right" vertical="center"/>
    </xf>
    <xf numFmtId="0" fontId="25" fillId="0" borderId="0" xfId="0" applyFont="1" applyAlignment="1">
      <alignment horizontal="right" vertical="center" wrapText="1"/>
    </xf>
    <xf numFmtId="0" fontId="25" fillId="0" borderId="0" xfId="0" applyFont="1" applyAlignment="1">
      <alignment horizontal="right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2" fillId="3" borderId="0" xfId="0" applyFont="1" applyFill="1" applyAlignment="1">
      <alignment horizontal="center" vertical="center" wrapText="1" readingOrder="2"/>
    </xf>
    <xf numFmtId="0" fontId="22" fillId="3" borderId="0" xfId="18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right" vertical="center"/>
    </xf>
    <xf numFmtId="0" fontId="4" fillId="2" borderId="13" xfId="0" applyFont="1" applyFill="1" applyBorder="1" applyAlignment="1">
      <alignment horizontal="right" vertical="center"/>
    </xf>
    <xf numFmtId="0" fontId="4" fillId="2" borderId="14" xfId="0" applyFont="1" applyFill="1" applyBorder="1" applyAlignment="1">
      <alignment horizontal="right" vertical="center"/>
    </xf>
    <xf numFmtId="0" fontId="20" fillId="0" borderId="0" xfId="18" applyNumberFormat="1" applyFont="1" applyAlignment="1">
      <alignment vertical="center" readingOrder="2"/>
    </xf>
    <xf numFmtId="0" fontId="4" fillId="0" borderId="0" xfId="0" applyFont="1" applyAlignment="1">
      <alignment horizontal="right" vertical="center"/>
    </xf>
    <xf numFmtId="166" fontId="3" fillId="0" borderId="0" xfId="18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18" applyNumberFormat="1" applyFont="1" applyAlignment="1">
      <alignment vertical="center"/>
    </xf>
    <xf numFmtId="0" fontId="0" fillId="0" borderId="0" xfId="18" applyNumberFormat="1" applyFont="1" applyAlignment="1">
      <alignment horizontal="right" vertical="center" wrapText="1" readingOrder="2"/>
    </xf>
    <xf numFmtId="165" fontId="0" fillId="0" borderId="0" xfId="15" applyNumberFormat="1" applyFont="1" applyAlignment="1">
      <alignment vertical="center"/>
    </xf>
    <xf numFmtId="0" fontId="0" fillId="0" borderId="0" xfId="18" applyNumberFormat="1" applyFont="1" applyAlignment="1">
      <alignment vertical="center" wrapText="1"/>
    </xf>
    <xf numFmtId="166" fontId="0" fillId="0" borderId="0" xfId="18" applyNumberFormat="1" applyFont="1" applyAlignment="1">
      <alignment vertical="center"/>
    </xf>
    <xf numFmtId="0" fontId="26" fillId="3" borderId="12" xfId="0" applyFont="1" applyFill="1" applyBorder="1" applyAlignment="1">
      <alignment horizontal="center" vertical="center" wrapText="1" readingOrder="2"/>
    </xf>
    <xf numFmtId="0" fontId="22" fillId="0" borderId="12" xfId="0" applyFont="1" applyBorder="1" applyAlignment="1">
      <alignment horizontal="center" vertical="center" wrapText="1" readingOrder="2"/>
    </xf>
    <xf numFmtId="0" fontId="22" fillId="3" borderId="4" xfId="0" applyFont="1" applyFill="1" applyBorder="1" applyAlignment="1">
      <alignment vertical="top" readingOrder="2"/>
    </xf>
    <xf numFmtId="0" fontId="13" fillId="0" borderId="7" xfId="0" applyFont="1" applyBorder="1" applyAlignment="1">
      <alignment vertical="center" readingOrder="2"/>
    </xf>
    <xf numFmtId="0" fontId="13" fillId="0" borderId="3" xfId="0" applyFont="1" applyBorder="1" applyAlignment="1">
      <alignment vertical="center" readingOrder="2"/>
    </xf>
    <xf numFmtId="166" fontId="13" fillId="0" borderId="0" xfId="18" applyNumberFormat="1" applyFont="1" applyAlignment="1">
      <alignment vertical="center" readingOrder="2"/>
    </xf>
    <xf numFmtId="166" fontId="13" fillId="0" borderId="7" xfId="18" applyNumberFormat="1" applyFont="1" applyBorder="1" applyAlignment="1">
      <alignment horizontal="right" vertical="center"/>
    </xf>
    <xf numFmtId="166" fontId="13" fillId="0" borderId="3" xfId="18" applyNumberFormat="1" applyFont="1" applyBorder="1" applyAlignment="1">
      <alignment horizontal="right" vertical="center"/>
    </xf>
    <xf numFmtId="0" fontId="23" fillId="0" borderId="7" xfId="18" applyNumberFormat="1" applyFont="1" applyBorder="1" applyAlignment="1">
      <alignment vertical="center" wrapText="1" readingOrder="2"/>
    </xf>
    <xf numFmtId="0" fontId="23" fillId="0" borderId="3" xfId="18" applyNumberFormat="1" applyFont="1" applyBorder="1" applyAlignment="1">
      <alignment vertical="center" wrapText="1" readingOrder="2"/>
    </xf>
    <xf numFmtId="166" fontId="25" fillId="0" borderId="0" xfId="18" applyNumberFormat="1" applyFont="1" applyAlignment="1">
      <alignment vertical="center" wrapText="1"/>
    </xf>
    <xf numFmtId="49" fontId="25" fillId="0" borderId="0" xfId="0" applyNumberFormat="1" applyFont="1" applyAlignment="1">
      <alignment horizontal="center" vertical="center" wrapText="1" readingOrder="2"/>
    </xf>
    <xf numFmtId="0" fontId="25" fillId="0" borderId="0" xfId="0" applyFont="1" applyAlignment="1">
      <alignment horizontal="right" vertical="center" readingOrder="2"/>
    </xf>
    <xf numFmtId="166" fontId="25" fillId="0" borderId="0" xfId="18" applyNumberFormat="1" applyFont="1" applyAlignment="1">
      <alignment horizontal="center" vertical="center" readingOrder="2"/>
    </xf>
    <xf numFmtId="0" fontId="25" fillId="0" borderId="0" xfId="0" applyFont="1" applyAlignment="1">
      <alignment horizontal="right" readingOrder="2"/>
    </xf>
    <xf numFmtId="3" fontId="25" fillId="0" borderId="0" xfId="0" applyNumberFormat="1" applyFont="1" applyAlignment="1">
      <alignment horizontal="right" readingOrder="2"/>
    </xf>
    <xf numFmtId="0" fontId="25" fillId="0" borderId="0" xfId="0" applyFont="1" applyAlignment="1">
      <alignment vertical="center" wrapText="1" readingOrder="2"/>
    </xf>
    <xf numFmtId="0" fontId="25" fillId="0" borderId="0" xfId="0" applyFont="1" applyAlignment="1">
      <alignment readingOrder="2"/>
    </xf>
    <xf numFmtId="3" fontId="25" fillId="0" borderId="0" xfId="0" applyNumberFormat="1" applyFont="1" applyAlignment="1">
      <alignment readingOrder="2"/>
    </xf>
    <xf numFmtId="0" fontId="25" fillId="0" borderId="0" xfId="0" applyFont="1" applyAlignment="1">
      <alignment vertical="center" readingOrder="2"/>
    </xf>
    <xf numFmtId="0" fontId="26" fillId="3" borderId="0" xfId="0" applyFont="1" applyFill="1" applyAlignment="1">
      <alignment horizontal="center" vertical="center" readingOrder="2"/>
    </xf>
    <xf numFmtId="0" fontId="4" fillId="6" borderId="0" xfId="0" applyFont="1" applyFill="1" applyAlignment="1">
      <alignment vertical="center" readingOrder="2"/>
    </xf>
    <xf numFmtId="0" fontId="4" fillId="6" borderId="0" xfId="0" applyFont="1" applyFill="1" applyAlignment="1">
      <alignment horizontal="right" vertical="center" readingOrder="2"/>
    </xf>
    <xf numFmtId="0" fontId="2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25" fillId="0" borderId="0" xfId="0" applyNumberFormat="1" applyFont="1" applyAlignment="1">
      <alignment vertical="center" readingOrder="2"/>
    </xf>
    <xf numFmtId="0" fontId="25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6" fillId="3" borderId="0" xfId="0" applyFont="1" applyFill="1" applyAlignment="1">
      <alignment vertical="center" readingOrder="2"/>
    </xf>
    <xf numFmtId="0" fontId="26" fillId="3" borderId="0" xfId="0" applyFont="1" applyFill="1" applyAlignment="1">
      <alignment horizontal="right" vertical="center" readingOrder="2"/>
    </xf>
    <xf numFmtId="0" fontId="25" fillId="0" borderId="0" xfId="0" applyFont="1" applyAlignment="1">
      <alignment horizontal="right" vertical="center" wrapText="1" readingOrder="2"/>
    </xf>
    <xf numFmtId="9" fontId="25" fillId="0" borderId="0" xfId="0" applyNumberFormat="1" applyFont="1" applyAlignment="1">
      <alignment horizontal="right" vertical="center" wrapText="1" readingOrder="2"/>
    </xf>
    <xf numFmtId="9" fontId="25" fillId="0" borderId="0" xfId="0" applyNumberFormat="1" applyFont="1" applyAlignment="1" applyProtection="1">
      <alignment horizontal="right" vertical="center" wrapText="1" readingOrder="2"/>
      <protection locked="0"/>
    </xf>
    <xf numFmtId="9" fontId="25" fillId="0" borderId="0" xfId="15" applyFont="1" applyAlignment="1">
      <alignment horizontal="right" vertical="center" wrapText="1" readingOrder="2"/>
    </xf>
    <xf numFmtId="0" fontId="4" fillId="0" borderId="0" xfId="0" applyFont="1" applyAlignment="1" applyProtection="1">
      <alignment horizontal="right" vertical="center" wrapText="1" readingOrder="2"/>
      <protection locked="0"/>
    </xf>
    <xf numFmtId="9" fontId="25" fillId="0" borderId="0" xfId="0" applyNumberFormat="1" applyFont="1" applyAlignment="1" applyProtection="1">
      <alignment vertical="center" wrapText="1" readingOrder="2"/>
      <protection locked="0"/>
    </xf>
    <xf numFmtId="0" fontId="4" fillId="0" borderId="0" xfId="0" applyFont="1" applyAlignment="1">
      <alignment vertical="center" wrapText="1" readingOrder="2"/>
    </xf>
    <xf numFmtId="9" fontId="25" fillId="0" borderId="0" xfId="15" applyFont="1" applyAlignment="1">
      <alignment vertical="center" wrapText="1" readingOrder="2"/>
    </xf>
    <xf numFmtId="0" fontId="0" fillId="0" borderId="0" xfId="0" applyAlignment="1">
      <alignment horizontal="right" readingOrder="2"/>
    </xf>
    <xf numFmtId="0" fontId="22" fillId="3" borderId="0" xfId="0" applyFont="1" applyFill="1" applyAlignment="1">
      <alignment vertical="center"/>
    </xf>
    <xf numFmtId="0" fontId="13" fillId="0" borderId="0" xfId="0" applyFont="1"/>
    <xf numFmtId="0" fontId="27" fillId="6" borderId="0" xfId="0" applyFont="1" applyFill="1" applyAlignment="1">
      <alignment vertical="top"/>
    </xf>
    <xf numFmtId="0" fontId="22" fillId="3" borderId="0" xfId="0" applyFont="1" applyFill="1" applyAlignment="1">
      <alignment horizontal="center" vertical="center"/>
    </xf>
    <xf numFmtId="0" fontId="27" fillId="6" borderId="0" xfId="0" applyFont="1" applyFill="1" applyAlignment="1">
      <alignment horizontal="right" vertical="top"/>
    </xf>
    <xf numFmtId="0" fontId="27" fillId="6" borderId="0" xfId="0" applyFont="1" applyFill="1" applyAlignment="1">
      <alignment vertical="top" wrapText="1"/>
    </xf>
    <xf numFmtId="0" fontId="13" fillId="0" borderId="4" xfId="0" applyFont="1" applyBorder="1" applyAlignment="1" applyProtection="1">
      <alignment horizontal="right" vertical="center" readingOrder="2"/>
      <protection locked="0"/>
    </xf>
    <xf numFmtId="0" fontId="13" fillId="0" borderId="4" xfId="0" applyFont="1" applyBorder="1"/>
    <xf numFmtId="0" fontId="13" fillId="0" borderId="7" xfId="0" applyFont="1" applyBorder="1" applyAlignment="1" applyProtection="1">
      <alignment horizontal="right" vertical="center" readingOrder="2"/>
      <protection locked="0"/>
    </xf>
    <xf numFmtId="0" fontId="13" fillId="0" borderId="7" xfId="0" applyFont="1" applyBorder="1"/>
    <xf numFmtId="0" fontId="13" fillId="0" borderId="7" xfId="0" applyFont="1" applyBorder="1" applyAlignment="1">
      <alignment horizontal="right" vertical="center" readingOrder="2"/>
    </xf>
    <xf numFmtId="0" fontId="13" fillId="0" borderId="3" xfId="0" applyFont="1" applyBorder="1" applyAlignment="1">
      <alignment horizontal="right" vertical="center" readingOrder="2"/>
    </xf>
    <xf numFmtId="0" fontId="13" fillId="0" borderId="3" xfId="0" applyFont="1" applyBorder="1"/>
    <xf numFmtId="0" fontId="22" fillId="3" borderId="5" xfId="0" applyFont="1" applyFill="1" applyBorder="1" applyAlignment="1">
      <alignment vertical="center"/>
    </xf>
    <xf numFmtId="0" fontId="27" fillId="0" borderId="15" xfId="0" applyFont="1" applyBorder="1" applyAlignment="1">
      <alignment horizontal="right" vertical="center" wrapText="1"/>
    </xf>
    <xf numFmtId="0" fontId="27" fillId="6" borderId="13" xfId="0" applyFont="1" applyFill="1" applyBorder="1" applyAlignment="1">
      <alignment horizontal="right" vertical="top"/>
    </xf>
    <xf numFmtId="0" fontId="27" fillId="0" borderId="16" xfId="0" applyFont="1" applyBorder="1" applyAlignment="1">
      <alignment horizontal="right" vertical="center" wrapText="1"/>
    </xf>
    <xf numFmtId="0" fontId="27" fillId="6" borderId="13" xfId="0" applyFont="1" applyFill="1" applyBorder="1" applyAlignment="1">
      <alignment vertical="top" wrapText="1"/>
    </xf>
    <xf numFmtId="0" fontId="13" fillId="0" borderId="17" xfId="0" applyFont="1" applyBorder="1" applyAlignment="1">
      <alignment horizontal="right" vertical="center" readingOrder="2"/>
    </xf>
    <xf numFmtId="0" fontId="13" fillId="0" borderId="4" xfId="0" applyFont="1" applyBorder="1" applyAlignment="1">
      <alignment horizontal="right" vertical="center" readingOrder="2"/>
    </xf>
    <xf numFmtId="0" fontId="22" fillId="3" borderId="0" xfId="0" applyFont="1" applyFill="1" applyAlignment="1">
      <alignment vertical="center" wrapText="1" readingOrder="2"/>
    </xf>
    <xf numFmtId="0" fontId="13" fillId="0" borderId="4" xfId="0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7" xfId="0" applyFont="1" applyBorder="1" applyAlignment="1">
      <alignment horizontal="right" vertical="center"/>
    </xf>
    <xf numFmtId="9" fontId="13" fillId="0" borderId="7" xfId="15" applyFont="1" applyBorder="1" applyAlignment="1">
      <alignment horizontal="right" vertical="center"/>
    </xf>
    <xf numFmtId="0" fontId="13" fillId="0" borderId="17" xfId="0" applyFont="1" applyBorder="1" applyAlignment="1">
      <alignment horizontal="right" vertical="center"/>
    </xf>
    <xf numFmtId="0" fontId="27" fillId="0" borderId="4" xfId="0" applyFont="1" applyBorder="1" applyAlignment="1">
      <alignment horizontal="right" vertical="center" wrapText="1"/>
    </xf>
    <xf numFmtId="0" fontId="27" fillId="0" borderId="7" xfId="0" applyFont="1" applyBorder="1" applyAlignment="1">
      <alignment horizontal="right" vertical="center" wrapText="1"/>
    </xf>
    <xf numFmtId="0" fontId="27" fillId="0" borderId="3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right" vertical="center"/>
    </xf>
    <xf numFmtId="0" fontId="22" fillId="3" borderId="18" xfId="0" applyFont="1" applyFill="1" applyBorder="1" applyAlignment="1">
      <alignment horizontal="right" vertical="center"/>
    </xf>
    <xf numFmtId="0" fontId="23" fillId="6" borderId="0" xfId="0" applyFont="1" applyFill="1" applyAlignment="1">
      <alignment horizontal="right" vertical="center"/>
    </xf>
    <xf numFmtId="0" fontId="23" fillId="6" borderId="5" xfId="0" applyFont="1" applyFill="1" applyBorder="1" applyAlignment="1">
      <alignment horizontal="right" vertical="center"/>
    </xf>
    <xf numFmtId="0" fontId="13" fillId="5" borderId="4" xfId="0" applyFont="1" applyFill="1" applyBorder="1" applyAlignment="1">
      <alignment horizontal="right" vertical="center"/>
    </xf>
    <xf numFmtId="0" fontId="13" fillId="5" borderId="7" xfId="0" applyFont="1" applyFill="1" applyBorder="1" applyAlignment="1">
      <alignment horizontal="right" vertical="center"/>
    </xf>
    <xf numFmtId="0" fontId="13" fillId="5" borderId="3" xfId="0" applyFont="1" applyFill="1" applyBorder="1" applyAlignment="1">
      <alignment horizontal="right" vertical="center"/>
    </xf>
    <xf numFmtId="166" fontId="13" fillId="0" borderId="4" xfId="18" applyNumberFormat="1" applyFont="1" applyBorder="1" applyAlignment="1">
      <alignment horizontal="right" vertical="center"/>
    </xf>
    <xf numFmtId="166" fontId="27" fillId="0" borderId="7" xfId="18" applyNumberFormat="1" applyFont="1" applyBorder="1" applyAlignment="1">
      <alignment horizontal="right" vertical="center"/>
    </xf>
    <xf numFmtId="165" fontId="13" fillId="0" borderId="3" xfId="15" applyNumberFormat="1" applyFont="1" applyBorder="1" applyAlignment="1">
      <alignment horizontal="right" vertical="center"/>
    </xf>
    <xf numFmtId="0" fontId="27" fillId="0" borderId="4" xfId="0" applyFont="1" applyBorder="1" applyAlignment="1">
      <alignment vertical="center"/>
    </xf>
    <xf numFmtId="166" fontId="13" fillId="0" borderId="4" xfId="18" applyNumberFormat="1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27" fillId="0" borderId="7" xfId="0" applyFont="1" applyBorder="1" applyAlignment="1">
      <alignment vertical="center"/>
    </xf>
    <xf numFmtId="166" fontId="13" fillId="0" borderId="7" xfId="18" applyNumberFormat="1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166" fontId="27" fillId="0" borderId="3" xfId="18" applyNumberFormat="1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27" fillId="0" borderId="4" xfId="0" applyFont="1" applyBorder="1" applyAlignment="1">
      <alignment horizontal="right" vertical="center"/>
    </xf>
    <xf numFmtId="0" fontId="27" fillId="0" borderId="7" xfId="0" applyFont="1" applyBorder="1" applyAlignment="1">
      <alignment horizontal="right" vertical="center"/>
    </xf>
    <xf numFmtId="0" fontId="13" fillId="0" borderId="4" xfId="18" applyNumberFormat="1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19" xfId="0" applyFont="1" applyBorder="1" applyAlignment="1">
      <alignment horizontal="right" vertical="center"/>
    </xf>
    <xf numFmtId="0" fontId="13" fillId="0" borderId="7" xfId="18" applyNumberFormat="1" applyFont="1" applyBorder="1" applyAlignment="1">
      <alignment horizontal="right" vertical="center"/>
    </xf>
    <xf numFmtId="0" fontId="13" fillId="0" borderId="20" xfId="0" applyFont="1" applyBorder="1" applyAlignment="1">
      <alignment horizontal="right" vertical="center"/>
    </xf>
    <xf numFmtId="43" fontId="13" fillId="0" borderId="4" xfId="0" applyNumberFormat="1" applyFont="1" applyBorder="1" applyAlignment="1">
      <alignment horizontal="right" vertical="center"/>
    </xf>
    <xf numFmtId="43" fontId="13" fillId="0" borderId="7" xfId="0" applyNumberFormat="1" applyFont="1" applyBorder="1" applyAlignment="1">
      <alignment horizontal="right" vertical="center"/>
    </xf>
    <xf numFmtId="43" fontId="13" fillId="0" borderId="3" xfId="0" applyNumberFormat="1" applyFont="1" applyBorder="1" applyAlignment="1">
      <alignment horizontal="right" vertical="center"/>
    </xf>
    <xf numFmtId="167" fontId="13" fillId="0" borderId="4" xfId="0" applyNumberFormat="1" applyFont="1" applyBorder="1" applyAlignment="1">
      <alignment horizontal="right" vertical="center"/>
    </xf>
    <xf numFmtId="167" fontId="13" fillId="0" borderId="7" xfId="0" applyNumberFormat="1" applyFont="1" applyBorder="1" applyAlignment="1">
      <alignment horizontal="right" vertical="center"/>
    </xf>
    <xf numFmtId="167" fontId="27" fillId="0" borderId="3" xfId="0" applyNumberFormat="1" applyFont="1" applyBorder="1" applyAlignment="1">
      <alignment horizontal="right" vertical="center"/>
    </xf>
    <xf numFmtId="0" fontId="22" fillId="3" borderId="0" xfId="18" applyNumberFormat="1" applyFont="1" applyFill="1" applyAlignment="1">
      <alignment vertical="center"/>
    </xf>
    <xf numFmtId="0" fontId="22" fillId="3" borderId="0" xfId="0" applyFont="1" applyFill="1" applyAlignment="1">
      <alignment vertical="center" wrapText="1"/>
    </xf>
    <xf numFmtId="166" fontId="13" fillId="0" borderId="4" xfId="18" applyNumberFormat="1" applyFont="1" applyBorder="1" applyAlignment="1">
      <alignment vertical="center" readingOrder="2"/>
    </xf>
    <xf numFmtId="165" fontId="13" fillId="0" borderId="4" xfId="15" applyNumberFormat="1" applyFont="1" applyBorder="1" applyAlignment="1">
      <alignment vertical="center" readingOrder="2"/>
    </xf>
    <xf numFmtId="0" fontId="13" fillId="0" borderId="4" xfId="0" applyFont="1" applyBorder="1" applyAlignment="1">
      <alignment vertical="center" readingOrder="2"/>
    </xf>
    <xf numFmtId="0" fontId="13" fillId="0" borderId="21" xfId="18" applyNumberFormat="1" applyFont="1" applyBorder="1" applyAlignment="1">
      <alignment vertical="center" readingOrder="2"/>
    </xf>
    <xf numFmtId="0" fontId="13" fillId="0" borderId="22" xfId="18" applyNumberFormat="1" applyFont="1" applyBorder="1" applyAlignment="1">
      <alignment vertical="center" readingOrder="2"/>
    </xf>
    <xf numFmtId="0" fontId="13" fillId="0" borderId="7" xfId="18" applyNumberFormat="1" applyFont="1" applyBorder="1" applyAlignment="1">
      <alignment vertical="center" readingOrder="2"/>
    </xf>
    <xf numFmtId="0" fontId="27" fillId="0" borderId="7" xfId="18" applyNumberFormat="1" applyFont="1" applyBorder="1" applyAlignment="1">
      <alignment horizontal="right" vertical="center" wrapText="1"/>
    </xf>
    <xf numFmtId="166" fontId="15" fillId="0" borderId="7" xfId="18" applyNumberFormat="1" applyFont="1" applyBorder="1" applyAlignment="1">
      <alignment vertical="center" readingOrder="2"/>
    </xf>
    <xf numFmtId="0" fontId="27" fillId="0" borderId="3" xfId="18" applyNumberFormat="1" applyFont="1" applyBorder="1" applyAlignment="1">
      <alignment horizontal="right" vertical="center" wrapText="1"/>
    </xf>
    <xf numFmtId="166" fontId="15" fillId="0" borderId="3" xfId="18" applyNumberFormat="1" applyFont="1" applyBorder="1" applyAlignment="1">
      <alignment vertical="center" readingOrder="2"/>
    </xf>
    <xf numFmtId="0" fontId="13" fillId="0" borderId="3" xfId="18" applyNumberFormat="1" applyFont="1" applyBorder="1" applyAlignment="1">
      <alignment vertical="center" readingOrder="2"/>
    </xf>
    <xf numFmtId="0" fontId="13" fillId="0" borderId="20" xfId="18" applyNumberFormat="1" applyFont="1" applyBorder="1" applyAlignment="1">
      <alignment vertical="center" readingOrder="2"/>
    </xf>
    <xf numFmtId="0" fontId="22" fillId="3" borderId="4" xfId="18" applyNumberFormat="1" applyFont="1" applyFill="1" applyBorder="1" applyAlignment="1">
      <alignment horizontal="right" vertical="center"/>
    </xf>
    <xf numFmtId="0" fontId="22" fillId="3" borderId="4" xfId="18" applyNumberFormat="1" applyFont="1" applyFill="1" applyBorder="1" applyAlignment="1">
      <alignment horizontal="right" vertical="center" wrapText="1"/>
    </xf>
    <xf numFmtId="0" fontId="22" fillId="3" borderId="4" xfId="18" applyNumberFormat="1" applyFont="1" applyFill="1" applyBorder="1" applyAlignment="1">
      <alignment horizontal="right" vertical="center" wrapText="1" readingOrder="2"/>
    </xf>
    <xf numFmtId="0" fontId="22" fillId="3" borderId="4" xfId="18" applyNumberFormat="1" applyFont="1" applyFill="1" applyBorder="1" applyAlignment="1">
      <alignment vertical="center" wrapText="1"/>
    </xf>
    <xf numFmtId="0" fontId="24" fillId="0" borderId="7" xfId="18" applyNumberFormat="1" applyFont="1" applyBorder="1" applyAlignment="1">
      <alignment horizontal="right" vertical="center" wrapText="1"/>
    </xf>
    <xf numFmtId="0" fontId="24" fillId="0" borderId="3" xfId="18" applyNumberFormat="1" applyFont="1" applyBorder="1" applyAlignment="1">
      <alignment horizontal="right" vertical="center" wrapText="1"/>
    </xf>
    <xf numFmtId="166" fontId="13" fillId="0" borderId="3" xfId="18" applyNumberFormat="1" applyFont="1" applyBorder="1" applyAlignment="1">
      <alignment vertical="center"/>
    </xf>
    <xf numFmtId="166" fontId="13" fillId="0" borderId="4" xfId="18" applyNumberFormat="1" applyFont="1" applyBorder="1" applyAlignment="1">
      <alignment horizontal="right" vertical="center" wrapText="1"/>
    </xf>
    <xf numFmtId="166" fontId="13" fillId="0" borderId="3" xfId="18" applyNumberFormat="1" applyFont="1" applyBorder="1" applyAlignment="1">
      <alignment horizontal="right" vertical="center" wrapText="1"/>
    </xf>
    <xf numFmtId="166" fontId="13" fillId="0" borderId="7" xfId="18" applyNumberFormat="1" applyFont="1" applyBorder="1" applyAlignment="1">
      <alignment horizontal="right" vertical="center" wrapText="1"/>
    </xf>
    <xf numFmtId="0" fontId="27" fillId="0" borderId="4" xfId="18" applyNumberFormat="1" applyFont="1" applyBorder="1" applyAlignment="1">
      <alignment horizontal="right" vertical="center" readingOrder="2"/>
    </xf>
    <xf numFmtId="9" fontId="13" fillId="0" borderId="4" xfId="18" applyNumberFormat="1" applyFont="1" applyBorder="1" applyAlignment="1">
      <alignment horizontal="right" vertical="center"/>
    </xf>
    <xf numFmtId="0" fontId="27" fillId="0" borderId="7" xfId="18" applyNumberFormat="1" applyFont="1" applyBorder="1" applyAlignment="1">
      <alignment horizontal="right" vertical="center" readingOrder="2"/>
    </xf>
    <xf numFmtId="0" fontId="27" fillId="0" borderId="3" xfId="18" applyNumberFormat="1" applyFont="1" applyBorder="1" applyAlignment="1">
      <alignment horizontal="right" vertical="center" readingOrder="2"/>
    </xf>
    <xf numFmtId="0" fontId="22" fillId="3" borderId="0" xfId="18" applyNumberFormat="1" applyFont="1" applyFill="1" applyAlignment="1">
      <alignment horizontal="right" vertical="top" wrapText="1"/>
    </xf>
    <xf numFmtId="0" fontId="22" fillId="3" borderId="12" xfId="0" applyFont="1" applyFill="1" applyBorder="1" applyAlignment="1">
      <alignment horizontal="center" vertical="top" wrapText="1" readingOrder="2"/>
    </xf>
    <xf numFmtId="0" fontId="23" fillId="0" borderId="4" xfId="18" applyNumberFormat="1" applyFont="1" applyBorder="1" applyAlignment="1">
      <alignment horizontal="right" vertical="center" wrapText="1"/>
    </xf>
    <xf numFmtId="0" fontId="23" fillId="0" borderId="3" xfId="18" applyNumberFormat="1" applyFont="1" applyBorder="1" applyAlignment="1">
      <alignment horizontal="right" vertical="center" wrapText="1"/>
    </xf>
    <xf numFmtId="0" fontId="28" fillId="3" borderId="0" xfId="0" applyFont="1" applyFill="1"/>
    <xf numFmtId="0" fontId="22" fillId="3" borderId="23" xfId="0" applyFont="1" applyFill="1" applyBorder="1" applyAlignment="1">
      <alignment horizontal="center" vertical="center" wrapText="1" readingOrder="2"/>
    </xf>
    <xf numFmtId="166" fontId="13" fillId="0" borderId="4" xfId="18" applyNumberFormat="1" applyFont="1" applyBorder="1" applyAlignment="1">
      <alignment vertical="center" wrapText="1"/>
    </xf>
    <xf numFmtId="166" fontId="13" fillId="0" borderId="7" xfId="18" applyNumberFormat="1" applyFont="1" applyBorder="1" applyAlignment="1">
      <alignment vertical="center" wrapText="1"/>
    </xf>
    <xf numFmtId="0" fontId="28" fillId="3" borderId="0" xfId="0" applyFont="1" applyFill="1" applyAlignment="1">
      <alignment vertical="center" wrapText="1"/>
    </xf>
    <xf numFmtId="0" fontId="27" fillId="6" borderId="0" xfId="0" applyFont="1" applyFill="1" applyAlignment="1">
      <alignment horizontal="right" vertical="top" readingOrder="2"/>
    </xf>
    <xf numFmtId="0" fontId="27" fillId="6" borderId="14" xfId="0" applyFont="1" applyFill="1" applyBorder="1" applyAlignment="1">
      <alignment vertical="top"/>
    </xf>
    <xf numFmtId="0" fontId="27" fillId="0" borderId="4" xfId="0" applyFont="1" applyBorder="1" applyAlignment="1">
      <alignment horizontal="right" vertical="center" readingOrder="2"/>
    </xf>
    <xf numFmtId="3" fontId="13" fillId="0" borderId="4" xfId="0" applyNumberFormat="1" applyFont="1" applyBorder="1" applyAlignment="1">
      <alignment horizontal="right" vertical="center" readingOrder="2"/>
    </xf>
    <xf numFmtId="9" fontId="13" fillId="0" borderId="16" xfId="0" applyNumberFormat="1" applyFont="1" applyBorder="1" applyAlignment="1">
      <alignment vertical="center"/>
    </xf>
    <xf numFmtId="3" fontId="13" fillId="0" borderId="24" xfId="0" applyNumberFormat="1" applyFont="1" applyBorder="1" applyAlignment="1">
      <alignment vertical="center"/>
    </xf>
    <xf numFmtId="9" fontId="13" fillId="0" borderId="4" xfId="0" applyNumberFormat="1" applyFont="1" applyBorder="1" applyAlignment="1">
      <alignment vertical="center" wrapText="1"/>
    </xf>
    <xf numFmtId="0" fontId="13" fillId="0" borderId="21" xfId="0" applyFont="1" applyBorder="1" applyAlignment="1">
      <alignment vertical="center"/>
    </xf>
    <xf numFmtId="0" fontId="27" fillId="0" borderId="7" xfId="0" applyFont="1" applyBorder="1" applyAlignment="1">
      <alignment horizontal="right" vertical="center" readingOrder="2"/>
    </xf>
    <xf numFmtId="165" fontId="13" fillId="0" borderId="15" xfId="0" applyNumberFormat="1" applyFont="1" applyBorder="1" applyAlignment="1">
      <alignment vertical="center"/>
    </xf>
    <xf numFmtId="0" fontId="13" fillId="0" borderId="25" xfId="0" applyFont="1" applyBorder="1" applyAlignment="1">
      <alignment horizontal="right" vertical="center" readingOrder="2"/>
    </xf>
    <xf numFmtId="0" fontId="13" fillId="0" borderId="22" xfId="0" applyFont="1" applyBorder="1" applyAlignment="1">
      <alignment vertical="center"/>
    </xf>
    <xf numFmtId="3" fontId="13" fillId="0" borderId="7" xfId="0" applyNumberFormat="1" applyFont="1" applyBorder="1" applyAlignment="1">
      <alignment horizontal="right" vertical="center" readingOrder="2"/>
    </xf>
    <xf numFmtId="165" fontId="13" fillId="0" borderId="15" xfId="15" applyNumberFormat="1" applyFont="1" applyBorder="1" applyAlignment="1">
      <alignment vertical="center"/>
    </xf>
    <xf numFmtId="3" fontId="13" fillId="0" borderId="25" xfId="0" applyNumberFormat="1" applyFont="1" applyBorder="1" applyAlignment="1">
      <alignment vertical="center"/>
    </xf>
    <xf numFmtId="9" fontId="13" fillId="0" borderId="15" xfId="0" applyNumberFormat="1" applyFont="1" applyBorder="1" applyAlignment="1">
      <alignment vertical="center"/>
    </xf>
    <xf numFmtId="9" fontId="13" fillId="0" borderId="7" xfId="0" applyNumberFormat="1" applyFont="1" applyBorder="1" applyAlignment="1">
      <alignment vertical="center" wrapText="1"/>
    </xf>
    <xf numFmtId="0" fontId="27" fillId="0" borderId="3" xfId="0" applyFont="1" applyBorder="1" applyAlignment="1">
      <alignment horizontal="right" vertical="center" readingOrder="2"/>
    </xf>
    <xf numFmtId="0" fontId="13" fillId="0" borderId="20" xfId="0" applyFont="1" applyBorder="1" applyAlignment="1">
      <alignment vertical="center"/>
    </xf>
    <xf numFmtId="0" fontId="22" fillId="3" borderId="4" xfId="0" applyFont="1" applyFill="1" applyBorder="1" applyAlignment="1">
      <alignment vertical="center" wrapText="1"/>
    </xf>
    <xf numFmtId="0" fontId="28" fillId="3" borderId="4" xfId="0" applyFont="1" applyFill="1" applyBorder="1"/>
    <xf numFmtId="0" fontId="27" fillId="6" borderId="7" xfId="0" applyFont="1" applyFill="1" applyBorder="1" applyAlignment="1">
      <alignment vertical="center"/>
    </xf>
    <xf numFmtId="0" fontId="27" fillId="6" borderId="15" xfId="0" applyFont="1" applyFill="1" applyBorder="1" applyAlignment="1">
      <alignment vertical="center"/>
    </xf>
    <xf numFmtId="0" fontId="27" fillId="6" borderId="25" xfId="0" applyFont="1" applyFill="1" applyBorder="1" applyAlignment="1">
      <alignment vertical="center"/>
    </xf>
    <xf numFmtId="0" fontId="13" fillId="6" borderId="7" xfId="0" applyFont="1" applyFill="1" applyBorder="1"/>
    <xf numFmtId="0" fontId="27" fillId="0" borderId="7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27" fillId="0" borderId="3" xfId="0" applyFont="1" applyBorder="1" applyAlignment="1">
      <alignment vertical="center" wrapText="1"/>
    </xf>
    <xf numFmtId="0" fontId="27" fillId="6" borderId="0" xfId="0" applyFont="1" applyFill="1" applyAlignment="1">
      <alignment horizontal="right" vertical="center" readingOrder="2"/>
    </xf>
    <xf numFmtId="0" fontId="27" fillId="6" borderId="13" xfId="0" applyFont="1" applyFill="1" applyBorder="1" applyAlignment="1">
      <alignment horizontal="right" vertical="center" readingOrder="2"/>
    </xf>
    <xf numFmtId="0" fontId="27" fillId="6" borderId="0" xfId="0" applyFont="1" applyFill="1" applyAlignment="1">
      <alignment horizontal="right" vertical="center"/>
    </xf>
    <xf numFmtId="0" fontId="27" fillId="0" borderId="4" xfId="0" applyFont="1" applyBorder="1" applyAlignment="1">
      <alignment vertical="center" readingOrder="2"/>
    </xf>
    <xf numFmtId="3" fontId="13" fillId="0" borderId="4" xfId="0" applyNumberFormat="1" applyFont="1" applyBorder="1" applyAlignment="1" applyProtection="1">
      <alignment vertical="center"/>
      <protection locked="0"/>
    </xf>
    <xf numFmtId="3" fontId="13" fillId="0" borderId="16" xfId="0" applyNumberFormat="1" applyFont="1" applyBorder="1" applyAlignment="1">
      <alignment vertical="center" readingOrder="2"/>
    </xf>
    <xf numFmtId="3" fontId="13" fillId="0" borderId="4" xfId="0" applyNumberFormat="1" applyFont="1" applyBorder="1" applyAlignment="1" applyProtection="1">
      <alignment vertical="center" readingOrder="2"/>
      <protection locked="0"/>
    </xf>
    <xf numFmtId="3" fontId="13" fillId="0" borderId="4" xfId="0" applyNumberFormat="1" applyFont="1" applyBorder="1" applyAlignment="1">
      <alignment vertical="center" readingOrder="2"/>
    </xf>
    <xf numFmtId="0" fontId="27" fillId="0" borderId="7" xfId="0" applyFont="1" applyBorder="1" applyAlignment="1">
      <alignment vertical="center" readingOrder="2"/>
    </xf>
    <xf numFmtId="3" fontId="13" fillId="0" borderId="7" xfId="0" applyNumberFormat="1" applyFont="1" applyBorder="1" applyAlignment="1" applyProtection="1">
      <alignment vertical="center"/>
      <protection locked="0"/>
    </xf>
    <xf numFmtId="3" fontId="13" fillId="0" borderId="15" xfId="0" applyNumberFormat="1" applyFont="1" applyBorder="1" applyAlignment="1">
      <alignment vertical="center" readingOrder="2"/>
    </xf>
    <xf numFmtId="3" fontId="13" fillId="0" borderId="7" xfId="0" applyNumberFormat="1" applyFont="1" applyBorder="1" applyAlignment="1" applyProtection="1">
      <alignment vertical="center" readingOrder="2"/>
      <protection locked="0"/>
    </xf>
    <xf numFmtId="3" fontId="13" fillId="0" borderId="7" xfId="0" applyNumberFormat="1" applyFont="1" applyBorder="1" applyAlignment="1">
      <alignment vertical="center" readingOrder="2"/>
    </xf>
    <xf numFmtId="0" fontId="27" fillId="0" borderId="3" xfId="0" applyFont="1" applyBorder="1" applyAlignment="1">
      <alignment vertical="center" readingOrder="2"/>
    </xf>
    <xf numFmtId="3" fontId="13" fillId="0" borderId="3" xfId="0" applyNumberFormat="1" applyFont="1" applyBorder="1" applyAlignment="1">
      <alignment vertical="center" readingOrder="2"/>
    </xf>
    <xf numFmtId="3" fontId="13" fillId="0" borderId="26" xfId="0" applyNumberFormat="1" applyFont="1" applyBorder="1" applyAlignment="1">
      <alignment vertical="center" readingOrder="2"/>
    </xf>
    <xf numFmtId="3" fontId="13" fillId="0" borderId="4" xfId="0" applyNumberFormat="1" applyFont="1" applyBorder="1" applyAlignment="1">
      <alignment vertical="center"/>
    </xf>
    <xf numFmtId="3" fontId="13" fillId="0" borderId="7" xfId="0" applyNumberFormat="1" applyFont="1" applyBorder="1" applyAlignment="1">
      <alignment vertical="center"/>
    </xf>
    <xf numFmtId="0" fontId="13" fillId="3" borderId="0" xfId="0" applyFont="1" applyFill="1" applyAlignment="1">
      <alignment vertical="center" readingOrder="2"/>
    </xf>
    <xf numFmtId="0" fontId="13" fillId="6" borderId="0" xfId="0" applyFont="1" applyFill="1" applyAlignment="1">
      <alignment vertical="center" readingOrder="2"/>
    </xf>
    <xf numFmtId="0" fontId="27" fillId="6" borderId="0" xfId="0" applyFont="1" applyFill="1" applyAlignment="1">
      <alignment vertical="center" readingOrder="2"/>
    </xf>
    <xf numFmtId="0" fontId="27" fillId="6" borderId="13" xfId="0" applyFont="1" applyFill="1" applyBorder="1" applyAlignment="1">
      <alignment vertical="center" readingOrder="2"/>
    </xf>
    <xf numFmtId="0" fontId="13" fillId="6" borderId="0" xfId="0" applyFont="1" applyFill="1" applyAlignment="1">
      <alignment vertical="center" wrapText="1"/>
    </xf>
    <xf numFmtId="0" fontId="13" fillId="6" borderId="0" xfId="0" applyFont="1" applyFill="1" applyAlignment="1">
      <alignment vertical="center"/>
    </xf>
    <xf numFmtId="3" fontId="13" fillId="0" borderId="4" xfId="0" applyNumberFormat="1" applyFont="1" applyBorder="1" applyAlignment="1" applyProtection="1">
      <alignment horizontal="right" vertical="center" readingOrder="2"/>
      <protection locked="0"/>
    </xf>
    <xf numFmtId="3" fontId="13" fillId="0" borderId="7" xfId="0" applyNumberFormat="1" applyFont="1" applyBorder="1" applyAlignment="1" applyProtection="1">
      <alignment horizontal="right" vertical="center" readingOrder="2"/>
      <protection locked="0"/>
    </xf>
    <xf numFmtId="3" fontId="13" fillId="0" borderId="7" xfId="0" applyNumberFormat="1" applyFont="1" applyBorder="1" applyAlignment="1">
      <alignment horizontal="right" vertical="center"/>
    </xf>
    <xf numFmtId="3" fontId="13" fillId="0" borderId="3" xfId="0" applyNumberFormat="1" applyFont="1" applyBorder="1" applyAlignment="1">
      <alignment horizontal="right" vertical="center" readingOrder="2"/>
    </xf>
    <xf numFmtId="0" fontId="27" fillId="6" borderId="0" xfId="0" applyFont="1" applyFill="1" applyAlignment="1">
      <alignment vertical="center" wrapText="1"/>
    </xf>
    <xf numFmtId="0" fontId="27" fillId="6" borderId="0" xfId="0" applyFont="1" applyFill="1" applyAlignment="1">
      <alignment horizontal="right" vertical="center" wrapText="1"/>
    </xf>
    <xf numFmtId="0" fontId="27" fillId="6" borderId="13" xfId="0" applyFont="1" applyFill="1" applyBorder="1" applyAlignment="1">
      <alignment horizontal="right" vertical="center" wrapText="1"/>
    </xf>
    <xf numFmtId="166" fontId="27" fillId="0" borderId="4" xfId="18" applyNumberFormat="1" applyFont="1" applyBorder="1" applyAlignment="1">
      <alignment horizontal="right" vertical="center" wrapText="1"/>
    </xf>
    <xf numFmtId="9" fontId="13" fillId="0" borderId="7" xfId="15" applyFont="1" applyBorder="1" applyAlignment="1">
      <alignment vertical="center" wrapText="1"/>
    </xf>
    <xf numFmtId="9" fontId="13" fillId="0" borderId="15" xfId="15" applyFont="1" applyBorder="1" applyAlignment="1">
      <alignment vertical="center" wrapText="1"/>
    </xf>
    <xf numFmtId="166" fontId="27" fillId="0" borderId="7" xfId="18" applyNumberFormat="1" applyFont="1" applyBorder="1" applyAlignment="1">
      <alignment horizontal="right" vertical="center" wrapText="1"/>
    </xf>
    <xf numFmtId="9" fontId="27" fillId="0" borderId="3" xfId="15" applyFont="1" applyBorder="1" applyAlignment="1">
      <alignment horizontal="right" vertical="center" wrapText="1"/>
    </xf>
    <xf numFmtId="0" fontId="13" fillId="6" borderId="0" xfId="0" applyFont="1" applyFill="1" applyAlignment="1">
      <alignment horizontal="right" vertical="center" wrapText="1"/>
    </xf>
    <xf numFmtId="0" fontId="27" fillId="6" borderId="0" xfId="0" applyFont="1" applyFill="1" applyAlignment="1">
      <alignment horizontal="right" vertical="center" wrapText="1" readingOrder="2"/>
    </xf>
    <xf numFmtId="0" fontId="27" fillId="6" borderId="13" xfId="0" applyFont="1" applyFill="1" applyBorder="1" applyAlignment="1">
      <alignment horizontal="right" vertical="center" wrapText="1" readingOrder="2"/>
    </xf>
    <xf numFmtId="0" fontId="27" fillId="6" borderId="5" xfId="0" applyFont="1" applyFill="1" applyBorder="1" applyAlignment="1">
      <alignment horizontal="right" vertical="center" wrapText="1"/>
    </xf>
    <xf numFmtId="0" fontId="27" fillId="0" borderId="4" xfId="0" applyFont="1" applyBorder="1" applyAlignment="1">
      <alignment horizontal="right" vertical="center" wrapText="1" readingOrder="2"/>
    </xf>
    <xf numFmtId="0" fontId="13" fillId="0" borderId="4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3" fontId="13" fillId="0" borderId="4" xfId="0" applyNumberFormat="1" applyFont="1" applyBorder="1" applyAlignment="1" applyProtection="1">
      <alignment vertical="center" wrapText="1"/>
      <protection locked="0"/>
    </xf>
    <xf numFmtId="3" fontId="13" fillId="0" borderId="16" xfId="0" applyNumberFormat="1" applyFont="1" applyBorder="1" applyAlignment="1">
      <alignment vertical="center" wrapText="1"/>
    </xf>
    <xf numFmtId="3" fontId="13" fillId="0" borderId="4" xfId="0" applyNumberFormat="1" applyFont="1" applyBorder="1" applyAlignment="1">
      <alignment vertical="center" wrapText="1"/>
    </xf>
    <xf numFmtId="0" fontId="27" fillId="0" borderId="7" xfId="0" applyFont="1" applyBorder="1" applyAlignment="1">
      <alignment horizontal="right" vertical="center" wrapText="1" readingOrder="2"/>
    </xf>
    <xf numFmtId="10" fontId="13" fillId="0" borderId="7" xfId="15" applyNumberFormat="1" applyFont="1" applyBorder="1" applyAlignment="1">
      <alignment vertical="center" wrapText="1"/>
    </xf>
    <xf numFmtId="10" fontId="13" fillId="0" borderId="15" xfId="0" applyNumberFormat="1" applyFont="1" applyBorder="1" applyAlignment="1">
      <alignment vertical="center" wrapText="1"/>
    </xf>
    <xf numFmtId="9" fontId="13" fillId="0" borderId="15" xfId="0" applyNumberFormat="1" applyFont="1" applyBorder="1" applyAlignment="1">
      <alignment vertical="center" wrapText="1"/>
    </xf>
    <xf numFmtId="3" fontId="13" fillId="0" borderId="7" xfId="0" applyNumberFormat="1" applyFont="1" applyBorder="1" applyAlignment="1" applyProtection="1">
      <alignment vertical="center" wrapText="1"/>
      <protection locked="0"/>
    </xf>
    <xf numFmtId="3" fontId="13" fillId="0" borderId="15" xfId="0" applyNumberFormat="1" applyFont="1" applyBorder="1" applyAlignment="1">
      <alignment vertical="center" wrapText="1"/>
    </xf>
    <xf numFmtId="3" fontId="13" fillId="0" borderId="7" xfId="0" applyNumberFormat="1" applyFont="1" applyBorder="1" applyAlignment="1">
      <alignment vertical="center" wrapText="1"/>
    </xf>
    <xf numFmtId="3" fontId="13" fillId="0" borderId="15" xfId="0" applyNumberFormat="1" applyFont="1" applyBorder="1" applyAlignment="1" applyProtection="1">
      <alignment vertical="center" wrapText="1"/>
      <protection locked="0"/>
    </xf>
    <xf numFmtId="0" fontId="27" fillId="0" borderId="3" xfId="0" applyFont="1" applyBorder="1" applyAlignment="1">
      <alignment horizontal="right" vertical="center" wrapText="1" readingOrder="2"/>
    </xf>
    <xf numFmtId="9" fontId="13" fillId="0" borderId="3" xfId="0" applyNumberFormat="1" applyFont="1" applyBorder="1" applyAlignment="1">
      <alignment vertical="center" wrapText="1"/>
    </xf>
    <xf numFmtId="9" fontId="13" fillId="0" borderId="26" xfId="0" applyNumberFormat="1" applyFont="1" applyBorder="1" applyAlignment="1">
      <alignment vertical="center" wrapText="1"/>
    </xf>
    <xf numFmtId="9" fontId="13" fillId="0" borderId="3" xfId="0" applyNumberFormat="1" applyFont="1" applyBorder="1" applyAlignment="1" applyProtection="1">
      <alignment vertical="center" wrapText="1"/>
      <protection locked="0"/>
    </xf>
    <xf numFmtId="9" fontId="13" fillId="0" borderId="26" xfId="0" applyNumberFormat="1" applyFont="1" applyBorder="1" applyAlignment="1" applyProtection="1">
      <alignment vertical="center" wrapText="1"/>
      <protection locked="0"/>
    </xf>
    <xf numFmtId="9" fontId="13" fillId="0" borderId="3" xfId="15" applyFont="1" applyBorder="1" applyAlignment="1">
      <alignment vertical="center" wrapText="1"/>
    </xf>
    <xf numFmtId="9" fontId="13" fillId="0" borderId="26" xfId="15" applyFont="1" applyBorder="1" applyAlignment="1">
      <alignment vertical="center" wrapText="1"/>
    </xf>
    <xf numFmtId="0" fontId="13" fillId="6" borderId="0" xfId="0" applyFont="1" applyFill="1" applyAlignment="1">
      <alignment horizontal="right" vertical="center" wrapText="1" readingOrder="2"/>
    </xf>
    <xf numFmtId="0" fontId="13" fillId="6" borderId="13" xfId="0" applyFont="1" applyFill="1" applyBorder="1" applyAlignment="1">
      <alignment horizontal="right" vertical="center" wrapText="1" readingOrder="2"/>
    </xf>
    <xf numFmtId="0" fontId="27" fillId="0" borderId="4" xfId="0" applyFont="1" applyBorder="1" applyAlignment="1">
      <alignment vertical="center" wrapText="1" readingOrder="2"/>
    </xf>
    <xf numFmtId="3" fontId="13" fillId="0" borderId="4" xfId="0" applyNumberFormat="1" applyFont="1" applyBorder="1" applyAlignment="1" applyProtection="1">
      <alignment vertical="center" wrapText="1" readingOrder="2"/>
      <protection locked="0"/>
    </xf>
    <xf numFmtId="3" fontId="13" fillId="0" borderId="16" xfId="0" applyNumberFormat="1" applyFont="1" applyBorder="1" applyAlignment="1">
      <alignment vertical="center" wrapText="1" readingOrder="2"/>
    </xf>
    <xf numFmtId="0" fontId="27" fillId="0" borderId="7" xfId="0" applyFont="1" applyBorder="1" applyAlignment="1">
      <alignment vertical="center" wrapText="1" readingOrder="2"/>
    </xf>
    <xf numFmtId="9" fontId="13" fillId="0" borderId="7" xfId="0" applyNumberFormat="1" applyFont="1" applyBorder="1" applyAlignment="1">
      <alignment vertical="center" wrapText="1" readingOrder="2"/>
    </xf>
    <xf numFmtId="9" fontId="13" fillId="0" borderId="15" xfId="0" applyNumberFormat="1" applyFont="1" applyBorder="1" applyAlignment="1">
      <alignment vertical="center" wrapText="1" readingOrder="2"/>
    </xf>
    <xf numFmtId="3" fontId="13" fillId="0" borderId="7" xfId="0" applyNumberFormat="1" applyFont="1" applyBorder="1" applyAlignment="1">
      <alignment vertical="center" wrapText="1" readingOrder="2"/>
    </xf>
    <xf numFmtId="3" fontId="13" fillId="0" borderId="7" xfId="0" applyNumberFormat="1" applyFont="1" applyBorder="1" applyAlignment="1" applyProtection="1">
      <alignment vertical="center" wrapText="1" readingOrder="2"/>
      <protection locked="0"/>
    </xf>
    <xf numFmtId="3" fontId="13" fillId="0" borderId="15" xfId="0" applyNumberFormat="1" applyFont="1" applyBorder="1" applyAlignment="1" applyProtection="1">
      <alignment vertical="center" wrapText="1" readingOrder="2"/>
      <protection locked="0"/>
    </xf>
    <xf numFmtId="3" fontId="13" fillId="0" borderId="15" xfId="0" applyNumberFormat="1" applyFont="1" applyBorder="1" applyAlignment="1">
      <alignment vertical="center" wrapText="1" readingOrder="2"/>
    </xf>
    <xf numFmtId="9" fontId="13" fillId="0" borderId="7" xfId="15" applyFont="1" applyBorder="1" applyAlignment="1">
      <alignment vertical="center" wrapText="1" readingOrder="2"/>
    </xf>
    <xf numFmtId="9" fontId="13" fillId="0" borderId="15" xfId="15" applyFont="1" applyBorder="1" applyAlignment="1">
      <alignment vertical="center" wrapText="1" readingOrder="2"/>
    </xf>
    <xf numFmtId="0" fontId="27" fillId="0" borderId="3" xfId="0" applyFont="1" applyBorder="1" applyAlignment="1">
      <alignment vertical="center" wrapText="1" readingOrder="2"/>
    </xf>
    <xf numFmtId="9" fontId="13" fillId="0" borderId="3" xfId="0" applyNumberFormat="1" applyFont="1" applyBorder="1" applyAlignment="1" applyProtection="1">
      <alignment vertical="center" wrapText="1" readingOrder="2"/>
      <protection locked="0"/>
    </xf>
    <xf numFmtId="9" fontId="13" fillId="0" borderId="26" xfId="0" applyNumberFormat="1" applyFont="1" applyBorder="1" applyAlignment="1" applyProtection="1">
      <alignment vertical="center" wrapText="1" readingOrder="2"/>
      <protection locked="0"/>
    </xf>
    <xf numFmtId="9" fontId="13" fillId="0" borderId="3" xfId="15" applyFont="1" applyBorder="1" applyAlignment="1">
      <alignment vertical="center" wrapText="1" readingOrder="2"/>
    </xf>
    <xf numFmtId="0" fontId="22" fillId="3" borderId="0" xfId="0" applyFont="1" applyFill="1" applyAlignment="1">
      <alignment horizontal="right" vertical="center" wrapText="1" readingOrder="2"/>
    </xf>
    <xf numFmtId="0" fontId="13" fillId="0" borderId="16" xfId="0" applyFont="1" applyBorder="1" applyAlignment="1">
      <alignment vertical="center" wrapText="1" readingOrder="2"/>
    </xf>
    <xf numFmtId="0" fontId="13" fillId="0" borderId="15" xfId="0" applyFont="1" applyBorder="1" applyAlignment="1">
      <alignment vertical="center" wrapText="1" readingOrder="2"/>
    </xf>
    <xf numFmtId="3" fontId="13" fillId="5" borderId="7" xfId="0" applyNumberFormat="1" applyFont="1" applyFill="1" applyBorder="1" applyAlignment="1" applyProtection="1">
      <alignment vertical="center" wrapText="1" readingOrder="2"/>
      <protection locked="0"/>
    </xf>
    <xf numFmtId="3" fontId="13" fillId="5" borderId="15" xfId="0" applyNumberFormat="1" applyFont="1" applyFill="1" applyBorder="1" applyAlignment="1">
      <alignment vertical="center" wrapText="1" readingOrder="2"/>
    </xf>
    <xf numFmtId="3" fontId="13" fillId="5" borderId="15" xfId="0" applyNumberFormat="1" applyFont="1" applyFill="1" applyBorder="1" applyAlignment="1" applyProtection="1">
      <alignment vertical="center" wrapText="1" readingOrder="2"/>
      <protection locked="0"/>
    </xf>
    <xf numFmtId="0" fontId="13" fillId="5" borderId="4" xfId="0" applyFont="1" applyFill="1" applyBorder="1" applyAlignment="1">
      <alignment vertical="center"/>
    </xf>
    <xf numFmtId="0" fontId="13" fillId="5" borderId="3" xfId="0" applyFont="1" applyFill="1" applyBorder="1" applyAlignment="1">
      <alignment vertical="center"/>
    </xf>
    <xf numFmtId="0" fontId="13" fillId="5" borderId="17" xfId="0" applyFont="1" applyFill="1" applyBorder="1" applyAlignment="1">
      <alignment horizontal="right" vertical="center"/>
    </xf>
    <xf numFmtId="0" fontId="27" fillId="0" borderId="0" xfId="0" applyFont="1" applyAlignment="1">
      <alignment horizontal="right" vertical="center" wrapText="1"/>
    </xf>
    <xf numFmtId="3" fontId="13" fillId="0" borderId="3" xfId="0" applyNumberFormat="1" applyFont="1" applyBorder="1" applyAlignment="1">
      <alignment vertical="center"/>
    </xf>
    <xf numFmtId="0" fontId="27" fillId="5" borderId="4" xfId="0" applyFont="1" applyFill="1" applyBorder="1" applyAlignment="1">
      <alignment horizontal="right" vertical="center" wrapText="1"/>
    </xf>
    <xf numFmtId="3" fontId="13" fillId="5" borderId="4" xfId="0" applyNumberFormat="1" applyFont="1" applyFill="1" applyBorder="1" applyAlignment="1">
      <alignment vertical="center"/>
    </xf>
    <xf numFmtId="0" fontId="27" fillId="5" borderId="7" xfId="0" applyFont="1" applyFill="1" applyBorder="1" applyAlignment="1">
      <alignment horizontal="right" vertical="center" wrapText="1"/>
    </xf>
    <xf numFmtId="3" fontId="13" fillId="5" borderId="7" xfId="0" applyNumberFormat="1" applyFont="1" applyFill="1" applyBorder="1" applyAlignment="1">
      <alignment vertical="center"/>
    </xf>
    <xf numFmtId="0" fontId="27" fillId="5" borderId="3" xfId="0" applyFont="1" applyFill="1" applyBorder="1" applyAlignment="1">
      <alignment horizontal="right" vertical="center" wrapText="1"/>
    </xf>
    <xf numFmtId="3" fontId="13" fillId="5" borderId="3" xfId="0" applyNumberFormat="1" applyFont="1" applyFill="1" applyBorder="1" applyAlignment="1">
      <alignment vertical="center"/>
    </xf>
    <xf numFmtId="3" fontId="13" fillId="0" borderId="3" xfId="0" applyNumberFormat="1" applyFont="1" applyBorder="1" applyAlignment="1" applyProtection="1">
      <alignment horizontal="right" vertical="center" readingOrder="2"/>
      <protection locked="0"/>
    </xf>
    <xf numFmtId="0" fontId="27" fillId="6" borderId="19" xfId="0" applyFont="1" applyFill="1" applyBorder="1" applyAlignment="1">
      <alignment horizontal="right" vertical="center" readingOrder="2"/>
    </xf>
    <xf numFmtId="0" fontId="22" fillId="6" borderId="0" xfId="0" applyFont="1" applyFill="1" applyAlignment="1">
      <alignment vertical="center" wrapText="1" readingOrder="2"/>
    </xf>
    <xf numFmtId="0" fontId="27" fillId="6" borderId="0" xfId="0" applyFont="1" applyFill="1" applyAlignment="1">
      <alignment vertical="center" wrapText="1" readingOrder="2"/>
    </xf>
    <xf numFmtId="0" fontId="27" fillId="2" borderId="0" xfId="0" applyFont="1" applyFill="1" applyAlignment="1">
      <alignment horizontal="right" vertical="center" readingOrder="2"/>
    </xf>
    <xf numFmtId="0" fontId="13" fillId="0" borderId="27" xfId="0" applyFont="1" applyBorder="1" applyAlignment="1">
      <alignment horizontal="right" vertical="center"/>
    </xf>
    <xf numFmtId="166" fontId="13" fillId="0" borderId="0" xfId="18" applyNumberFormat="1" applyFont="1"/>
    <xf numFmtId="0" fontId="22" fillId="3" borderId="0" xfId="0" applyFont="1" applyFill="1" applyAlignment="1">
      <alignment horizontal="right" vertical="top" wrapText="1" readingOrder="2"/>
    </xf>
    <xf numFmtId="0" fontId="23" fillId="0" borderId="0" xfId="0" applyFont="1" applyAlignment="1">
      <alignment horizontal="right" vertical="center" wrapText="1" readingOrder="2"/>
    </xf>
    <xf numFmtId="0" fontId="24" fillId="0" borderId="0" xfId="0" applyFont="1" applyAlignment="1">
      <alignment horizontal="right" vertical="center" wrapText="1" readingOrder="2"/>
    </xf>
    <xf numFmtId="0" fontId="23" fillId="5" borderId="4" xfId="0" applyFont="1" applyFill="1" applyBorder="1" applyAlignment="1">
      <alignment horizontal="right" vertical="center" wrapText="1" readingOrder="2"/>
    </xf>
    <xf numFmtId="0" fontId="24" fillId="5" borderId="4" xfId="0" applyFont="1" applyFill="1" applyBorder="1" applyAlignment="1">
      <alignment horizontal="right" vertical="center" wrapText="1" readingOrder="2"/>
    </xf>
    <xf numFmtId="0" fontId="23" fillId="5" borderId="7" xfId="0" applyFont="1" applyFill="1" applyBorder="1" applyAlignment="1">
      <alignment horizontal="right" vertical="center" wrapText="1" readingOrder="2"/>
    </xf>
    <xf numFmtId="0" fontId="24" fillId="5" borderId="7" xfId="0" applyFont="1" applyFill="1" applyBorder="1" applyAlignment="1">
      <alignment horizontal="right" vertical="center" wrapText="1" readingOrder="2"/>
    </xf>
    <xf numFmtId="0" fontId="24" fillId="5" borderId="3" xfId="0" applyFont="1" applyFill="1" applyBorder="1" applyAlignment="1">
      <alignment horizontal="right" vertical="center" wrapText="1" readingOrder="2"/>
    </xf>
    <xf numFmtId="0" fontId="18" fillId="6" borderId="0" xfId="0" applyFont="1" applyFill="1" applyAlignment="1">
      <alignment vertical="center" wrapText="1" readingOrder="2"/>
    </xf>
    <xf numFmtId="0" fontId="18" fillId="0" borderId="4" xfId="0" applyFont="1" applyBorder="1" applyAlignment="1">
      <alignment vertical="center" wrapText="1" readingOrder="2"/>
    </xf>
    <xf numFmtId="166" fontId="15" fillId="0" borderId="4" xfId="18" applyNumberFormat="1" applyFont="1" applyBorder="1" applyAlignment="1">
      <alignment vertical="center" wrapText="1"/>
    </xf>
    <xf numFmtId="0" fontId="18" fillId="0" borderId="7" xfId="0" applyFont="1" applyBorder="1" applyAlignment="1">
      <alignment vertical="center" wrapText="1" readingOrder="2"/>
    </xf>
    <xf numFmtId="0" fontId="15" fillId="0" borderId="7" xfId="0" applyFont="1" applyBorder="1" applyAlignment="1">
      <alignment vertical="center" wrapText="1"/>
    </xf>
    <xf numFmtId="166" fontId="15" fillId="0" borderId="7" xfId="18" applyNumberFormat="1" applyFont="1" applyBorder="1" applyAlignment="1">
      <alignment vertical="center" wrapText="1"/>
    </xf>
    <xf numFmtId="0" fontId="18" fillId="0" borderId="3" xfId="0" applyFont="1" applyBorder="1" applyAlignment="1">
      <alignment vertical="center" wrapText="1" readingOrder="2"/>
    </xf>
    <xf numFmtId="10" fontId="15" fillId="0" borderId="3" xfId="0" applyNumberFormat="1" applyFont="1" applyBorder="1" applyAlignment="1">
      <alignment vertical="center" wrapText="1"/>
    </xf>
    <xf numFmtId="0" fontId="18" fillId="6" borderId="13" xfId="0" applyFont="1" applyFill="1" applyBorder="1" applyAlignment="1">
      <alignment vertical="center" wrapText="1" readingOrder="2"/>
    </xf>
    <xf numFmtId="0" fontId="27" fillId="6" borderId="0" xfId="0" applyFont="1" applyFill="1" applyAlignment="1">
      <alignment horizontal="right" vertical="top" wrapText="1"/>
    </xf>
    <xf numFmtId="0" fontId="27" fillId="0" borderId="0" xfId="0" applyFont="1" applyAlignment="1">
      <alignment vertical="center" wrapText="1"/>
    </xf>
    <xf numFmtId="0" fontId="27" fillId="5" borderId="4" xfId="0" applyFont="1" applyFill="1" applyBorder="1" applyAlignment="1">
      <alignment vertical="center" wrapText="1"/>
    </xf>
    <xf numFmtId="0" fontId="27" fillId="5" borderId="3" xfId="0" applyFont="1" applyFill="1" applyBorder="1" applyAlignment="1">
      <alignment vertical="center" wrapText="1"/>
    </xf>
    <xf numFmtId="0" fontId="13" fillId="5" borderId="3" xfId="0" applyFont="1" applyFill="1" applyBorder="1" applyAlignment="1">
      <alignment horizontal="right" vertical="center" wrapText="1" readingOrder="2"/>
    </xf>
    <xf numFmtId="0" fontId="27" fillId="6" borderId="13" xfId="0" applyFont="1" applyFill="1" applyBorder="1" applyAlignment="1">
      <alignment horizontal="right" vertical="top" wrapText="1"/>
    </xf>
    <xf numFmtId="0" fontId="13" fillId="5" borderId="16" xfId="0" applyFont="1" applyFill="1" applyBorder="1" applyAlignment="1">
      <alignment vertical="center"/>
    </xf>
    <xf numFmtId="0" fontId="13" fillId="5" borderId="26" xfId="0" applyFont="1" applyFill="1" applyBorder="1" applyAlignment="1">
      <alignment vertical="center"/>
    </xf>
    <xf numFmtId="0" fontId="22" fillId="3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/>
    </xf>
    <xf numFmtId="9" fontId="13" fillId="5" borderId="0" xfId="0" applyNumberFormat="1" applyFont="1" applyFill="1" applyAlignment="1">
      <alignment horizontal="right" vertical="top" wrapText="1"/>
    </xf>
    <xf numFmtId="0" fontId="22" fillId="3" borderId="28" xfId="0" applyFont="1" applyFill="1" applyBorder="1" applyAlignment="1">
      <alignment horizontal="center" vertical="center" wrapText="1"/>
    </xf>
    <xf numFmtId="0" fontId="27" fillId="5" borderId="0" xfId="0" applyFont="1" applyFill="1" applyAlignment="1">
      <alignment vertical="top" wrapText="1"/>
    </xf>
    <xf numFmtId="9" fontId="13" fillId="0" borderId="0" xfId="0" applyNumberFormat="1" applyFont="1" applyAlignment="1" applyProtection="1">
      <alignment horizontal="center" vertical="center"/>
      <protection locked="0"/>
    </xf>
    <xf numFmtId="9" fontId="13" fillId="5" borderId="4" xfId="0" applyNumberFormat="1" applyFont="1" applyFill="1" applyBorder="1" applyAlignment="1" applyProtection="1">
      <alignment horizontal="right" vertical="center"/>
      <protection locked="0"/>
    </xf>
    <xf numFmtId="9" fontId="13" fillId="5" borderId="7" xfId="0" applyNumberFormat="1" applyFont="1" applyFill="1" applyBorder="1" applyAlignment="1" applyProtection="1">
      <alignment horizontal="right" vertical="center"/>
      <protection locked="0"/>
    </xf>
    <xf numFmtId="9" fontId="13" fillId="5" borderId="3" xfId="0" applyNumberFormat="1" applyFont="1" applyFill="1" applyBorder="1" applyAlignment="1" applyProtection="1">
      <alignment horizontal="right" vertical="center"/>
      <protection locked="0"/>
    </xf>
    <xf numFmtId="9" fontId="15" fillId="5" borderId="4" xfId="0" applyNumberFormat="1" applyFont="1" applyFill="1" applyBorder="1" applyAlignment="1">
      <alignment horizontal="right" vertical="center" readingOrder="2"/>
    </xf>
    <xf numFmtId="9" fontId="15" fillId="5" borderId="4" xfId="0" applyNumberFormat="1" applyFont="1" applyFill="1" applyBorder="1" applyAlignment="1">
      <alignment horizontal="right" vertical="center" readingOrder="1"/>
    </xf>
    <xf numFmtId="9" fontId="15" fillId="5" borderId="7" xfId="0" applyNumberFormat="1" applyFont="1" applyFill="1" applyBorder="1" applyAlignment="1">
      <alignment horizontal="right" vertical="center" readingOrder="2"/>
    </xf>
    <xf numFmtId="9" fontId="15" fillId="5" borderId="7" xfId="0" applyNumberFormat="1" applyFont="1" applyFill="1" applyBorder="1" applyAlignment="1">
      <alignment horizontal="right" vertical="center" readingOrder="1"/>
    </xf>
    <xf numFmtId="9" fontId="13" fillId="5" borderId="15" xfId="0" applyNumberFormat="1" applyFont="1" applyFill="1" applyBorder="1" applyAlignment="1" applyProtection="1">
      <alignment horizontal="right" vertical="center"/>
      <protection locked="0"/>
    </xf>
    <xf numFmtId="9" fontId="13" fillId="5" borderId="26" xfId="0" applyNumberFormat="1" applyFont="1" applyFill="1" applyBorder="1" applyAlignment="1" applyProtection="1">
      <alignment horizontal="right" vertical="center"/>
      <protection locked="0"/>
    </xf>
    <xf numFmtId="0" fontId="27" fillId="6" borderId="13" xfId="0" applyFont="1" applyFill="1" applyBorder="1" applyAlignment="1">
      <alignment horizontal="right" vertical="center"/>
    </xf>
    <xf numFmtId="9" fontId="13" fillId="5" borderId="16" xfId="0" applyNumberFormat="1" applyFont="1" applyFill="1" applyBorder="1" applyAlignment="1" applyProtection="1">
      <alignment horizontal="right" vertical="center"/>
      <protection locked="0"/>
    </xf>
    <xf numFmtId="9" fontId="15" fillId="5" borderId="16" xfId="0" applyNumberFormat="1" applyFont="1" applyFill="1" applyBorder="1" applyAlignment="1">
      <alignment horizontal="right" vertical="center" readingOrder="2"/>
    </xf>
    <xf numFmtId="9" fontId="15" fillId="5" borderId="15" xfId="0" applyNumberFormat="1" applyFont="1" applyFill="1" applyBorder="1" applyAlignment="1">
      <alignment horizontal="right" vertical="center" readingOrder="2"/>
    </xf>
    <xf numFmtId="9" fontId="15" fillId="5" borderId="16" xfId="0" applyNumberFormat="1" applyFont="1" applyFill="1" applyBorder="1" applyAlignment="1">
      <alignment horizontal="right" vertical="center" readingOrder="1"/>
    </xf>
    <xf numFmtId="9" fontId="15" fillId="5" borderId="15" xfId="0" applyNumberFormat="1" applyFont="1" applyFill="1" applyBorder="1" applyAlignment="1">
      <alignment horizontal="right" vertical="center" readingOrder="1"/>
    </xf>
    <xf numFmtId="0" fontId="22" fillId="3" borderId="5" xfId="0" applyFont="1" applyFill="1" applyBorder="1" applyAlignment="1">
      <alignment vertical="center" wrapText="1"/>
    </xf>
    <xf numFmtId="0" fontId="27" fillId="5" borderId="16" xfId="0" applyFont="1" applyFill="1" applyBorder="1" applyAlignment="1">
      <alignment vertical="center" wrapText="1"/>
    </xf>
    <xf numFmtId="0" fontId="27" fillId="5" borderId="15" xfId="0" applyFont="1" applyFill="1" applyBorder="1" applyAlignment="1">
      <alignment vertical="center" wrapText="1"/>
    </xf>
    <xf numFmtId="0" fontId="27" fillId="5" borderId="26" xfId="0" applyFont="1" applyFill="1" applyBorder="1" applyAlignment="1">
      <alignment vertical="center" wrapText="1"/>
    </xf>
    <xf numFmtId="0" fontId="20" fillId="4" borderId="0" xfId="18" applyNumberFormat="1" applyFont="1" applyFill="1" applyAlignment="1">
      <alignment vertical="center" wrapText="1" readingOrder="2"/>
    </xf>
    <xf numFmtId="0" fontId="13" fillId="0" borderId="0" xfId="0" applyFont="1" applyAlignment="1">
      <alignment horizontal="right" wrapText="1" readingOrder="2"/>
    </xf>
    <xf numFmtId="0" fontId="13" fillId="0" borderId="0" xfId="0" applyFont="1" applyAlignment="1">
      <alignment horizontal="right" readingOrder="2"/>
    </xf>
    <xf numFmtId="10" fontId="13" fillId="0" borderId="0" xfId="0" applyNumberFormat="1" applyFont="1"/>
    <xf numFmtId="9" fontId="13" fillId="0" borderId="4" xfId="0" applyNumberFormat="1" applyFont="1" applyBorder="1" applyAlignment="1">
      <alignment vertical="center"/>
    </xf>
    <xf numFmtId="9" fontId="13" fillId="0" borderId="7" xfId="0" applyNumberFormat="1" applyFont="1" applyBorder="1" applyAlignment="1">
      <alignment vertical="center"/>
    </xf>
    <xf numFmtId="9" fontId="13" fillId="0" borderId="7" xfId="15" applyFont="1" applyBorder="1" applyAlignment="1">
      <alignment vertical="center"/>
    </xf>
    <xf numFmtId="9" fontId="13" fillId="0" borderId="3" xfId="0" applyNumberFormat="1" applyFont="1" applyBorder="1" applyAlignment="1">
      <alignment vertical="center"/>
    </xf>
    <xf numFmtId="0" fontId="20" fillId="4" borderId="0" xfId="18" applyNumberFormat="1" applyFont="1" applyFill="1" applyAlignment="1">
      <alignment vertical="center" readingOrder="2"/>
    </xf>
    <xf numFmtId="9" fontId="13" fillId="0" borderId="16" xfId="15" applyFont="1" applyBorder="1" applyAlignment="1">
      <alignment horizontal="right" vertical="center" readingOrder="2"/>
    </xf>
    <xf numFmtId="9" fontId="13" fillId="0" borderId="15" xfId="0" applyNumberFormat="1" applyFont="1" applyBorder="1" applyAlignment="1">
      <alignment horizontal="right" vertical="center" readingOrder="2"/>
    </xf>
    <xf numFmtId="9" fontId="13" fillId="0" borderId="26" xfId="15" applyFont="1" applyBorder="1" applyAlignment="1">
      <alignment horizontal="right" vertical="center" readingOrder="2"/>
    </xf>
    <xf numFmtId="9" fontId="13" fillId="0" borderId="15" xfId="15" applyFont="1" applyBorder="1" applyAlignment="1">
      <alignment vertical="center"/>
    </xf>
    <xf numFmtId="9" fontId="13" fillId="0" borderId="26" xfId="0" applyNumberFormat="1" applyFont="1" applyBorder="1" applyAlignment="1">
      <alignment vertical="center"/>
    </xf>
    <xf numFmtId="0" fontId="22" fillId="3" borderId="0" xfId="18" applyNumberFormat="1" applyFont="1" applyFill="1" applyAlignment="1">
      <alignment horizontal="right"/>
    </xf>
    <xf numFmtId="166" fontId="13" fillId="5" borderId="4" xfId="18" applyNumberFormat="1" applyFont="1" applyFill="1" applyBorder="1" applyAlignment="1">
      <alignment vertical="center"/>
    </xf>
    <xf numFmtId="166" fontId="13" fillId="5" borderId="7" xfId="18" applyNumberFormat="1" applyFont="1" applyFill="1" applyBorder="1" applyAlignment="1">
      <alignment vertical="center"/>
    </xf>
    <xf numFmtId="0" fontId="27" fillId="5" borderId="4" xfId="18" applyNumberFormat="1" applyFont="1" applyFill="1" applyBorder="1" applyAlignment="1">
      <alignment vertical="center"/>
    </xf>
    <xf numFmtId="0" fontId="27" fillId="5" borderId="7" xfId="18" applyNumberFormat="1" applyFont="1" applyFill="1" applyBorder="1" applyAlignment="1">
      <alignment vertical="center"/>
    </xf>
    <xf numFmtId="0" fontId="13" fillId="6" borderId="0" xfId="0" applyFont="1" applyFill="1" applyAlignment="1">
      <alignment horizontal="right" vertical="center" readingOrder="2"/>
    </xf>
    <xf numFmtId="0" fontId="27" fillId="5" borderId="4" xfId="0" applyFont="1" applyFill="1" applyBorder="1" applyAlignment="1">
      <alignment horizontal="right" vertical="center" readingOrder="2"/>
    </xf>
    <xf numFmtId="165" fontId="13" fillId="5" borderId="4" xfId="15" applyNumberFormat="1" applyFont="1" applyFill="1" applyBorder="1" applyAlignment="1">
      <alignment vertical="center"/>
    </xf>
    <xf numFmtId="0" fontId="27" fillId="5" borderId="7" xfId="0" applyFont="1" applyFill="1" applyBorder="1" applyAlignment="1">
      <alignment horizontal="right" vertical="center" readingOrder="2"/>
    </xf>
    <xf numFmtId="0" fontId="13" fillId="5" borderId="3" xfId="0" applyFont="1" applyFill="1" applyBorder="1" applyAlignment="1">
      <alignment horizontal="right" vertical="center" readingOrder="2"/>
    </xf>
    <xf numFmtId="165" fontId="13" fillId="5" borderId="16" xfId="15" applyNumberFormat="1" applyFont="1" applyFill="1" applyBorder="1" applyAlignment="1">
      <alignment vertical="center"/>
    </xf>
    <xf numFmtId="10" fontId="13" fillId="5" borderId="15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27" fillId="6" borderId="29" xfId="0" applyFont="1" applyFill="1" applyBorder="1" applyAlignment="1">
      <alignment horizontal="right" vertical="center" wrapText="1" readingOrder="2"/>
    </xf>
    <xf numFmtId="0" fontId="27" fillId="6" borderId="30" xfId="0" applyFont="1" applyFill="1" applyBorder="1" applyAlignment="1">
      <alignment horizontal="right" vertical="center" wrapText="1" readingOrder="2"/>
    </xf>
    <xf numFmtId="0" fontId="27" fillId="6" borderId="31" xfId="0" applyFont="1" applyFill="1" applyBorder="1" applyAlignment="1">
      <alignment horizontal="right" vertical="center" wrapText="1" readingOrder="2"/>
    </xf>
    <xf numFmtId="0" fontId="13" fillId="5" borderId="7" xfId="0" applyFont="1" applyFill="1" applyBorder="1" applyAlignment="1">
      <alignment horizontal="right" vertical="center" readingOrder="2"/>
    </xf>
    <xf numFmtId="0" fontId="13" fillId="5" borderId="7" xfId="0" applyFont="1" applyFill="1" applyBorder="1" applyAlignment="1">
      <alignment horizontal="right" vertical="center" wrapText="1" readingOrder="2"/>
    </xf>
    <xf numFmtId="0" fontId="30" fillId="5" borderId="3" xfId="20" applyFont="1" applyFill="1" applyBorder="1" applyAlignment="1">
      <alignment horizontal="right" vertical="center" wrapText="1" readingOrder="2"/>
    </xf>
    <xf numFmtId="0" fontId="13" fillId="5" borderId="7" xfId="0" applyFont="1" applyFill="1" applyBorder="1" applyAlignment="1">
      <alignment vertical="center" wrapText="1" readingOrder="2"/>
    </xf>
    <xf numFmtId="0" fontId="13" fillId="5" borderId="3" xfId="0" applyFont="1" applyFill="1" applyBorder="1" applyAlignment="1">
      <alignment vertical="center" wrapText="1" readingOrder="2"/>
    </xf>
    <xf numFmtId="0" fontId="29" fillId="0" borderId="0" xfId="0" applyFont="1" applyAlignment="1">
      <alignment vertical="center" readingOrder="2"/>
    </xf>
    <xf numFmtId="0" fontId="13" fillId="0" borderId="0" xfId="0" applyFont="1" applyAlignment="1">
      <alignment vertical="center" readingOrder="2"/>
    </xf>
    <xf numFmtId="0" fontId="13" fillId="0" borderId="4" xfId="0" applyFont="1" applyBorder="1" applyAlignment="1">
      <alignment horizontal="right" vertical="top" wrapText="1"/>
    </xf>
    <xf numFmtId="0" fontId="13" fillId="0" borderId="7" xfId="0" applyFont="1" applyBorder="1" applyAlignment="1">
      <alignment horizontal="right" vertical="top" wrapText="1"/>
    </xf>
    <xf numFmtId="0" fontId="13" fillId="0" borderId="3" xfId="0" applyFont="1" applyBorder="1" applyAlignment="1">
      <alignment horizontal="right" vertical="top" wrapText="1"/>
    </xf>
    <xf numFmtId="0" fontId="27" fillId="2" borderId="29" xfId="0" applyFont="1" applyFill="1" applyBorder="1" applyAlignment="1">
      <alignment horizontal="right" vertical="top"/>
    </xf>
    <xf numFmtId="0" fontId="27" fillId="2" borderId="29" xfId="0" applyFont="1" applyFill="1" applyBorder="1" applyAlignment="1">
      <alignment horizontal="right" vertical="top" wrapText="1"/>
    </xf>
    <xf numFmtId="0" fontId="27" fillId="2" borderId="30" xfId="0" applyFont="1" applyFill="1" applyBorder="1" applyAlignment="1">
      <alignment horizontal="right" vertical="top"/>
    </xf>
    <xf numFmtId="0" fontId="27" fillId="2" borderId="30" xfId="0" applyFont="1" applyFill="1" applyBorder="1" applyAlignment="1">
      <alignment horizontal="right" vertical="top" wrapText="1"/>
    </xf>
    <xf numFmtId="0" fontId="27" fillId="2" borderId="31" xfId="0" applyFont="1" applyFill="1" applyBorder="1" applyAlignment="1">
      <alignment horizontal="right" vertical="top"/>
    </xf>
    <xf numFmtId="0" fontId="27" fillId="2" borderId="31" xfId="0" applyFont="1" applyFill="1" applyBorder="1" applyAlignment="1">
      <alignment horizontal="right" vertical="top" wrapText="1"/>
    </xf>
    <xf numFmtId="0" fontId="13" fillId="0" borderId="0" xfId="0" applyFont="1" applyAlignment="1">
      <alignment horizontal="right" vertical="center" readingOrder="2"/>
    </xf>
    <xf numFmtId="0" fontId="27" fillId="0" borderId="3" xfId="0" applyFont="1" applyBorder="1" applyAlignment="1">
      <alignment vertical="center"/>
    </xf>
    <xf numFmtId="0" fontId="0" fillId="7" borderId="0" xfId="0" applyFill="1"/>
    <xf numFmtId="0" fontId="14" fillId="0" borderId="7" xfId="20" applyFont="1" applyBorder="1" applyAlignment="1">
      <alignment vertical="center"/>
    </xf>
    <xf numFmtId="0" fontId="14" fillId="0" borderId="3" xfId="20" applyFont="1" applyBorder="1" applyAlignment="1">
      <alignment vertical="center"/>
    </xf>
    <xf numFmtId="0" fontId="14" fillId="0" borderId="0" xfId="20" applyFont="1" applyAlignment="1">
      <alignment vertical="center"/>
    </xf>
    <xf numFmtId="0" fontId="31" fillId="0" borderId="4" xfId="20" applyFont="1" applyBorder="1" applyAlignment="1">
      <alignment vertical="center"/>
    </xf>
    <xf numFmtId="0" fontId="31" fillId="0" borderId="7" xfId="20" applyFont="1" applyBorder="1" applyAlignment="1">
      <alignment vertical="center"/>
    </xf>
    <xf numFmtId="0" fontId="31" fillId="0" borderId="3" xfId="20" applyFont="1" applyBorder="1" applyAlignment="1">
      <alignment vertical="center"/>
    </xf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3" borderId="0" xfId="0" applyFill="1"/>
    <xf numFmtId="0" fontId="8" fillId="0" borderId="0" xfId="0" applyFont="1" applyAlignment="1">
      <alignment vertical="top" wrapText="1" readingOrder="2"/>
    </xf>
    <xf numFmtId="0" fontId="10" fillId="0" borderId="0" xfId="0" applyFont="1" applyAlignment="1">
      <alignment vertical="top" wrapText="1" readingOrder="2"/>
    </xf>
    <xf numFmtId="164" fontId="13" fillId="5" borderId="3" xfId="0" applyNumberFormat="1" applyFont="1" applyFill="1" applyBorder="1" applyAlignment="1">
      <alignment vertical="center"/>
    </xf>
    <xf numFmtId="0" fontId="2" fillId="0" borderId="0" xfId="0" applyFont="1"/>
    <xf numFmtId="0" fontId="32" fillId="0" borderId="0" xfId="0" applyFont="1" applyAlignment="1">
      <alignment horizontal="right" vertical="center"/>
    </xf>
    <xf numFmtId="166" fontId="0" fillId="0" borderId="0" xfId="0" applyNumberFormat="1"/>
    <xf numFmtId="165" fontId="7" fillId="0" borderId="0" xfId="15" applyNumberFormat="1" applyAlignment="1">
      <alignment vertical="center"/>
    </xf>
    <xf numFmtId="2" fontId="13" fillId="0" borderId="32" xfId="15" applyNumberFormat="1" applyFont="1" applyBorder="1" applyAlignment="1">
      <alignment horizontal="right" vertical="center"/>
    </xf>
    <xf numFmtId="2" fontId="13" fillId="0" borderId="3" xfId="15" applyNumberFormat="1" applyFont="1" applyBorder="1" applyAlignment="1">
      <alignment horizontal="right" vertical="center"/>
    </xf>
    <xf numFmtId="0" fontId="20" fillId="0" borderId="0" xfId="18" applyNumberFormat="1" applyFont="1" applyAlignment="1">
      <alignment horizontal="right" vertical="center" wrapText="1" readingOrder="2"/>
    </xf>
    <xf numFmtId="165" fontId="13" fillId="0" borderId="4" xfId="15" applyNumberFormat="1" applyFont="1" applyBorder="1" applyAlignment="1">
      <alignment horizontal="right" vertical="center"/>
    </xf>
    <xf numFmtId="0" fontId="22" fillId="3" borderId="12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165" fontId="27" fillId="0" borderId="4" xfId="15" applyNumberFormat="1" applyFont="1" applyBorder="1" applyAlignment="1">
      <alignment horizontal="right" vertical="center"/>
    </xf>
    <xf numFmtId="0" fontId="34" fillId="0" borderId="11" xfId="0" applyFont="1" applyBorder="1" applyAlignment="1">
      <alignment vertical="center" readingOrder="2"/>
    </xf>
    <xf numFmtId="0" fontId="34" fillId="0" borderId="0" xfId="0" applyFont="1" applyAlignment="1">
      <alignment vertical="center" readingOrder="2"/>
    </xf>
    <xf numFmtId="0" fontId="35" fillId="0" borderId="0" xfId="18" applyNumberFormat="1" applyFont="1" applyAlignment="1">
      <alignment horizontal="right" vertical="center" wrapText="1" readingOrder="2"/>
    </xf>
    <xf numFmtId="9" fontId="27" fillId="0" borderId="4" xfId="15" applyFont="1" applyBorder="1" applyAlignment="1">
      <alignment horizontal="right" vertical="center"/>
    </xf>
    <xf numFmtId="166" fontId="13" fillId="0" borderId="0" xfId="18" applyNumberFormat="1" applyFont="1" applyAlignment="1">
      <alignment vertical="center"/>
    </xf>
    <xf numFmtId="0" fontId="0" fillId="0" borderId="0" xfId="0" applyAlignment="1">
      <alignment wrapText="1"/>
    </xf>
    <xf numFmtId="0" fontId="13" fillId="0" borderId="0" xfId="0" applyFont="1" applyAlignment="1">
      <alignment wrapText="1" readingOrder="2"/>
    </xf>
    <xf numFmtId="0" fontId="13" fillId="0" borderId="11" xfId="0" applyFont="1" applyBorder="1" applyAlignment="1">
      <alignment wrapText="1" readingOrder="2"/>
    </xf>
    <xf numFmtId="0" fontId="13" fillId="0" borderId="0" xfId="0" applyFont="1" applyAlignment="1">
      <alignment horizontal="right" vertical="center" wrapText="1"/>
    </xf>
    <xf numFmtId="10" fontId="13" fillId="0" borderId="3" xfId="0" applyNumberFormat="1" applyFont="1" applyBorder="1" applyAlignment="1">
      <alignment vertical="center"/>
    </xf>
    <xf numFmtId="0" fontId="18" fillId="6" borderId="0" xfId="0" applyFont="1" applyFill="1" applyAlignment="1">
      <alignment horizontal="right" vertical="center" wrapText="1" readingOrder="2"/>
    </xf>
    <xf numFmtId="0" fontId="23" fillId="5" borderId="0" xfId="0" applyFont="1" applyFill="1" applyAlignment="1">
      <alignment horizontal="right" vertical="center" wrapText="1" readingOrder="2"/>
    </xf>
    <xf numFmtId="0" fontId="24" fillId="5" borderId="0" xfId="0" applyFont="1" applyFill="1" applyAlignment="1">
      <alignment horizontal="right" vertical="center" wrapText="1" readingOrder="2"/>
    </xf>
    <xf numFmtId="0" fontId="23" fillId="5" borderId="0" xfId="0" applyFont="1" applyFill="1" applyAlignment="1">
      <alignment vertical="center" wrapText="1" readingOrder="2"/>
    </xf>
    <xf numFmtId="0" fontId="22" fillId="3" borderId="0" xfId="0" applyFont="1" applyFill="1" applyAlignment="1">
      <alignment vertical="center" readingOrder="2"/>
    </xf>
    <xf numFmtId="0" fontId="22" fillId="3" borderId="5" xfId="0" applyFont="1" applyFill="1" applyBorder="1" applyAlignment="1">
      <alignment vertical="center" readingOrder="2"/>
    </xf>
    <xf numFmtId="0" fontId="18" fillId="0" borderId="0" xfId="0" applyFont="1" applyAlignment="1">
      <alignment vertical="center" wrapText="1" readingOrder="2"/>
    </xf>
    <xf numFmtId="0" fontId="20" fillId="0" borderId="0" xfId="21" applyNumberFormat="1" applyFont="1" applyAlignment="1">
      <alignment vertical="center" readingOrder="2"/>
    </xf>
    <xf numFmtId="9" fontId="24" fillId="0" borderId="4" xfId="0" applyNumberFormat="1" applyFont="1" applyBorder="1" applyAlignment="1">
      <alignment horizontal="right" vertical="center" wrapText="1" readingOrder="2"/>
    </xf>
    <xf numFmtId="0" fontId="24" fillId="0" borderId="4" xfId="0" applyFont="1" applyBorder="1" applyAlignment="1">
      <alignment horizontal="right" vertical="center" wrapText="1" readingOrder="2"/>
    </xf>
    <xf numFmtId="9" fontId="24" fillId="0" borderId="7" xfId="0" applyNumberFormat="1" applyFont="1" applyBorder="1" applyAlignment="1">
      <alignment horizontal="right" vertical="center" wrapText="1" readingOrder="2"/>
    </xf>
    <xf numFmtId="0" fontId="24" fillId="0" borderId="7" xfId="0" applyFont="1" applyBorder="1" applyAlignment="1">
      <alignment horizontal="right" vertical="center" wrapText="1" readingOrder="2"/>
    </xf>
    <xf numFmtId="9" fontId="15" fillId="0" borderId="4" xfId="18" applyNumberFormat="1" applyFont="1" applyBorder="1" applyAlignment="1">
      <alignment vertical="center" wrapText="1"/>
    </xf>
    <xf numFmtId="9" fontId="15" fillId="0" borderId="4" xfId="0" applyNumberFormat="1" applyFont="1" applyBorder="1" applyAlignment="1">
      <alignment vertical="center" wrapText="1"/>
    </xf>
    <xf numFmtId="0" fontId="23" fillId="0" borderId="4" xfId="0" applyFont="1" applyBorder="1" applyAlignment="1">
      <alignment horizontal="right" vertical="center" wrapText="1" readingOrder="2"/>
    </xf>
    <xf numFmtId="0" fontId="23" fillId="0" borderId="7" xfId="0" applyFont="1" applyBorder="1" applyAlignment="1">
      <alignment horizontal="right" vertical="center" wrapText="1" readingOrder="2"/>
    </xf>
    <xf numFmtId="0" fontId="24" fillId="0" borderId="0" xfId="22" applyFont="1" applyAlignment="1">
      <alignment horizontal="left" vertical="center" wrapText="1" readingOrder="2"/>
      <protection/>
    </xf>
    <xf numFmtId="0" fontId="24" fillId="0" borderId="3" xfId="0" applyFont="1" applyBorder="1" applyAlignment="1">
      <alignment horizontal="left" vertical="center" wrapText="1" readingOrder="2"/>
    </xf>
    <xf numFmtId="0" fontId="24" fillId="0" borderId="4" xfId="22" applyFont="1" applyBorder="1" applyAlignment="1">
      <alignment horizontal="left" vertical="center" wrapText="1" readingOrder="2"/>
      <protection/>
    </xf>
    <xf numFmtId="0" fontId="24" fillId="0" borderId="7" xfId="22" applyFont="1" applyBorder="1" applyAlignment="1">
      <alignment horizontal="left" vertical="center" wrapText="1" readingOrder="2"/>
      <protection/>
    </xf>
    <xf numFmtId="166" fontId="15" fillId="0" borderId="16" xfId="21" applyNumberFormat="1" applyFont="1" applyBorder="1" applyAlignment="1">
      <alignment vertical="center" wrapText="1"/>
    </xf>
    <xf numFmtId="43" fontId="15" fillId="0" borderId="4" xfId="18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43" fontId="15" fillId="0" borderId="7" xfId="18" applyFont="1" applyBorder="1" applyAlignment="1">
      <alignment vertical="center" wrapText="1"/>
    </xf>
    <xf numFmtId="0" fontId="13" fillId="0" borderId="15" xfId="22" applyFont="1" applyBorder="1" applyAlignment="1">
      <alignment vertical="center"/>
      <protection/>
    </xf>
    <xf numFmtId="166" fontId="13" fillId="0" borderId="15" xfId="18" applyNumberFormat="1" applyFont="1" applyBorder="1" applyAlignment="1">
      <alignment vertical="center"/>
    </xf>
    <xf numFmtId="166" fontId="13" fillId="0" borderId="15" xfId="21" applyNumberFormat="1" applyFont="1" applyBorder="1" applyAlignment="1">
      <alignment vertical="center"/>
    </xf>
    <xf numFmtId="166" fontId="15" fillId="0" borderId="7" xfId="18" applyNumberFormat="1" applyFont="1" applyBorder="1" applyAlignment="1">
      <alignment horizontal="right" vertical="center" wrapText="1"/>
    </xf>
    <xf numFmtId="0" fontId="15" fillId="0" borderId="3" xfId="0" applyFont="1" applyBorder="1" applyAlignment="1">
      <alignment horizontal="right" vertical="center" wrapText="1"/>
    </xf>
    <xf numFmtId="10" fontId="13" fillId="0" borderId="3" xfId="15" applyNumberFormat="1" applyFont="1" applyBorder="1" applyAlignment="1">
      <alignment vertical="center"/>
    </xf>
    <xf numFmtId="10" fontId="13" fillId="0" borderId="26" xfId="22" applyNumberFormat="1" applyFont="1" applyBorder="1" applyAlignment="1">
      <alignment vertical="center"/>
      <protection/>
    </xf>
    <xf numFmtId="9" fontId="15" fillId="0" borderId="16" xfId="21" applyNumberFormat="1" applyFont="1" applyBorder="1" applyAlignment="1">
      <alignment vertical="center" wrapText="1"/>
    </xf>
    <xf numFmtId="166" fontId="7" fillId="0" borderId="15" xfId="18" applyNumberFormat="1" applyBorder="1" applyAlignment="1">
      <alignment vertical="center"/>
    </xf>
    <xf numFmtId="0" fontId="23" fillId="0" borderId="0" xfId="0" applyFont="1" applyAlignment="1">
      <alignment vertical="center" wrapText="1" readingOrder="2"/>
    </xf>
    <xf numFmtId="0" fontId="24" fillId="0" borderId="4" xfId="22" applyFont="1" applyBorder="1" applyAlignment="1">
      <alignment horizontal="center" vertical="center" wrapText="1" readingOrder="2"/>
      <protection/>
    </xf>
    <xf numFmtId="0" fontId="24" fillId="0" borderId="7" xfId="22" applyFont="1" applyBorder="1" applyAlignment="1">
      <alignment horizontal="center" vertical="center" wrapText="1" readingOrder="2"/>
      <protection/>
    </xf>
    <xf numFmtId="0" fontId="24" fillId="0" borderId="0" xfId="22" applyFont="1" applyAlignment="1">
      <alignment horizontal="center" vertical="center" wrapText="1" readingOrder="2"/>
      <protection/>
    </xf>
    <xf numFmtId="49" fontId="24" fillId="0" borderId="4" xfId="22" applyNumberFormat="1" applyFont="1" applyBorder="1" applyAlignment="1">
      <alignment horizontal="center" vertical="center" wrapText="1" readingOrder="2"/>
      <protection/>
    </xf>
    <xf numFmtId="166" fontId="13" fillId="0" borderId="4" xfId="0" applyNumberFormat="1" applyFont="1" applyBorder="1" applyAlignment="1">
      <alignment horizontal="right" vertical="center"/>
    </xf>
    <xf numFmtId="9" fontId="13" fillId="0" borderId="16" xfId="15" applyFont="1" applyBorder="1" applyAlignment="1">
      <alignment horizontal="right" vertical="center"/>
    </xf>
    <xf numFmtId="43" fontId="13" fillId="0" borderId="24" xfId="0" applyNumberFormat="1" applyFont="1" applyBorder="1" applyAlignment="1">
      <alignment horizontal="right" vertical="center"/>
    </xf>
    <xf numFmtId="2" fontId="13" fillId="0" borderId="24" xfId="15" applyNumberFormat="1" applyFont="1" applyBorder="1" applyAlignment="1">
      <alignment horizontal="right" vertical="center"/>
    </xf>
    <xf numFmtId="2" fontId="13" fillId="0" borderId="4" xfId="15" applyNumberFormat="1" applyFont="1" applyBorder="1" applyAlignment="1">
      <alignment horizontal="right" vertical="center"/>
    </xf>
    <xf numFmtId="166" fontId="13" fillId="0" borderId="0" xfId="18" applyNumberFormat="1" applyFont="1" applyAlignment="1">
      <alignment horizontal="right" vertical="center"/>
    </xf>
    <xf numFmtId="166" fontId="27" fillId="0" borderId="0" xfId="18" applyNumberFormat="1" applyFont="1" applyAlignment="1">
      <alignment horizontal="right" vertical="center"/>
    </xf>
    <xf numFmtId="166" fontId="27" fillId="0" borderId="3" xfId="18" applyNumberFormat="1" applyFont="1" applyBorder="1" applyAlignment="1">
      <alignment horizontal="right" vertical="center"/>
    </xf>
    <xf numFmtId="2" fontId="13" fillId="0" borderId="4" xfId="0" applyNumberFormat="1" applyFont="1" applyBorder="1" applyAlignment="1">
      <alignment horizontal="right" vertical="center"/>
    </xf>
    <xf numFmtId="43" fontId="13" fillId="0" borderId="25" xfId="0" applyNumberFormat="1" applyFont="1" applyBorder="1" applyAlignment="1">
      <alignment horizontal="right" vertical="center"/>
    </xf>
    <xf numFmtId="2" fontId="13" fillId="0" borderId="25" xfId="15" applyNumberFormat="1" applyFont="1" applyBorder="1" applyAlignment="1">
      <alignment horizontal="right" vertical="center"/>
    </xf>
    <xf numFmtId="2" fontId="13" fillId="0" borderId="7" xfId="15" applyNumberFormat="1" applyFont="1" applyBorder="1" applyAlignment="1">
      <alignment horizontal="right" vertical="center"/>
    </xf>
    <xf numFmtId="43" fontId="13" fillId="0" borderId="32" xfId="0" applyNumberFormat="1" applyFont="1" applyBorder="1" applyAlignment="1">
      <alignment horizontal="right" vertical="center"/>
    </xf>
    <xf numFmtId="164" fontId="13" fillId="0" borderId="4" xfId="0" applyNumberFormat="1" applyFont="1" applyBorder="1" applyAlignment="1">
      <alignment horizontal="right" vertical="center"/>
    </xf>
    <xf numFmtId="165" fontId="7" fillId="0" borderId="0" xfId="15" applyNumberFormat="1" applyAlignment="1">
      <alignment vertical="center" readingOrder="2"/>
    </xf>
    <xf numFmtId="9" fontId="7" fillId="0" borderId="0" xfId="15"/>
    <xf numFmtId="3" fontId="13" fillId="0" borderId="33" xfId="0" applyNumberFormat="1" applyFont="1" applyBorder="1" applyAlignment="1" applyProtection="1">
      <alignment vertical="center" readingOrder="2"/>
      <protection locked="0"/>
    </xf>
    <xf numFmtId="3" fontId="13" fillId="0" borderId="34" xfId="0" applyNumberFormat="1" applyFont="1" applyBorder="1" applyAlignment="1" applyProtection="1">
      <alignment vertical="center" readingOrder="2"/>
      <protection locked="0"/>
    </xf>
    <xf numFmtId="3" fontId="13" fillId="0" borderId="35" xfId="0" applyNumberFormat="1" applyFont="1" applyBorder="1" applyAlignment="1">
      <alignment vertical="center" readingOrder="2"/>
    </xf>
    <xf numFmtId="3" fontId="15" fillId="0" borderId="36" xfId="0" applyNumberFormat="1" applyFont="1" applyBorder="1" applyAlignment="1">
      <alignment vertical="center"/>
    </xf>
    <xf numFmtId="9" fontId="7" fillId="0" borderId="0" xfId="15" applyAlignment="1">
      <alignment horizontal="right" vertical="center" wrapText="1" readingOrder="2"/>
    </xf>
    <xf numFmtId="9" fontId="7" fillId="0" borderId="0" xfId="15" applyAlignment="1">
      <alignment vertical="center" readingOrder="2"/>
    </xf>
    <xf numFmtId="166" fontId="13" fillId="0" borderId="33" xfId="18" applyNumberFormat="1" applyFont="1" applyBorder="1" applyAlignment="1">
      <alignment vertical="center" wrapText="1"/>
    </xf>
    <xf numFmtId="166" fontId="13" fillId="0" borderId="33" xfId="0" applyNumberFormat="1" applyFont="1" applyBorder="1"/>
    <xf numFmtId="166" fontId="13" fillId="0" borderId="34" xfId="18" applyNumberFormat="1" applyFont="1" applyBorder="1" applyAlignment="1">
      <alignment vertical="center" wrapText="1"/>
    </xf>
    <xf numFmtId="0" fontId="13" fillId="0" borderId="33" xfId="0" applyFont="1" applyBorder="1" applyAlignment="1">
      <alignment horizontal="right" vertical="center" readingOrder="2"/>
    </xf>
    <xf numFmtId="0" fontId="24" fillId="0" borderId="33" xfId="0" applyFont="1" applyBorder="1" applyAlignment="1">
      <alignment horizontal="right" vertical="center" wrapText="1" readingOrder="2"/>
    </xf>
    <xf numFmtId="0" fontId="24" fillId="0" borderId="34" xfId="0" applyFont="1" applyBorder="1" applyAlignment="1">
      <alignment horizontal="right" vertical="center" wrapText="1" readingOrder="2"/>
    </xf>
    <xf numFmtId="0" fontId="23" fillId="0" borderId="34" xfId="0" applyFont="1" applyBorder="1" applyAlignment="1">
      <alignment horizontal="right" vertical="center" wrapText="1" readingOrder="2"/>
    </xf>
    <xf numFmtId="0" fontId="24" fillId="0" borderId="3" xfId="0" applyFont="1" applyBorder="1" applyAlignment="1">
      <alignment horizontal="right" vertical="center" wrapText="1" readingOrder="2"/>
    </xf>
    <xf numFmtId="165" fontId="7" fillId="0" borderId="0" xfId="15" applyNumberFormat="1"/>
    <xf numFmtId="0" fontId="0" fillId="0" borderId="0" xfId="0" applyAlignment="1">
      <alignment readingOrder="2"/>
    </xf>
    <xf numFmtId="0" fontId="23" fillId="0" borderId="3" xfId="18" applyNumberFormat="1" applyFont="1" applyBorder="1" applyAlignment="1">
      <alignment horizontal="left" vertical="center" wrapText="1" readingOrder="1"/>
    </xf>
    <xf numFmtId="0" fontId="23" fillId="0" borderId="3" xfId="18" applyNumberFormat="1" applyFont="1" applyBorder="1" applyAlignment="1">
      <alignment horizontal="right" vertical="center"/>
    </xf>
    <xf numFmtId="0" fontId="23" fillId="0" borderId="3" xfId="18" applyNumberFormat="1" applyFont="1" applyBorder="1" applyAlignment="1">
      <alignment horizontal="right" vertical="center" readingOrder="2"/>
    </xf>
    <xf numFmtId="0" fontId="20" fillId="0" borderId="8" xfId="21" applyNumberFormat="1" applyFont="1" applyBorder="1" applyAlignment="1">
      <alignment vertical="center" readingOrder="2"/>
    </xf>
    <xf numFmtId="2" fontId="24" fillId="0" borderId="4" xfId="22" applyNumberFormat="1" applyFont="1" applyBorder="1" applyAlignment="1">
      <alignment horizontal="center" vertical="center" wrapText="1" readingOrder="2"/>
      <protection/>
    </xf>
    <xf numFmtId="0" fontId="13" fillId="0" borderId="25" xfId="0" applyFont="1" applyBorder="1" applyAlignment="1" applyProtection="1">
      <alignment vertical="center"/>
      <protection locked="0"/>
    </xf>
    <xf numFmtId="0" fontId="13" fillId="0" borderId="15" xfId="0" applyFont="1" applyBorder="1" applyAlignment="1" applyProtection="1">
      <alignment vertical="center"/>
      <protection locked="0"/>
    </xf>
    <xf numFmtId="0" fontId="13" fillId="0" borderId="32" xfId="0" applyFont="1" applyBorder="1" applyAlignment="1" applyProtection="1">
      <alignment vertical="center"/>
      <protection locked="0"/>
    </xf>
    <xf numFmtId="0" fontId="13" fillId="0" borderId="26" xfId="0" applyFont="1" applyBorder="1" applyAlignment="1" applyProtection="1">
      <alignment vertical="center"/>
      <protection locked="0"/>
    </xf>
    <xf numFmtId="0" fontId="13" fillId="0" borderId="26" xfId="0" applyFont="1" applyBorder="1" applyAlignment="1" applyProtection="1">
      <alignment horizontal="right" vertical="center"/>
      <protection locked="0"/>
    </xf>
    <xf numFmtId="0" fontId="13" fillId="0" borderId="7" xfId="0" applyFont="1" applyBorder="1" applyAlignment="1" applyProtection="1">
      <alignment vertical="center"/>
      <protection locked="0"/>
    </xf>
    <xf numFmtId="0" fontId="13" fillId="0" borderId="32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 applyProtection="1">
      <alignment horizontal="right" vertical="center"/>
      <protection locked="0"/>
    </xf>
    <xf numFmtId="0" fontId="39" fillId="0" borderId="0" xfId="18" applyNumberFormat="1" applyFont="1" applyAlignment="1">
      <alignment vertical="center" readingOrder="2"/>
    </xf>
    <xf numFmtId="49" fontId="13" fillId="0" borderId="7" xfId="0" applyNumberFormat="1" applyFont="1" applyBorder="1" applyAlignment="1">
      <alignment vertical="center" wrapText="1" readingOrder="2"/>
    </xf>
    <xf numFmtId="49" fontId="13" fillId="0" borderId="3" xfId="0" applyNumberFormat="1" applyFont="1" applyBorder="1" applyAlignment="1">
      <alignment vertical="center" wrapText="1" readingOrder="2"/>
    </xf>
    <xf numFmtId="0" fontId="23" fillId="0" borderId="0" xfId="22" applyFont="1" applyAlignment="1">
      <alignment vertical="center" wrapText="1" readingOrder="2"/>
      <protection/>
    </xf>
    <xf numFmtId="0" fontId="22" fillId="3" borderId="5" xfId="0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9" fontId="24" fillId="0" borderId="4" xfId="0" applyNumberFormat="1" applyFont="1" applyBorder="1" applyAlignment="1">
      <alignment horizontal="center" vertical="center" wrapText="1" readingOrder="2"/>
    </xf>
    <xf numFmtId="9" fontId="24" fillId="0" borderId="7" xfId="0" applyNumberFormat="1" applyFont="1" applyBorder="1" applyAlignment="1">
      <alignment horizontal="center" vertical="center" wrapText="1" readingOrder="2"/>
    </xf>
    <xf numFmtId="0" fontId="22" fillId="3" borderId="0" xfId="0" applyFont="1" applyFill="1" applyAlignment="1">
      <alignment horizontal="center" vertical="top" wrapText="1" readingOrder="2"/>
    </xf>
    <xf numFmtId="1" fontId="13" fillId="0" borderId="33" xfId="15" applyNumberFormat="1" applyFont="1" applyBorder="1" applyAlignment="1">
      <alignment horizontal="right" vertical="center"/>
    </xf>
    <xf numFmtId="166" fontId="13" fillId="0" borderId="3" xfId="18" applyNumberFormat="1" applyFont="1" applyBorder="1" applyAlignment="1">
      <alignment vertical="center" wrapText="1"/>
    </xf>
    <xf numFmtId="2" fontId="13" fillId="0" borderId="3" xfId="0" applyNumberFormat="1" applyFont="1" applyBorder="1" applyAlignment="1">
      <alignment vertical="center" wrapText="1" readingOrder="2"/>
    </xf>
    <xf numFmtId="166" fontId="7" fillId="0" borderId="7" xfId="18" applyNumberFormat="1" applyBorder="1" applyAlignment="1">
      <alignment vertical="center"/>
    </xf>
    <xf numFmtId="10" fontId="13" fillId="0" borderId="26" xfId="0" applyNumberFormat="1" applyFont="1" applyBorder="1" applyAlignment="1">
      <alignment vertical="center"/>
    </xf>
    <xf numFmtId="166" fontId="15" fillId="0" borderId="16" xfId="18" applyNumberFormat="1" applyFont="1" applyBorder="1" applyAlignment="1">
      <alignment vertical="center" wrapText="1"/>
    </xf>
    <xf numFmtId="0" fontId="13" fillId="0" borderId="15" xfId="0" applyFont="1" applyBorder="1" applyAlignment="1">
      <alignment vertical="center"/>
    </xf>
    <xf numFmtId="9" fontId="15" fillId="0" borderId="16" xfId="18" applyNumberFormat="1" applyFont="1" applyBorder="1" applyAlignment="1">
      <alignment vertical="center" wrapText="1"/>
    </xf>
    <xf numFmtId="9" fontId="13" fillId="0" borderId="4" xfId="0" applyNumberFormat="1" applyFont="1" applyBorder="1" applyAlignment="1">
      <alignment vertical="center" wrapText="1" readingOrder="2"/>
    </xf>
    <xf numFmtId="0" fontId="27" fillId="2" borderId="4" xfId="0" applyFont="1" applyFill="1" applyBorder="1" applyAlignment="1">
      <alignment horizontal="right" vertical="center" wrapText="1"/>
    </xf>
    <xf numFmtId="3" fontId="13" fillId="0" borderId="0" xfId="0" applyNumberFormat="1" applyFont="1"/>
    <xf numFmtId="0" fontId="13" fillId="0" borderId="3" xfId="0" applyFont="1" applyBorder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0" fontId="13" fillId="0" borderId="4" xfId="0" applyFont="1" applyBorder="1" applyAlignment="1" applyProtection="1">
      <alignment vertical="center" readingOrder="2"/>
      <protection locked="0"/>
    </xf>
    <xf numFmtId="0" fontId="13" fillId="0" borderId="7" xfId="0" applyFont="1" applyBorder="1" applyAlignment="1" applyProtection="1">
      <alignment vertical="center" readingOrder="2"/>
      <protection locked="0"/>
    </xf>
    <xf numFmtId="3" fontId="13" fillId="0" borderId="3" xfId="0" applyNumberFormat="1" applyFont="1" applyBorder="1" applyAlignment="1" applyProtection="1">
      <alignment vertical="center" readingOrder="2"/>
      <protection locked="0"/>
    </xf>
    <xf numFmtId="43" fontId="24" fillId="0" borderId="4" xfId="22" applyNumberFormat="1" applyFont="1" applyBorder="1" applyAlignment="1">
      <alignment horizontal="center" vertical="center" wrapText="1" readingOrder="2"/>
      <protection/>
    </xf>
    <xf numFmtId="2" fontId="24" fillId="0" borderId="4" xfId="0" applyNumberFormat="1" applyFont="1" applyBorder="1" applyAlignment="1">
      <alignment horizontal="center" vertical="center" wrapText="1" readingOrder="2"/>
    </xf>
    <xf numFmtId="43" fontId="24" fillId="0" borderId="7" xfId="22" applyNumberFormat="1" applyFont="1" applyBorder="1" applyAlignment="1">
      <alignment horizontal="center" vertical="center" wrapText="1" readingOrder="2"/>
      <protection/>
    </xf>
    <xf numFmtId="2" fontId="24" fillId="0" borderId="7" xfId="0" applyNumberFormat="1" applyFont="1" applyBorder="1" applyAlignment="1">
      <alignment horizontal="center" vertical="center" wrapText="1" readingOrder="2"/>
    </xf>
    <xf numFmtId="43" fontId="24" fillId="0" borderId="0" xfId="22" applyNumberFormat="1" applyFont="1" applyAlignment="1">
      <alignment horizontal="center" vertical="center" wrapText="1" readingOrder="2"/>
      <protection/>
    </xf>
    <xf numFmtId="2" fontId="24" fillId="0" borderId="0" xfId="0" applyNumberFormat="1" applyFont="1" applyAlignment="1">
      <alignment horizontal="center" vertical="center" wrapText="1" readingOrder="2"/>
    </xf>
    <xf numFmtId="164" fontId="24" fillId="0" borderId="4" xfId="0" applyNumberFormat="1" applyFont="1" applyBorder="1" applyAlignment="1">
      <alignment horizontal="center" vertical="center" wrapText="1" readingOrder="2"/>
    </xf>
    <xf numFmtId="164" fontId="24" fillId="0" borderId="7" xfId="0" applyNumberFormat="1" applyFont="1" applyBorder="1" applyAlignment="1">
      <alignment horizontal="center" vertical="center" wrapText="1" readingOrder="2"/>
    </xf>
    <xf numFmtId="164" fontId="24" fillId="0" borderId="0" xfId="0" applyNumberFormat="1" applyFont="1" applyAlignment="1">
      <alignment horizontal="center" vertical="center" wrapText="1" readingOrder="2"/>
    </xf>
    <xf numFmtId="9" fontId="13" fillId="0" borderId="4" xfId="0" applyNumberFormat="1" applyFont="1" applyBorder="1" applyAlignment="1" applyProtection="1">
      <alignment horizontal="right" vertical="center"/>
      <protection locked="0"/>
    </xf>
    <xf numFmtId="0" fontId="15" fillId="0" borderId="37" xfId="0" applyFont="1" applyBorder="1" applyAlignment="1">
      <alignment horizontal="center" vertical="center" wrapText="1" readingOrder="2"/>
    </xf>
    <xf numFmtId="0" fontId="15" fillId="0" borderId="0" xfId="0" applyFont="1" applyAlignment="1">
      <alignment horizontal="center" vertical="center" wrapText="1" readingOrder="2"/>
    </xf>
    <xf numFmtId="165" fontId="7" fillId="0" borderId="0" xfId="15" applyNumberFormat="1" applyAlignment="1">
      <alignment horizontal="center" vertical="center" wrapText="1" readingOrder="2"/>
    </xf>
    <xf numFmtId="0" fontId="13" fillId="0" borderId="0" xfId="18" applyNumberFormat="1" applyFont="1" applyAlignment="1">
      <alignment horizontal="right" vertical="center"/>
    </xf>
    <xf numFmtId="0" fontId="27" fillId="0" borderId="0" xfId="18" applyNumberFormat="1" applyFont="1" applyAlignment="1">
      <alignment vertical="center"/>
    </xf>
    <xf numFmtId="166" fontId="13" fillId="0" borderId="0" xfId="18" applyNumberFormat="1" applyFont="1" applyAlignment="1">
      <alignment horizontal="center" vertical="center"/>
    </xf>
    <xf numFmtId="10" fontId="13" fillId="5" borderId="4" xfId="0" applyNumberFormat="1" applyFont="1" applyFill="1" applyBorder="1" applyAlignment="1">
      <alignment horizontal="right" vertical="center" readingOrder="2"/>
    </xf>
    <xf numFmtId="10" fontId="13" fillId="5" borderId="7" xfId="0" applyNumberFormat="1" applyFont="1" applyFill="1" applyBorder="1" applyAlignment="1">
      <alignment vertical="center"/>
    </xf>
    <xf numFmtId="9" fontId="13" fillId="5" borderId="7" xfId="0" applyNumberFormat="1" applyFont="1" applyFill="1" applyBorder="1" applyAlignment="1">
      <alignment horizontal="right" vertical="center"/>
    </xf>
    <xf numFmtId="0" fontId="27" fillId="6" borderId="38" xfId="0" applyFont="1" applyFill="1" applyBorder="1" applyAlignment="1">
      <alignment vertical="center" wrapText="1"/>
    </xf>
    <xf numFmtId="0" fontId="27" fillId="6" borderId="39" xfId="0" applyFont="1" applyFill="1" applyBorder="1" applyAlignment="1">
      <alignment vertical="center" wrapText="1"/>
    </xf>
    <xf numFmtId="165" fontId="13" fillId="5" borderId="40" xfId="0" applyNumberFormat="1" applyFont="1" applyFill="1" applyBorder="1" applyAlignment="1">
      <alignment horizontal="right" vertical="center"/>
    </xf>
    <xf numFmtId="165" fontId="13" fillId="5" borderId="41" xfId="0" applyNumberFormat="1" applyFont="1" applyFill="1" applyBorder="1" applyAlignment="1">
      <alignment horizontal="right" vertical="center"/>
    </xf>
    <xf numFmtId="9" fontId="13" fillId="5" borderId="41" xfId="0" applyNumberFormat="1" applyFont="1" applyFill="1" applyBorder="1" applyAlignment="1">
      <alignment horizontal="right" vertical="center"/>
    </xf>
    <xf numFmtId="10" fontId="13" fillId="5" borderId="40" xfId="0" applyNumberFormat="1" applyFont="1" applyFill="1" applyBorder="1" applyAlignment="1">
      <alignment horizontal="right" vertical="center" readingOrder="2"/>
    </xf>
    <xf numFmtId="10" fontId="13" fillId="5" borderId="41" xfId="0" applyNumberFormat="1" applyFont="1" applyFill="1" applyBorder="1" applyAlignment="1">
      <alignment vertical="center"/>
    </xf>
    <xf numFmtId="0" fontId="40" fillId="0" borderId="11" xfId="0" applyFont="1" applyBorder="1" applyAlignment="1">
      <alignment vertical="center" readingOrder="2"/>
    </xf>
    <xf numFmtId="0" fontId="13" fillId="6" borderId="39" xfId="0" applyFont="1" applyFill="1" applyBorder="1" applyAlignment="1">
      <alignment horizontal="right" vertical="center" wrapText="1"/>
    </xf>
    <xf numFmtId="0" fontId="13" fillId="0" borderId="40" xfId="0" applyFont="1" applyBorder="1" applyAlignment="1">
      <alignment vertical="center" wrapText="1" readingOrder="2"/>
    </xf>
    <xf numFmtId="0" fontId="13" fillId="0" borderId="41" xfId="0" applyFont="1" applyBorder="1" applyAlignment="1">
      <alignment vertical="center" wrapText="1" readingOrder="2"/>
    </xf>
    <xf numFmtId="3" fontId="13" fillId="0" borderId="41" xfId="0" applyNumberFormat="1" applyFont="1" applyBorder="1" applyAlignment="1">
      <alignment vertical="center" wrapText="1" readingOrder="2"/>
    </xf>
    <xf numFmtId="9" fontId="13" fillId="0" borderId="41" xfId="15" applyFont="1" applyBorder="1" applyAlignment="1">
      <alignment vertical="center" wrapText="1" readingOrder="2"/>
    </xf>
    <xf numFmtId="3" fontId="13" fillId="0" borderId="41" xfId="0" applyNumberFormat="1" applyFont="1" applyBorder="1" applyAlignment="1" applyProtection="1">
      <alignment vertical="center" wrapText="1" readingOrder="2"/>
      <protection locked="0"/>
    </xf>
    <xf numFmtId="9" fontId="13" fillId="0" borderId="42" xfId="15" applyFont="1" applyBorder="1" applyAlignment="1">
      <alignment vertical="center" wrapText="1" readingOrder="2"/>
    </xf>
    <xf numFmtId="0" fontId="22" fillId="3" borderId="0" xfId="18" applyNumberFormat="1" applyFont="1" applyFill="1" applyAlignment="1">
      <alignment horizontal="center" vertical="center" wrapText="1"/>
    </xf>
    <xf numFmtId="0" fontId="41" fillId="0" borderId="0" xfId="0" applyFont="1" applyAlignment="1">
      <alignment vertical="center" readingOrder="2"/>
    </xf>
    <xf numFmtId="0" fontId="32" fillId="0" borderId="0" xfId="0" applyFont="1" applyAlignment="1">
      <alignment horizontal="right" vertical="center" wrapText="1"/>
    </xf>
    <xf numFmtId="3" fontId="32" fillId="0" borderId="0" xfId="0" applyNumberFormat="1" applyFont="1" applyAlignment="1">
      <alignment horizontal="right" vertical="center"/>
    </xf>
    <xf numFmtId="166" fontId="32" fillId="0" borderId="0" xfId="0" applyNumberFormat="1" applyFont="1" applyAlignment="1">
      <alignment horizontal="right" vertical="center"/>
    </xf>
    <xf numFmtId="166" fontId="32" fillId="0" borderId="0" xfId="15" applyNumberFormat="1" applyFont="1" applyAlignment="1">
      <alignment horizontal="right" vertical="center"/>
    </xf>
    <xf numFmtId="166" fontId="24" fillId="0" borderId="0" xfId="18" applyNumberFormat="1" applyFont="1" applyAlignment="1">
      <alignment horizontal="right" vertical="center"/>
    </xf>
    <xf numFmtId="165" fontId="44" fillId="0" borderId="0" xfId="15" applyNumberFormat="1" applyFont="1" applyAlignment="1">
      <alignment horizontal="right" vertical="center"/>
    </xf>
    <xf numFmtId="0" fontId="32" fillId="0" borderId="0" xfId="18" applyNumberFormat="1" applyFont="1" applyAlignment="1">
      <alignment horizontal="right" vertical="center"/>
    </xf>
    <xf numFmtId="166" fontId="32" fillId="0" borderId="0" xfId="18" applyNumberFormat="1" applyFont="1" applyAlignment="1">
      <alignment horizontal="right" vertical="center"/>
    </xf>
    <xf numFmtId="43" fontId="44" fillId="0" borderId="0" xfId="18" applyFont="1" applyAlignment="1">
      <alignment horizontal="right" vertical="center"/>
    </xf>
    <xf numFmtId="3" fontId="32" fillId="0" borderId="0" xfId="18" applyNumberFormat="1" applyFont="1" applyAlignment="1">
      <alignment horizontal="right" vertical="center"/>
    </xf>
    <xf numFmtId="0" fontId="44" fillId="0" borderId="0" xfId="18" applyNumberFormat="1" applyFont="1"/>
    <xf numFmtId="166" fontId="44" fillId="0" borderId="0" xfId="18" applyNumberFormat="1" applyFont="1"/>
    <xf numFmtId="0" fontId="44" fillId="0" borderId="0" xfId="18" applyNumberFormat="1" applyFont="1" applyAlignment="1">
      <alignment wrapText="1"/>
    </xf>
    <xf numFmtId="166" fontId="45" fillId="0" borderId="0" xfId="18" applyNumberFormat="1" applyFont="1" applyAlignment="1">
      <alignment horizontal="right" vertical="center"/>
    </xf>
    <xf numFmtId="0" fontId="24" fillId="0" borderId="7" xfId="0" applyFont="1" applyBorder="1" applyAlignment="1">
      <alignment horizontal="center" vertical="center" wrapText="1" readingOrder="2"/>
    </xf>
    <xf numFmtId="0" fontId="46" fillId="0" borderId="0" xfId="0" applyFont="1" applyAlignment="1">
      <alignment vertical="center" readingOrder="2"/>
    </xf>
    <xf numFmtId="9" fontId="0" fillId="0" borderId="0" xfId="18" applyNumberFormat="1" applyFont="1"/>
    <xf numFmtId="10" fontId="13" fillId="0" borderId="42" xfId="0" applyNumberFormat="1" applyFont="1" applyBorder="1" applyAlignment="1">
      <alignment horizontal="right" vertical="center"/>
    </xf>
    <xf numFmtId="9" fontId="13" fillId="0" borderId="4" xfId="15" applyFont="1" applyBorder="1" applyAlignment="1">
      <alignment horizontal="right" vertical="center" readingOrder="2"/>
    </xf>
    <xf numFmtId="0" fontId="23" fillId="0" borderId="4" xfId="18" applyNumberFormat="1" applyFont="1" applyBorder="1" applyAlignment="1">
      <alignment vertical="center" wrapText="1" readingOrder="2"/>
    </xf>
    <xf numFmtId="0" fontId="49" fillId="3" borderId="0" xfId="0" applyFont="1" applyFill="1" applyAlignment="1">
      <alignment horizontal="right" vertical="center" wrapText="1"/>
    </xf>
    <xf numFmtId="0" fontId="49" fillId="3" borderId="0" xfId="0" applyFont="1" applyFill="1" applyAlignment="1">
      <alignment horizontal="center" vertical="center" wrapText="1" readingOrder="2"/>
    </xf>
    <xf numFmtId="0" fontId="23" fillId="0" borderId="3" xfId="18" applyNumberFormat="1" applyFont="1" applyBorder="1" applyAlignment="1">
      <alignment vertical="center"/>
    </xf>
    <xf numFmtId="9" fontId="13" fillId="0" borderId="0" xfId="15" applyFont="1" applyAlignment="1">
      <alignment horizontal="right" vertical="center"/>
    </xf>
    <xf numFmtId="166" fontId="13" fillId="0" borderId="0" xfId="18" applyNumberFormat="1" applyFont="1" applyAlignment="1">
      <alignment horizontal="right" vertical="center" wrapText="1"/>
    </xf>
    <xf numFmtId="0" fontId="23" fillId="0" borderId="0" xfId="18" applyNumberFormat="1" applyFont="1" applyAlignment="1">
      <alignment vertical="center"/>
    </xf>
    <xf numFmtId="0" fontId="24" fillId="0" borderId="4" xfId="22" applyFont="1" applyBorder="1" applyAlignment="1">
      <alignment horizontal="right" vertical="center" wrapText="1" readingOrder="2"/>
      <protection/>
    </xf>
    <xf numFmtId="0" fontId="24" fillId="0" borderId="7" xfId="22" applyFont="1" applyBorder="1" applyAlignment="1">
      <alignment horizontal="right" vertical="center" wrapText="1" readingOrder="2"/>
      <protection/>
    </xf>
    <xf numFmtId="0" fontId="15" fillId="0" borderId="4" xfId="0" applyFont="1" applyBorder="1" applyAlignment="1">
      <alignment vertical="center" readingOrder="2"/>
    </xf>
    <xf numFmtId="0" fontId="0" fillId="0" borderId="43" xfId="0" applyBorder="1"/>
    <xf numFmtId="0" fontId="0" fillId="0" borderId="44" xfId="0" applyBorder="1"/>
    <xf numFmtId="0" fontId="0" fillId="0" borderId="10" xfId="0" applyBorder="1"/>
    <xf numFmtId="0" fontId="13" fillId="0" borderId="45" xfId="0" applyFont="1" applyBorder="1" applyAlignment="1">
      <alignment horizontal="right" vertical="center" wrapText="1" readingOrder="2"/>
    </xf>
    <xf numFmtId="9" fontId="13" fillId="0" borderId="7" xfId="18" applyNumberFormat="1" applyFont="1" applyBorder="1" applyAlignment="1">
      <alignment vertical="center" readingOrder="2"/>
    </xf>
    <xf numFmtId="9" fontId="13" fillId="0" borderId="3" xfId="18" applyNumberFormat="1" applyFont="1" applyBorder="1" applyAlignment="1">
      <alignment vertical="center" readingOrder="2"/>
    </xf>
    <xf numFmtId="0" fontId="50" fillId="0" borderId="0" xfId="0" applyFont="1"/>
    <xf numFmtId="0" fontId="27" fillId="0" borderId="0" xfId="18" applyNumberFormat="1" applyFont="1" applyAlignment="1">
      <alignment horizontal="right" vertical="center"/>
    </xf>
    <xf numFmtId="0" fontId="15" fillId="0" borderId="0" xfId="0" applyFont="1" applyAlignment="1">
      <alignment vertical="top" wrapText="1" readingOrder="2"/>
    </xf>
    <xf numFmtId="0" fontId="24" fillId="0" borderId="7" xfId="0" applyFont="1" applyBorder="1" applyAlignment="1">
      <alignment horizontal="right" vertical="center" readingOrder="2"/>
    </xf>
    <xf numFmtId="0" fontId="2" fillId="0" borderId="43" xfId="0" applyFont="1" applyBorder="1" applyAlignment="1">
      <alignment vertical="center"/>
    </xf>
    <xf numFmtId="0" fontId="2" fillId="0" borderId="44" xfId="0" applyFont="1" applyBorder="1" applyAlignment="1">
      <alignment readingOrder="2"/>
    </xf>
    <xf numFmtId="0" fontId="2" fillId="0" borderId="44" xfId="0" applyFont="1" applyBorder="1"/>
    <xf numFmtId="0" fontId="51" fillId="0" borderId="7" xfId="0" applyFont="1" applyBorder="1" applyAlignment="1">
      <alignment horizontal="right" vertical="center" wrapText="1" readingOrder="2"/>
    </xf>
    <xf numFmtId="0" fontId="24" fillId="0" borderId="46" xfId="0" applyFont="1" applyBorder="1" applyAlignment="1">
      <alignment horizontal="right" vertical="center" wrapText="1" readingOrder="2"/>
    </xf>
    <xf numFmtId="166" fontId="13" fillId="0" borderId="0" xfId="18" applyNumberFormat="1" applyFont="1" applyAlignment="1">
      <alignment horizontal="right" vertical="center" wrapText="1" readingOrder="2"/>
    </xf>
    <xf numFmtId="0" fontId="27" fillId="0" borderId="0" xfId="0" applyFont="1" applyAlignment="1">
      <alignment readingOrder="2"/>
    </xf>
    <xf numFmtId="0" fontId="33" fillId="0" borderId="0" xfId="0" applyFont="1"/>
    <xf numFmtId="165" fontId="13" fillId="0" borderId="7" xfId="0" applyNumberFormat="1" applyFont="1" applyBorder="1" applyAlignment="1">
      <alignment vertical="center"/>
    </xf>
    <xf numFmtId="165" fontId="13" fillId="0" borderId="7" xfId="15" applyNumberFormat="1" applyFont="1" applyBorder="1" applyAlignment="1">
      <alignment vertical="center"/>
    </xf>
    <xf numFmtId="3" fontId="13" fillId="5" borderId="47" xfId="0" applyNumberFormat="1" applyFont="1" applyFill="1" applyBorder="1" applyAlignment="1">
      <alignment vertical="center"/>
    </xf>
    <xf numFmtId="3" fontId="13" fillId="5" borderId="48" xfId="0" applyNumberFormat="1" applyFont="1" applyFill="1" applyBorder="1" applyAlignment="1">
      <alignment vertical="center"/>
    </xf>
    <xf numFmtId="0" fontId="27" fillId="6" borderId="49" xfId="0" applyFont="1" applyFill="1" applyBorder="1" applyAlignment="1">
      <alignment horizontal="right" vertical="center" readingOrder="2"/>
    </xf>
    <xf numFmtId="0" fontId="27" fillId="2" borderId="50" xfId="0" applyFont="1" applyFill="1" applyBorder="1" applyAlignment="1">
      <alignment vertical="center" wrapText="1"/>
    </xf>
    <xf numFmtId="165" fontId="13" fillId="0" borderId="51" xfId="15" applyNumberFormat="1" applyFont="1" applyBorder="1" applyAlignment="1">
      <alignment horizontal="right" vertical="center"/>
    </xf>
    <xf numFmtId="9" fontId="13" fillId="0" borderId="52" xfId="0" applyNumberFormat="1" applyFont="1" applyBorder="1" applyAlignment="1">
      <alignment horizontal="right" vertical="center"/>
    </xf>
    <xf numFmtId="0" fontId="27" fillId="6" borderId="0" xfId="0" applyFont="1" applyFill="1" applyAlignment="1">
      <alignment horizontal="center" vertical="center" wrapText="1"/>
    </xf>
    <xf numFmtId="0" fontId="27" fillId="6" borderId="53" xfId="0" applyFont="1" applyFill="1" applyBorder="1" applyAlignment="1">
      <alignment horizontal="center" vertical="center" wrapText="1"/>
    </xf>
    <xf numFmtId="0" fontId="27" fillId="2" borderId="53" xfId="0" applyFont="1" applyFill="1" applyBorder="1" applyAlignment="1">
      <alignment vertical="center" wrapText="1"/>
    </xf>
    <xf numFmtId="165" fontId="13" fillId="0" borderId="54" xfId="15" applyNumberFormat="1" applyFont="1" applyBorder="1" applyAlignment="1">
      <alignment horizontal="right" vertical="center"/>
    </xf>
    <xf numFmtId="10" fontId="13" fillId="0" borderId="55" xfId="0" applyNumberFormat="1" applyFont="1" applyBorder="1" applyAlignment="1">
      <alignment horizontal="right" vertical="center"/>
    </xf>
    <xf numFmtId="0" fontId="13" fillId="0" borderId="55" xfId="0" applyFont="1" applyBorder="1" applyAlignment="1">
      <alignment horizontal="right" vertical="center"/>
    </xf>
    <xf numFmtId="165" fontId="13" fillId="0" borderId="55" xfId="15" applyNumberFormat="1" applyFont="1" applyBorder="1" applyAlignment="1">
      <alignment horizontal="right" vertical="center"/>
    </xf>
    <xf numFmtId="0" fontId="13" fillId="0" borderId="54" xfId="0" applyFont="1" applyBorder="1" applyAlignment="1">
      <alignment horizontal="right" vertical="center"/>
    </xf>
    <xf numFmtId="165" fontId="13" fillId="0" borderId="56" xfId="15" applyNumberFormat="1" applyFont="1" applyBorder="1" applyAlignment="1">
      <alignment horizontal="right" vertical="center"/>
    </xf>
    <xf numFmtId="0" fontId="27" fillId="2" borderId="57" xfId="0" applyFont="1" applyFill="1" applyBorder="1" applyAlignment="1">
      <alignment vertical="center" wrapText="1"/>
    </xf>
    <xf numFmtId="9" fontId="13" fillId="0" borderId="58" xfId="0" applyNumberFormat="1" applyFont="1" applyBorder="1" applyAlignment="1">
      <alignment horizontal="right" vertical="center"/>
    </xf>
    <xf numFmtId="10" fontId="13" fillId="0" borderId="58" xfId="0" applyNumberFormat="1" applyFont="1" applyBorder="1" applyAlignment="1">
      <alignment horizontal="right" vertical="center"/>
    </xf>
    <xf numFmtId="0" fontId="0" fillId="0" borderId="3" xfId="0" applyBorder="1"/>
    <xf numFmtId="0" fontId="27" fillId="6" borderId="49" xfId="0" applyFont="1" applyFill="1" applyBorder="1" applyAlignment="1">
      <alignment horizontal="right" vertical="top" wrapText="1"/>
    </xf>
    <xf numFmtId="0" fontId="13" fillId="5" borderId="59" xfId="0" applyFont="1" applyFill="1" applyBorder="1" applyAlignment="1">
      <alignment vertical="center"/>
    </xf>
    <xf numFmtId="0" fontId="13" fillId="5" borderId="60" xfId="0" applyFont="1" applyFill="1" applyBorder="1" applyAlignment="1">
      <alignment vertical="center"/>
    </xf>
    <xf numFmtId="0" fontId="27" fillId="6" borderId="49" xfId="0" applyFont="1" applyFill="1" applyBorder="1" applyAlignment="1">
      <alignment horizontal="right" vertical="center"/>
    </xf>
    <xf numFmtId="9" fontId="13" fillId="5" borderId="59" xfId="0" applyNumberFormat="1" applyFont="1" applyFill="1" applyBorder="1" applyAlignment="1" applyProtection="1">
      <alignment horizontal="right" vertical="center"/>
      <protection locked="0"/>
    </xf>
    <xf numFmtId="9" fontId="13" fillId="5" borderId="61" xfId="0" applyNumberFormat="1" applyFont="1" applyFill="1" applyBorder="1" applyAlignment="1" applyProtection="1">
      <alignment horizontal="right" vertical="center"/>
      <protection locked="0"/>
    </xf>
    <xf numFmtId="9" fontId="13" fillId="5" borderId="60" xfId="0" applyNumberFormat="1" applyFont="1" applyFill="1" applyBorder="1" applyAlignment="1" applyProtection="1">
      <alignment horizontal="right" vertical="center"/>
      <protection locked="0"/>
    </xf>
    <xf numFmtId="9" fontId="15" fillId="5" borderId="59" xfId="0" applyNumberFormat="1" applyFont="1" applyFill="1" applyBorder="1" applyAlignment="1">
      <alignment horizontal="right" vertical="center" readingOrder="2"/>
    </xf>
    <xf numFmtId="9" fontId="15" fillId="5" borderId="61" xfId="0" applyNumberFormat="1" applyFont="1" applyFill="1" applyBorder="1" applyAlignment="1">
      <alignment horizontal="right" vertical="center" readingOrder="2"/>
    </xf>
    <xf numFmtId="0" fontId="13" fillId="2" borderId="0" xfId="0" applyFont="1" applyFill="1" applyAlignment="1">
      <alignment horizontal="center" vertical="center"/>
    </xf>
    <xf numFmtId="9" fontId="13" fillId="0" borderId="0" xfId="0" applyNumberFormat="1" applyFont="1" applyAlignment="1">
      <alignment vertical="center"/>
    </xf>
    <xf numFmtId="9" fontId="13" fillId="0" borderId="3" xfId="0" applyNumberFormat="1" applyFont="1" applyBorder="1" applyAlignment="1" applyProtection="1">
      <alignment horizontal="right" vertical="center"/>
      <protection locked="0"/>
    </xf>
    <xf numFmtId="9" fontId="13" fillId="0" borderId="20" xfId="0" applyNumberFormat="1" applyFont="1" applyBorder="1" applyAlignment="1" applyProtection="1">
      <alignment horizontal="right" vertical="center"/>
      <protection locked="0"/>
    </xf>
    <xf numFmtId="0" fontId="23" fillId="0" borderId="4" xfId="22" applyFont="1" applyBorder="1" applyAlignment="1">
      <alignment vertical="center" wrapText="1" readingOrder="2"/>
      <protection/>
    </xf>
    <xf numFmtId="0" fontId="23" fillId="0" borderId="7" xfId="22" applyFont="1" applyBorder="1" applyAlignment="1">
      <alignment vertical="center" wrapText="1" readingOrder="2"/>
      <protection/>
    </xf>
    <xf numFmtId="9" fontId="15" fillId="0" borderId="4" xfId="21" applyNumberFormat="1" applyFont="1" applyBorder="1" applyAlignment="1">
      <alignment vertical="center" wrapText="1"/>
    </xf>
    <xf numFmtId="166" fontId="13" fillId="0" borderId="7" xfId="21" applyNumberFormat="1" applyFont="1" applyBorder="1" applyAlignment="1">
      <alignment vertical="center"/>
    </xf>
    <xf numFmtId="0" fontId="22" fillId="3" borderId="19" xfId="0" applyFont="1" applyFill="1" applyBorder="1" applyAlignment="1">
      <alignment horizontal="center" vertical="top" wrapText="1" readingOrder="2"/>
    </xf>
    <xf numFmtId="0" fontId="24" fillId="0" borderId="0" xfId="18" applyNumberFormat="1" applyFont="1" applyAlignment="1">
      <alignment horizontal="center" vertical="center" wrapText="1" readingOrder="2"/>
    </xf>
    <xf numFmtId="0" fontId="27" fillId="6" borderId="5" xfId="0" applyFont="1" applyFill="1" applyBorder="1" applyAlignment="1">
      <alignment vertical="center" wrapText="1"/>
    </xf>
    <xf numFmtId="10" fontId="13" fillId="5" borderId="6" xfId="0" applyNumberFormat="1" applyFont="1" applyFill="1" applyBorder="1" applyAlignment="1">
      <alignment horizontal="right" vertical="center" readingOrder="2"/>
    </xf>
    <xf numFmtId="10" fontId="13" fillId="0" borderId="6" xfId="0" applyNumberFormat="1" applyFont="1" applyBorder="1" applyAlignment="1">
      <alignment horizontal="right" vertical="center" readingOrder="2"/>
    </xf>
    <xf numFmtId="0" fontId="13" fillId="0" borderId="5" xfId="0" applyFont="1" applyBorder="1"/>
    <xf numFmtId="0" fontId="22" fillId="3" borderId="5" xfId="18" applyNumberFormat="1" applyFont="1" applyFill="1" applyBorder="1" applyAlignment="1">
      <alignment horizontal="right" vertical="center" wrapText="1"/>
    </xf>
    <xf numFmtId="0" fontId="27" fillId="6" borderId="6" xfId="0" applyFont="1" applyFill="1" applyBorder="1" applyAlignment="1">
      <alignment horizontal="right" vertical="top" wrapText="1"/>
    </xf>
    <xf numFmtId="0" fontId="27" fillId="3" borderId="5" xfId="18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right" vertical="center"/>
    </xf>
    <xf numFmtId="0" fontId="22" fillId="3" borderId="5" xfId="18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22" fillId="3" borderId="62" xfId="0" applyFont="1" applyFill="1" applyBorder="1" applyAlignment="1">
      <alignment vertical="center" wrapText="1"/>
    </xf>
    <xf numFmtId="0" fontId="28" fillId="3" borderId="63" xfId="0" applyFont="1" applyFill="1" applyBorder="1" applyAlignment="1">
      <alignment vertical="center" wrapText="1"/>
    </xf>
    <xf numFmtId="0" fontId="27" fillId="6" borderId="49" xfId="0" applyFont="1" applyFill="1" applyBorder="1" applyAlignment="1">
      <alignment horizontal="right" vertical="center" wrapText="1"/>
    </xf>
    <xf numFmtId="166" fontId="13" fillId="0" borderId="59" xfId="18" applyNumberFormat="1" applyFont="1" applyBorder="1" applyAlignment="1">
      <alignment vertical="center" wrapText="1"/>
    </xf>
    <xf numFmtId="166" fontId="13" fillId="0" borderId="61" xfId="18" applyNumberFormat="1" applyFont="1" applyBorder="1" applyAlignment="1">
      <alignment vertical="center" wrapText="1"/>
    </xf>
    <xf numFmtId="166" fontId="13" fillId="0" borderId="0" xfId="18" applyNumberFormat="1" applyFont="1" applyAlignment="1">
      <alignment vertical="center" wrapText="1"/>
    </xf>
    <xf numFmtId="0" fontId="2" fillId="0" borderId="44" xfId="0" applyFont="1" applyBorder="1" applyAlignment="1">
      <alignment wrapText="1"/>
    </xf>
    <xf numFmtId="0" fontId="27" fillId="0" borderId="7" xfId="18" applyNumberFormat="1" applyFont="1" applyBorder="1" applyAlignment="1">
      <alignment horizontal="right" vertical="center"/>
    </xf>
    <xf numFmtId="0" fontId="20" fillId="0" borderId="0" xfId="18" applyNumberFormat="1" applyFont="1" applyAlignment="1">
      <alignment horizontal="right" vertical="center" wrapText="1" readingOrder="2"/>
    </xf>
    <xf numFmtId="0" fontId="36" fillId="0" borderId="0" xfId="18" applyNumberFormat="1" applyFont="1" applyAlignment="1">
      <alignment horizontal="right" vertical="center" wrapText="1" readingOrder="2"/>
    </xf>
    <xf numFmtId="0" fontId="24" fillId="2" borderId="12" xfId="18" applyNumberFormat="1" applyFont="1" applyFill="1" applyBorder="1" applyAlignment="1">
      <alignment horizontal="center" vertical="center" wrapText="1" readingOrder="2"/>
    </xf>
    <xf numFmtId="10" fontId="13" fillId="0" borderId="3" xfId="15" applyNumberFormat="1" applyFont="1" applyBorder="1" applyAlignment="1">
      <alignment horizontal="center" vertical="center"/>
    </xf>
    <xf numFmtId="10" fontId="13" fillId="0" borderId="0" xfId="15" applyNumberFormat="1" applyFont="1" applyAlignment="1">
      <alignment horizontal="center" vertical="center"/>
    </xf>
    <xf numFmtId="10" fontId="13" fillId="0" borderId="4" xfId="15" applyNumberFormat="1" applyFont="1" applyBorder="1" applyAlignment="1">
      <alignment horizontal="center" vertical="center"/>
    </xf>
    <xf numFmtId="0" fontId="27" fillId="0" borderId="3" xfId="18" applyNumberFormat="1" applyFont="1" applyBorder="1" applyAlignment="1">
      <alignment horizontal="right" vertical="center"/>
    </xf>
    <xf numFmtId="0" fontId="27" fillId="0" borderId="0" xfId="18" applyNumberFormat="1" applyFont="1" applyAlignment="1">
      <alignment horizontal="right" vertical="center"/>
    </xf>
    <xf numFmtId="166" fontId="13" fillId="0" borderId="3" xfId="0" applyNumberFormat="1" applyFont="1" applyBorder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6" fontId="13" fillId="0" borderId="4" xfId="0" applyNumberFormat="1" applyFont="1" applyBorder="1" applyAlignment="1">
      <alignment horizontal="center" vertical="center"/>
    </xf>
    <xf numFmtId="10" fontId="27" fillId="0" borderId="3" xfId="15" applyNumberFormat="1" applyFont="1" applyBorder="1" applyAlignment="1">
      <alignment horizontal="center" vertical="center"/>
    </xf>
    <xf numFmtId="10" fontId="27" fillId="0" borderId="0" xfId="15" applyNumberFormat="1" applyFont="1" applyAlignment="1">
      <alignment horizontal="center" vertical="center"/>
    </xf>
    <xf numFmtId="10" fontId="27" fillId="0" borderId="4" xfId="15" applyNumberFormat="1" applyFont="1" applyBorder="1" applyAlignment="1">
      <alignment horizontal="center" vertical="center"/>
    </xf>
    <xf numFmtId="166" fontId="13" fillId="0" borderId="7" xfId="0" applyNumberFormat="1" applyFont="1" applyBorder="1" applyAlignment="1">
      <alignment horizontal="right" vertical="center"/>
    </xf>
    <xf numFmtId="166" fontId="13" fillId="0" borderId="4" xfId="0" applyNumberFormat="1" applyFont="1" applyBorder="1" applyAlignment="1">
      <alignment horizontal="right" vertical="center"/>
    </xf>
    <xf numFmtId="0" fontId="35" fillId="0" borderId="0" xfId="18" applyNumberFormat="1" applyFont="1" applyAlignment="1">
      <alignment horizontal="right" vertical="center" wrapText="1" readingOrder="2"/>
    </xf>
    <xf numFmtId="0" fontId="22" fillId="3" borderId="0" xfId="18" applyNumberFormat="1" applyFont="1" applyFill="1" applyAlignment="1">
      <alignment horizontal="center" vertical="center"/>
    </xf>
    <xf numFmtId="0" fontId="22" fillId="3" borderId="5" xfId="18" applyNumberFormat="1" applyFont="1" applyFill="1" applyBorder="1" applyAlignment="1">
      <alignment horizontal="center" vertical="center"/>
    </xf>
    <xf numFmtId="0" fontId="22" fillId="3" borderId="1" xfId="18" applyNumberFormat="1" applyFont="1" applyFill="1" applyBorder="1" applyAlignment="1">
      <alignment horizontal="center" vertical="center"/>
    </xf>
    <xf numFmtId="0" fontId="42" fillId="0" borderId="0" xfId="0" applyFont="1" applyAlignment="1">
      <alignment horizontal="center"/>
    </xf>
    <xf numFmtId="0" fontId="22" fillId="3" borderId="18" xfId="18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0" fillId="11" borderId="0" xfId="15" applyNumberFormat="1" applyFont="1" applyFill="1" applyAlignment="1">
      <alignment horizontal="center" vertical="center"/>
    </xf>
    <xf numFmtId="0" fontId="22" fillId="3" borderId="0" xfId="18" applyNumberFormat="1" applyFont="1" applyFill="1" applyAlignment="1">
      <alignment horizontal="center" vertical="center" wrapText="1"/>
    </xf>
    <xf numFmtId="0" fontId="13" fillId="11" borderId="64" xfId="15" applyNumberFormat="1" applyFont="1" applyFill="1" applyBorder="1" applyAlignment="1">
      <alignment horizontal="center" vertical="center"/>
    </xf>
    <xf numFmtId="0" fontId="13" fillId="11" borderId="0" xfId="15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166" fontId="13" fillId="0" borderId="7" xfId="18" applyNumberFormat="1" applyFont="1" applyBorder="1" applyAlignment="1">
      <alignment horizontal="center" vertical="center"/>
    </xf>
    <xf numFmtId="166" fontId="13" fillId="0" borderId="3" xfId="18" applyNumberFormat="1" applyFont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 wrapText="1"/>
    </xf>
    <xf numFmtId="0" fontId="22" fillId="3" borderId="4" xfId="18" applyNumberFormat="1" applyFont="1" applyFill="1" applyBorder="1" applyAlignment="1">
      <alignment horizontal="right" vertical="top" wrapText="1" readingOrder="2"/>
    </xf>
    <xf numFmtId="166" fontId="13" fillId="0" borderId="3" xfId="18" applyNumberFormat="1" applyFont="1" applyBorder="1" applyAlignment="1">
      <alignment horizontal="center" vertical="center" readingOrder="2"/>
    </xf>
    <xf numFmtId="166" fontId="13" fillId="0" borderId="0" xfId="18" applyNumberFormat="1" applyFont="1" applyAlignment="1">
      <alignment horizontal="center" vertical="center" readingOrder="2"/>
    </xf>
    <xf numFmtId="0" fontId="23" fillId="0" borderId="3" xfId="18" applyNumberFormat="1" applyFont="1" applyBorder="1" applyAlignment="1">
      <alignment horizontal="right" vertical="center" wrapText="1" readingOrder="2"/>
    </xf>
    <xf numFmtId="0" fontId="23" fillId="0" borderId="0" xfId="18" applyNumberFormat="1" applyFont="1" applyAlignment="1">
      <alignment horizontal="right" vertical="center" wrapText="1" readingOrder="2"/>
    </xf>
    <xf numFmtId="166" fontId="13" fillId="0" borderId="4" xfId="18" applyNumberFormat="1" applyFont="1" applyBorder="1" applyAlignment="1">
      <alignment horizontal="center" vertical="center" readingOrder="2"/>
    </xf>
    <xf numFmtId="0" fontId="23" fillId="0" borderId="4" xfId="18" applyNumberFormat="1" applyFont="1" applyBorder="1" applyAlignment="1">
      <alignment horizontal="right" vertical="center" wrapText="1" readingOrder="2"/>
    </xf>
    <xf numFmtId="0" fontId="22" fillId="3" borderId="0" xfId="0" applyFont="1" applyFill="1" applyAlignment="1">
      <alignment horizontal="center" vertical="center"/>
    </xf>
    <xf numFmtId="49" fontId="13" fillId="2" borderId="12" xfId="0" applyNumberFormat="1" applyFont="1" applyFill="1" applyBorder="1" applyAlignment="1">
      <alignment horizontal="center" vertical="center" wrapText="1" readingOrder="2"/>
    </xf>
    <xf numFmtId="3" fontId="13" fillId="0" borderId="20" xfId="0" applyNumberFormat="1" applyFont="1" applyBorder="1" applyAlignment="1">
      <alignment horizontal="center" vertical="center" readingOrder="2"/>
    </xf>
    <xf numFmtId="3" fontId="13" fillId="0" borderId="19" xfId="0" applyNumberFormat="1" applyFont="1" applyBorder="1" applyAlignment="1">
      <alignment horizontal="center" vertical="center" readingOrder="2"/>
    </xf>
    <xf numFmtId="3" fontId="13" fillId="0" borderId="3" xfId="0" applyNumberFormat="1" applyFont="1" applyBorder="1" applyAlignment="1">
      <alignment horizontal="center" vertical="center" readingOrder="2"/>
    </xf>
    <xf numFmtId="3" fontId="13" fillId="0" borderId="0" xfId="0" applyNumberFormat="1" applyFont="1" applyAlignment="1">
      <alignment horizontal="center" vertical="center" readingOrder="2"/>
    </xf>
    <xf numFmtId="0" fontId="26" fillId="3" borderId="0" xfId="0" applyFont="1" applyFill="1" applyAlignment="1">
      <alignment horizontal="center" vertical="center"/>
    </xf>
    <xf numFmtId="0" fontId="26" fillId="3" borderId="5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49" fontId="25" fillId="2" borderId="12" xfId="0" applyNumberFormat="1" applyFont="1" applyFill="1" applyBorder="1" applyAlignment="1">
      <alignment horizontal="center" vertical="center" wrapText="1" readingOrder="2"/>
    </xf>
    <xf numFmtId="168" fontId="13" fillId="0" borderId="20" xfId="0" applyNumberFormat="1" applyFont="1" applyBorder="1" applyAlignment="1">
      <alignment horizontal="center" vertical="center" readingOrder="2"/>
    </xf>
    <xf numFmtId="168" fontId="13" fillId="0" borderId="19" xfId="0" applyNumberFormat="1" applyFont="1" applyBorder="1" applyAlignment="1">
      <alignment horizontal="center" vertical="center" readingOrder="2"/>
    </xf>
    <xf numFmtId="168" fontId="13" fillId="0" borderId="3" xfId="0" applyNumberFormat="1" applyFont="1" applyBorder="1" applyAlignment="1">
      <alignment horizontal="center" vertical="center" readingOrder="2"/>
    </xf>
    <xf numFmtId="168" fontId="13" fillId="0" borderId="0" xfId="0" applyNumberFormat="1" applyFont="1" applyAlignment="1">
      <alignment horizontal="center" vertical="center" readingOrder="2"/>
    </xf>
    <xf numFmtId="0" fontId="13" fillId="0" borderId="16" xfId="0" applyFont="1" applyBorder="1" applyAlignment="1">
      <alignment horizontal="right" vertical="center"/>
    </xf>
    <xf numFmtId="0" fontId="13" fillId="0" borderId="15" xfId="0" applyFont="1" applyBorder="1" applyAlignment="1">
      <alignment horizontal="right" vertical="center"/>
    </xf>
    <xf numFmtId="0" fontId="13" fillId="0" borderId="26" xfId="0" applyFont="1" applyBorder="1" applyAlignment="1">
      <alignment horizontal="right" vertical="center"/>
    </xf>
    <xf numFmtId="49" fontId="13" fillId="2" borderId="65" xfId="0" applyNumberFormat="1" applyFont="1" applyFill="1" applyBorder="1" applyAlignment="1">
      <alignment horizontal="center" vertical="center" wrapText="1" readingOrder="2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/>
    </xf>
    <xf numFmtId="0" fontId="15" fillId="0" borderId="66" xfId="0" applyFont="1" applyBorder="1" applyAlignment="1">
      <alignment vertical="center"/>
    </xf>
    <xf numFmtId="0" fontId="15" fillId="0" borderId="67" xfId="0" applyFont="1" applyBorder="1" applyAlignment="1">
      <alignment vertical="center"/>
    </xf>
    <xf numFmtId="0" fontId="15" fillId="0" borderId="68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21" xfId="0" applyFont="1" applyBorder="1" applyAlignment="1">
      <alignment horizontal="right" vertical="center"/>
    </xf>
    <xf numFmtId="0" fontId="13" fillId="0" borderId="22" xfId="0" applyFont="1" applyBorder="1" applyAlignment="1">
      <alignment horizontal="right" vertical="center"/>
    </xf>
    <xf numFmtId="0" fontId="13" fillId="0" borderId="20" xfId="0" applyFont="1" applyBorder="1" applyAlignment="1">
      <alignment horizontal="right" vertical="center"/>
    </xf>
    <xf numFmtId="164" fontId="13" fillId="0" borderId="16" xfId="0" applyNumberFormat="1" applyFont="1" applyBorder="1" applyAlignment="1">
      <alignment horizontal="right" vertical="center"/>
    </xf>
    <xf numFmtId="164" fontId="13" fillId="0" borderId="15" xfId="0" applyNumberFormat="1" applyFont="1" applyBorder="1" applyAlignment="1">
      <alignment horizontal="right" vertical="center"/>
    </xf>
    <xf numFmtId="164" fontId="13" fillId="0" borderId="26" xfId="0" applyNumberFormat="1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13" fillId="0" borderId="7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18" xfId="0" applyFont="1" applyFill="1" applyBorder="1" applyAlignment="1">
      <alignment horizontal="center" vertical="center" wrapText="1"/>
    </xf>
    <xf numFmtId="49" fontId="13" fillId="2" borderId="69" xfId="0" applyNumberFormat="1" applyFont="1" applyFill="1" applyBorder="1" applyAlignment="1">
      <alignment horizontal="center" vertical="center" wrapText="1" readingOrder="2"/>
    </xf>
    <xf numFmtId="49" fontId="13" fillId="2" borderId="70" xfId="0" applyNumberFormat="1" applyFont="1" applyFill="1" applyBorder="1" applyAlignment="1">
      <alignment horizontal="center" vertical="center" wrapText="1" readingOrder="2"/>
    </xf>
    <xf numFmtId="0" fontId="22" fillId="3" borderId="6" xfId="0" applyFont="1" applyFill="1" applyBorder="1" applyAlignment="1">
      <alignment horizontal="center" vertical="center"/>
    </xf>
    <xf numFmtId="0" fontId="22" fillId="3" borderId="71" xfId="0" applyFont="1" applyFill="1" applyBorder="1" applyAlignment="1">
      <alignment horizontal="center" vertical="center"/>
    </xf>
    <xf numFmtId="0" fontId="22" fillId="3" borderId="72" xfId="0" applyFont="1" applyFill="1" applyBorder="1" applyAlignment="1">
      <alignment horizontal="center" vertical="center"/>
    </xf>
    <xf numFmtId="166" fontId="27" fillId="0" borderId="32" xfId="18" applyNumberFormat="1" applyFont="1" applyBorder="1" applyAlignment="1">
      <alignment horizontal="center" vertical="center" readingOrder="2"/>
    </xf>
    <xf numFmtId="166" fontId="27" fillId="0" borderId="3" xfId="18" applyNumberFormat="1" applyFont="1" applyBorder="1" applyAlignment="1">
      <alignment horizontal="center" vertical="center" readingOrder="2"/>
    </xf>
    <xf numFmtId="166" fontId="27" fillId="0" borderId="26" xfId="18" applyNumberFormat="1" applyFont="1" applyBorder="1" applyAlignment="1">
      <alignment horizontal="center" vertical="center" readingOrder="2"/>
    </xf>
    <xf numFmtId="166" fontId="27" fillId="0" borderId="73" xfId="18" applyNumberFormat="1" applyFont="1" applyBorder="1" applyAlignment="1">
      <alignment horizontal="center" vertical="center" readingOrder="2"/>
    </xf>
    <xf numFmtId="0" fontId="22" fillId="3" borderId="23" xfId="0" applyFont="1" applyFill="1" applyBorder="1" applyAlignment="1">
      <alignment horizontal="center" vertical="center" wrapText="1" readingOrder="2"/>
    </xf>
    <xf numFmtId="0" fontId="22" fillId="3" borderId="74" xfId="0" applyFont="1" applyFill="1" applyBorder="1" applyAlignment="1">
      <alignment horizontal="center" vertical="center" wrapText="1" readingOrder="2"/>
    </xf>
    <xf numFmtId="166" fontId="13" fillId="2" borderId="12" xfId="18" applyNumberFormat="1" applyFont="1" applyFill="1" applyBorder="1" applyAlignment="1">
      <alignment horizontal="center" vertical="center" wrapText="1" readingOrder="2"/>
    </xf>
    <xf numFmtId="0" fontId="22" fillId="3" borderId="12" xfId="0" applyFont="1" applyFill="1" applyBorder="1" applyAlignment="1">
      <alignment horizontal="center" vertical="center" wrapText="1"/>
    </xf>
    <xf numFmtId="0" fontId="22" fillId="3" borderId="19" xfId="0" applyFont="1" applyFill="1" applyBorder="1" applyAlignment="1">
      <alignment horizontal="center" vertical="center" wrapText="1"/>
    </xf>
    <xf numFmtId="0" fontId="22" fillId="3" borderId="19" xfId="0" applyFont="1" applyFill="1" applyBorder="1" applyAlignment="1">
      <alignment horizontal="center" vertical="center" wrapText="1" readingOrder="2"/>
    </xf>
    <xf numFmtId="166" fontId="13" fillId="0" borderId="35" xfId="0" applyNumberFormat="1" applyFont="1" applyBorder="1" applyAlignment="1">
      <alignment horizontal="center" vertical="center"/>
    </xf>
    <xf numFmtId="166" fontId="13" fillId="0" borderId="75" xfId="0" applyNumberFormat="1" applyFont="1" applyBorder="1" applyAlignment="1">
      <alignment horizontal="center" vertical="center"/>
    </xf>
    <xf numFmtId="9" fontId="13" fillId="0" borderId="76" xfId="15" applyFont="1" applyBorder="1" applyAlignment="1">
      <alignment horizontal="center"/>
    </xf>
    <xf numFmtId="9" fontId="13" fillId="0" borderId="44" xfId="15" applyFont="1" applyBorder="1" applyAlignment="1">
      <alignment horizontal="center"/>
    </xf>
    <xf numFmtId="9" fontId="13" fillId="0" borderId="77" xfId="15" applyFont="1" applyBorder="1" applyAlignment="1">
      <alignment horizontal="center"/>
    </xf>
    <xf numFmtId="0" fontId="22" fillId="3" borderId="49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 readingOrder="2"/>
    </xf>
    <xf numFmtId="0" fontId="22" fillId="3" borderId="1" xfId="0" applyFont="1" applyFill="1" applyBorder="1" applyAlignment="1">
      <alignment horizontal="center" vertical="center" wrapText="1" readingOrder="2"/>
    </xf>
    <xf numFmtId="166" fontId="13" fillId="0" borderId="7" xfId="18" applyNumberFormat="1" applyFont="1" applyBorder="1" applyAlignment="1">
      <alignment horizontal="center" vertical="center" wrapText="1"/>
    </xf>
    <xf numFmtId="166" fontId="13" fillId="0" borderId="61" xfId="18" applyNumberFormat="1" applyFont="1" applyBorder="1" applyAlignment="1">
      <alignment horizontal="center" vertical="center" wrapText="1"/>
    </xf>
    <xf numFmtId="166" fontId="13" fillId="0" borderId="78" xfId="0" applyNumberFormat="1" applyFont="1" applyBorder="1" applyAlignment="1">
      <alignment horizontal="center" vertical="center"/>
    </xf>
    <xf numFmtId="166" fontId="13" fillId="0" borderId="46" xfId="0" applyNumberFormat="1" applyFont="1" applyBorder="1" applyAlignment="1">
      <alignment horizontal="center" vertical="center"/>
    </xf>
    <xf numFmtId="166" fontId="13" fillId="0" borderId="79" xfId="0" applyNumberFormat="1" applyFont="1" applyBorder="1" applyAlignment="1">
      <alignment horizontal="center" vertical="center"/>
    </xf>
    <xf numFmtId="166" fontId="13" fillId="0" borderId="80" xfId="0" applyNumberFormat="1" applyFont="1" applyBorder="1" applyAlignment="1">
      <alignment horizontal="center" vertical="center"/>
    </xf>
    <xf numFmtId="9" fontId="13" fillId="0" borderId="0" xfId="15" applyFont="1" applyAlignment="1">
      <alignment horizontal="center"/>
    </xf>
    <xf numFmtId="9" fontId="13" fillId="0" borderId="81" xfId="15" applyFont="1" applyBorder="1" applyAlignment="1">
      <alignment horizontal="center"/>
    </xf>
    <xf numFmtId="9" fontId="13" fillId="0" borderId="49" xfId="15" applyFont="1" applyBorder="1" applyAlignment="1">
      <alignment horizontal="center"/>
    </xf>
    <xf numFmtId="9" fontId="13" fillId="0" borderId="82" xfId="15" applyFont="1" applyBorder="1" applyAlignment="1">
      <alignment horizontal="center"/>
    </xf>
    <xf numFmtId="166" fontId="13" fillId="2" borderId="12" xfId="18" applyNumberFormat="1" applyFont="1" applyFill="1" applyBorder="1" applyAlignment="1">
      <alignment horizontal="center" vertical="center" readingOrder="2"/>
    </xf>
    <xf numFmtId="1" fontId="13" fillId="0" borderId="16" xfId="0" applyNumberFormat="1" applyFont="1" applyBorder="1" applyAlignment="1" applyProtection="1">
      <alignment horizontal="right" vertical="center" readingOrder="2"/>
      <protection locked="0"/>
    </xf>
    <xf numFmtId="1" fontId="13" fillId="0" borderId="15" xfId="0" applyNumberFormat="1" applyFont="1" applyBorder="1" applyAlignment="1" applyProtection="1">
      <alignment horizontal="right" vertical="center" readingOrder="2"/>
      <protection locked="0"/>
    </xf>
    <xf numFmtId="1" fontId="13" fillId="0" borderId="26" xfId="0" applyNumberFormat="1" applyFont="1" applyBorder="1" applyAlignment="1" applyProtection="1">
      <alignment horizontal="right" vertical="center" readingOrder="2"/>
      <protection locked="0"/>
    </xf>
    <xf numFmtId="0" fontId="13" fillId="5" borderId="0" xfId="0" applyFont="1" applyFill="1" applyAlignment="1">
      <alignment horizontal="center" vertical="center" wrapText="1"/>
    </xf>
    <xf numFmtId="0" fontId="22" fillId="3" borderId="49" xfId="0" applyFont="1" applyFill="1" applyBorder="1" applyAlignment="1">
      <alignment horizontal="center" vertical="center" readingOrder="2"/>
    </xf>
    <xf numFmtId="1" fontId="13" fillId="0" borderId="59" xfId="0" applyNumberFormat="1" applyFont="1" applyBorder="1" applyAlignment="1" applyProtection="1">
      <alignment horizontal="right" vertical="center" readingOrder="2"/>
      <protection locked="0"/>
    </xf>
    <xf numFmtId="1" fontId="13" fillId="0" borderId="61" xfId="0" applyNumberFormat="1" applyFont="1" applyBorder="1" applyAlignment="1" applyProtection="1">
      <alignment horizontal="right" vertical="center" readingOrder="2"/>
      <protection locked="0"/>
    </xf>
    <xf numFmtId="1" fontId="13" fillId="0" borderId="60" xfId="0" applyNumberFormat="1" applyFont="1" applyBorder="1" applyAlignment="1" applyProtection="1">
      <alignment horizontal="right" vertical="center" readingOrder="2"/>
      <protection locked="0"/>
    </xf>
    <xf numFmtId="0" fontId="22" fillId="3" borderId="19" xfId="0" applyFont="1" applyFill="1" applyBorder="1" applyAlignment="1">
      <alignment horizontal="center" vertical="center" readingOrder="2"/>
    </xf>
    <xf numFmtId="164" fontId="13" fillId="0" borderId="21" xfId="0" applyNumberFormat="1" applyFont="1" applyBorder="1" applyAlignment="1" applyProtection="1">
      <alignment vertical="center" readingOrder="2"/>
      <protection locked="0"/>
    </xf>
    <xf numFmtId="164" fontId="13" fillId="0" borderId="22" xfId="0" applyNumberFormat="1" applyFont="1" applyBorder="1" applyAlignment="1" applyProtection="1">
      <alignment vertical="center" readingOrder="2"/>
      <protection locked="0"/>
    </xf>
    <xf numFmtId="164" fontId="13" fillId="0" borderId="20" xfId="0" applyNumberFormat="1" applyFont="1" applyBorder="1" applyAlignment="1" applyProtection="1">
      <alignment vertical="center" readingOrder="2"/>
      <protection locked="0"/>
    </xf>
    <xf numFmtId="1" fontId="13" fillId="0" borderId="4" xfId="0" applyNumberFormat="1" applyFont="1" applyBorder="1" applyAlignment="1" applyProtection="1">
      <alignment horizontal="right" vertical="center" readingOrder="2"/>
      <protection locked="0"/>
    </xf>
    <xf numFmtId="1" fontId="13" fillId="0" borderId="7" xfId="0" applyNumberFormat="1" applyFont="1" applyBorder="1" applyAlignment="1" applyProtection="1">
      <alignment horizontal="right" vertical="center" readingOrder="2"/>
      <protection locked="0"/>
    </xf>
    <xf numFmtId="1" fontId="13" fillId="0" borderId="3" xfId="0" applyNumberFormat="1" applyFont="1" applyBorder="1" applyAlignment="1" applyProtection="1">
      <alignment horizontal="right" vertical="center" readingOrder="2"/>
      <protection locked="0"/>
    </xf>
    <xf numFmtId="164" fontId="13" fillId="0" borderId="59" xfId="0" applyNumberFormat="1" applyFont="1" applyBorder="1" applyAlignment="1" applyProtection="1">
      <alignment horizontal="right" vertical="center" readingOrder="2"/>
      <protection locked="0"/>
    </xf>
    <xf numFmtId="164" fontId="13" fillId="0" borderId="61" xfId="0" applyNumberFormat="1" applyFont="1" applyBorder="1" applyAlignment="1" applyProtection="1">
      <alignment horizontal="right" vertical="center" readingOrder="2"/>
      <protection locked="0"/>
    </xf>
    <xf numFmtId="164" fontId="13" fillId="0" borderId="60" xfId="0" applyNumberFormat="1" applyFont="1" applyBorder="1" applyAlignment="1" applyProtection="1">
      <alignment horizontal="right" vertical="center" readingOrder="2"/>
      <protection locked="0"/>
    </xf>
    <xf numFmtId="164" fontId="13" fillId="0" borderId="4" xfId="0" applyNumberFormat="1" applyFont="1" applyBorder="1" applyAlignment="1" applyProtection="1">
      <alignment horizontal="right" vertical="center" readingOrder="2"/>
      <protection locked="0"/>
    </xf>
    <xf numFmtId="164" fontId="13" fillId="0" borderId="7" xfId="0" applyNumberFormat="1" applyFont="1" applyBorder="1" applyAlignment="1" applyProtection="1">
      <alignment horizontal="right" vertical="center" readingOrder="2"/>
      <protection locked="0"/>
    </xf>
    <xf numFmtId="164" fontId="13" fillId="0" borderId="3" xfId="0" applyNumberFormat="1" applyFont="1" applyBorder="1" applyAlignment="1" applyProtection="1">
      <alignment horizontal="right" vertical="center" readingOrder="2"/>
      <protection locked="0"/>
    </xf>
    <xf numFmtId="0" fontId="22" fillId="3" borderId="81" xfId="0" applyFont="1" applyFill="1" applyBorder="1" applyAlignment="1">
      <alignment horizontal="center" vertical="center" readingOrder="2"/>
    </xf>
    <xf numFmtId="164" fontId="13" fillId="5" borderId="49" xfId="0" applyNumberFormat="1" applyFont="1" applyFill="1" applyBorder="1" applyAlignment="1" applyProtection="1">
      <alignment horizontal="center" vertical="center"/>
      <protection locked="0"/>
    </xf>
    <xf numFmtId="0" fontId="13" fillId="5" borderId="49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4" fontId="13" fillId="0" borderId="59" xfId="0" applyNumberFormat="1" applyFont="1" applyBorder="1" applyAlignment="1" applyProtection="1">
      <alignment vertical="center" readingOrder="2"/>
      <protection locked="0"/>
    </xf>
    <xf numFmtId="164" fontId="13" fillId="0" borderId="61" xfId="0" applyNumberFormat="1" applyFont="1" applyBorder="1" applyAlignment="1" applyProtection="1">
      <alignment vertical="center" readingOrder="2"/>
      <protection locked="0"/>
    </xf>
    <xf numFmtId="164" fontId="13" fillId="0" borderId="60" xfId="0" applyNumberFormat="1" applyFont="1" applyBorder="1" applyAlignment="1" applyProtection="1">
      <alignment vertical="center" readingOrder="2"/>
      <protection locked="0"/>
    </xf>
    <xf numFmtId="0" fontId="13" fillId="0" borderId="16" xfId="0" applyFont="1" applyBorder="1" applyAlignment="1">
      <alignment horizontal="right" vertical="center" wrapText="1" readingOrder="2"/>
    </xf>
    <xf numFmtId="0" fontId="13" fillId="0" borderId="15" xfId="0" applyFont="1" applyBorder="1" applyAlignment="1">
      <alignment horizontal="right" vertical="center" wrapText="1" readingOrder="2"/>
    </xf>
    <xf numFmtId="0" fontId="13" fillId="0" borderId="26" xfId="0" applyFont="1" applyBorder="1" applyAlignment="1">
      <alignment horizontal="right" vertical="center" wrapText="1" readingOrder="2"/>
    </xf>
    <xf numFmtId="164" fontId="13" fillId="0" borderId="16" xfId="0" applyNumberFormat="1" applyFont="1" applyBorder="1" applyAlignment="1" applyProtection="1">
      <alignment vertical="center" readingOrder="2"/>
      <protection locked="0"/>
    </xf>
    <xf numFmtId="164" fontId="13" fillId="0" borderId="15" xfId="0" applyNumberFormat="1" applyFont="1" applyBorder="1" applyAlignment="1" applyProtection="1">
      <alignment vertical="center" readingOrder="2"/>
      <protection locked="0"/>
    </xf>
    <xf numFmtId="164" fontId="13" fillId="0" borderId="26" xfId="0" applyNumberFormat="1" applyFont="1" applyBorder="1" applyAlignment="1" applyProtection="1">
      <alignment vertical="center" readingOrder="2"/>
      <protection locked="0"/>
    </xf>
    <xf numFmtId="164" fontId="13" fillId="0" borderId="16" xfId="0" applyNumberFormat="1" applyFont="1" applyBorder="1" applyAlignment="1" applyProtection="1">
      <alignment horizontal="right" vertical="center" readingOrder="2"/>
      <protection locked="0"/>
    </xf>
    <xf numFmtId="164" fontId="13" fillId="0" borderId="15" xfId="0" applyNumberFormat="1" applyFont="1" applyBorder="1" applyAlignment="1" applyProtection="1">
      <alignment horizontal="right" vertical="center" readingOrder="2"/>
      <protection locked="0"/>
    </xf>
    <xf numFmtId="164" fontId="13" fillId="0" borderId="26" xfId="0" applyNumberFormat="1" applyFont="1" applyBorder="1" applyAlignment="1" applyProtection="1">
      <alignment horizontal="right" vertical="center" readingOrder="2"/>
      <protection locked="0"/>
    </xf>
    <xf numFmtId="10" fontId="13" fillId="0" borderId="19" xfId="0" applyNumberFormat="1" applyFont="1" applyBorder="1" applyAlignment="1">
      <alignment horizontal="center" vertical="center"/>
    </xf>
    <xf numFmtId="10" fontId="13" fillId="0" borderId="21" xfId="0" applyNumberFormat="1" applyFont="1" applyBorder="1" applyAlignment="1">
      <alignment horizontal="center" vertical="center"/>
    </xf>
    <xf numFmtId="10" fontId="13" fillId="0" borderId="60" xfId="0" applyNumberFormat="1" applyFont="1" applyBorder="1" applyAlignment="1">
      <alignment horizontal="center" vertical="center"/>
    </xf>
    <xf numFmtId="10" fontId="13" fillId="0" borderId="49" xfId="0" applyNumberFormat="1" applyFont="1" applyBorder="1" applyAlignment="1">
      <alignment horizontal="center" vertical="center"/>
    </xf>
    <xf numFmtId="10" fontId="13" fillId="0" borderId="59" xfId="0" applyNumberFormat="1" applyFont="1" applyBorder="1" applyAlignment="1">
      <alignment horizontal="center" vertical="center"/>
    </xf>
    <xf numFmtId="0" fontId="27" fillId="0" borderId="7" xfId="0" applyFont="1" applyBorder="1" applyAlignment="1">
      <alignment horizontal="right" vertical="center" wrapText="1"/>
    </xf>
    <xf numFmtId="0" fontId="27" fillId="0" borderId="15" xfId="0" applyFont="1" applyBorder="1" applyAlignment="1">
      <alignment horizontal="right" vertical="center" wrapText="1"/>
    </xf>
    <xf numFmtId="0" fontId="27" fillId="2" borderId="4" xfId="0" applyFont="1" applyFill="1" applyBorder="1" applyAlignment="1">
      <alignment horizontal="right" vertical="center" wrapText="1"/>
    </xf>
    <xf numFmtId="0" fontId="27" fillId="2" borderId="7" xfId="0" applyFont="1" applyFill="1" applyBorder="1" applyAlignment="1">
      <alignment horizontal="right" vertical="center" wrapText="1"/>
    </xf>
    <xf numFmtId="0" fontId="27" fillId="0" borderId="17" xfId="0" applyFont="1" applyBorder="1" applyAlignment="1">
      <alignment horizontal="right" vertical="center" wrapText="1"/>
    </xf>
    <xf numFmtId="0" fontId="27" fillId="0" borderId="83" xfId="0" applyFont="1" applyBorder="1" applyAlignment="1">
      <alignment horizontal="right" vertical="center" wrapText="1"/>
    </xf>
    <xf numFmtId="0" fontId="27" fillId="0" borderId="3" xfId="0" applyFont="1" applyBorder="1" applyAlignment="1">
      <alignment horizontal="right" vertical="center" wrapText="1"/>
    </xf>
    <xf numFmtId="0" fontId="27" fillId="0" borderId="26" xfId="0" applyFont="1" applyBorder="1" applyAlignment="1">
      <alignment horizontal="right" vertical="center" wrapText="1"/>
    </xf>
    <xf numFmtId="165" fontId="13" fillId="0" borderId="19" xfId="15" applyNumberFormat="1" applyFont="1" applyBorder="1" applyAlignment="1">
      <alignment horizontal="center" vertical="center"/>
    </xf>
    <xf numFmtId="165" fontId="13" fillId="0" borderId="13" xfId="0" applyNumberFormat="1" applyFont="1" applyBorder="1" applyAlignment="1">
      <alignment horizontal="center" vertical="center" readingOrder="2"/>
    </xf>
    <xf numFmtId="165" fontId="13" fillId="0" borderId="4" xfId="0" applyNumberFormat="1" applyFont="1" applyBorder="1" applyAlignment="1">
      <alignment horizontal="center" vertical="center" readingOrder="2"/>
    </xf>
    <xf numFmtId="165" fontId="13" fillId="0" borderId="13" xfId="15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22" fillId="3" borderId="49" xfId="0" applyFont="1" applyFill="1" applyBorder="1" applyAlignment="1">
      <alignment horizontal="right" vertical="center" wrapText="1"/>
    </xf>
    <xf numFmtId="49" fontId="25" fillId="2" borderId="65" xfId="0" applyNumberFormat="1" applyFont="1" applyFill="1" applyBorder="1" applyAlignment="1">
      <alignment horizontal="center" vertical="center" wrapText="1" readingOrder="2"/>
    </xf>
    <xf numFmtId="0" fontId="27" fillId="0" borderId="4" xfId="0" applyFont="1" applyBorder="1" applyAlignment="1">
      <alignment horizontal="right" vertical="center" wrapText="1"/>
    </xf>
    <xf numFmtId="0" fontId="27" fillId="0" borderId="16" xfId="0" applyFont="1" applyBorder="1" applyAlignment="1">
      <alignment horizontal="right" vertical="center" wrapText="1"/>
    </xf>
    <xf numFmtId="49" fontId="13" fillId="0" borderId="13" xfId="15" applyNumberFormat="1" applyFont="1" applyBorder="1" applyAlignment="1">
      <alignment horizontal="center" vertical="center"/>
    </xf>
    <xf numFmtId="0" fontId="27" fillId="0" borderId="3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84" xfId="0" applyFont="1" applyBorder="1" applyAlignment="1">
      <alignment vertical="center" wrapText="1"/>
    </xf>
    <xf numFmtId="0" fontId="27" fillId="0" borderId="85" xfId="0" applyFont="1" applyBorder="1" applyAlignment="1">
      <alignment vertical="center" wrapText="1"/>
    </xf>
    <xf numFmtId="0" fontId="27" fillId="0" borderId="7" xfId="0" applyFont="1" applyBorder="1" applyAlignment="1">
      <alignment vertical="center" wrapText="1"/>
    </xf>
    <xf numFmtId="0" fontId="27" fillId="0" borderId="15" xfId="0" applyFont="1" applyBorder="1" applyAlignment="1">
      <alignment vertical="center" wrapText="1"/>
    </xf>
    <xf numFmtId="165" fontId="13" fillId="0" borderId="19" xfId="0" applyNumberFormat="1" applyFont="1" applyBorder="1" applyAlignment="1">
      <alignment horizontal="center" vertical="center" readingOrder="2"/>
    </xf>
    <xf numFmtId="49" fontId="13" fillId="2" borderId="0" xfId="0" applyNumberFormat="1" applyFont="1" applyFill="1" applyAlignment="1">
      <alignment horizontal="center" vertical="center" wrapText="1" readingOrder="2"/>
    </xf>
    <xf numFmtId="0" fontId="27" fillId="6" borderId="0" xfId="0" applyFont="1" applyFill="1" applyAlignment="1">
      <alignment horizontal="center" vertical="center" wrapText="1"/>
    </xf>
    <xf numFmtId="0" fontId="27" fillId="6" borderId="50" xfId="0" applyFont="1" applyFill="1" applyBorder="1" applyAlignment="1">
      <alignment horizontal="center" vertical="center" wrapText="1"/>
    </xf>
    <xf numFmtId="0" fontId="22" fillId="3" borderId="50" xfId="0" applyFont="1" applyFill="1" applyBorder="1" applyAlignment="1">
      <alignment horizontal="center" vertical="center" wrapText="1"/>
    </xf>
    <xf numFmtId="0" fontId="27" fillId="6" borderId="86" xfId="0" applyFont="1" applyFill="1" applyBorder="1" applyAlignment="1">
      <alignment horizontal="center" vertical="center" wrapText="1"/>
    </xf>
    <xf numFmtId="0" fontId="27" fillId="6" borderId="57" xfId="0" applyFont="1" applyFill="1" applyBorder="1" applyAlignment="1">
      <alignment horizontal="center" vertical="center" wrapText="1"/>
    </xf>
    <xf numFmtId="0" fontId="22" fillId="3" borderId="57" xfId="0" applyFont="1" applyFill="1" applyBorder="1" applyAlignment="1">
      <alignment horizontal="center" vertical="center" wrapText="1"/>
    </xf>
    <xf numFmtId="0" fontId="27" fillId="6" borderId="53" xfId="0" applyFont="1" applyFill="1" applyBorder="1" applyAlignment="1">
      <alignment horizontal="center" vertical="center" wrapText="1"/>
    </xf>
    <xf numFmtId="0" fontId="22" fillId="3" borderId="87" xfId="0" applyFont="1" applyFill="1" applyBorder="1" applyAlignment="1">
      <alignment horizontal="center" vertical="center" wrapText="1"/>
    </xf>
    <xf numFmtId="0" fontId="27" fillId="6" borderId="87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22" fillId="3" borderId="28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right" vertical="center" wrapText="1" readingOrder="2"/>
    </xf>
    <xf numFmtId="0" fontId="27" fillId="5" borderId="4" xfId="0" applyFont="1" applyFill="1" applyBorder="1" applyAlignment="1">
      <alignment horizontal="right" vertical="center" wrapText="1"/>
    </xf>
    <xf numFmtId="0" fontId="27" fillId="5" borderId="7" xfId="0" applyFont="1" applyFill="1" applyBorder="1" applyAlignment="1">
      <alignment horizontal="right" vertical="center" wrapText="1"/>
    </xf>
    <xf numFmtId="0" fontId="27" fillId="5" borderId="3" xfId="0" applyFont="1" applyFill="1" applyBorder="1" applyAlignment="1">
      <alignment horizontal="right" vertical="center" wrapText="1"/>
    </xf>
    <xf numFmtId="9" fontId="13" fillId="5" borderId="7" xfId="0" applyNumberFormat="1" applyFont="1" applyFill="1" applyBorder="1" applyAlignment="1" applyProtection="1">
      <alignment horizontal="right" vertical="center"/>
      <protection locked="0"/>
    </xf>
    <xf numFmtId="9" fontId="13" fillId="5" borderId="15" xfId="0" applyNumberFormat="1" applyFont="1" applyFill="1" applyBorder="1" applyAlignment="1" applyProtection="1">
      <alignment horizontal="right" vertical="center"/>
      <protection locked="0"/>
    </xf>
    <xf numFmtId="0" fontId="22" fillId="3" borderId="49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right" vertical="center" wrapText="1" readingOrder="2"/>
    </xf>
    <xf numFmtId="0" fontId="23" fillId="0" borderId="7" xfId="0" applyFont="1" applyBorder="1" applyAlignment="1">
      <alignment horizontal="right" vertical="center" wrapText="1" readingOrder="2"/>
    </xf>
    <xf numFmtId="0" fontId="24" fillId="0" borderId="4" xfId="22" applyFont="1" applyBorder="1" applyAlignment="1">
      <alignment horizontal="right" vertical="center" wrapText="1" readingOrder="2"/>
      <protection/>
    </xf>
    <xf numFmtId="0" fontId="24" fillId="0" borderId="7" xfId="22" applyFont="1" applyBorder="1" applyAlignment="1">
      <alignment horizontal="right" vertical="center" wrapText="1" readingOrder="2"/>
      <protection/>
    </xf>
    <xf numFmtId="49" fontId="13" fillId="2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right" vertical="top" wrapText="1" readingOrder="2"/>
    </xf>
    <xf numFmtId="0" fontId="22" fillId="3" borderId="0" xfId="0" applyFont="1" applyFill="1" applyAlignment="1">
      <alignment horizontal="center" vertical="top" wrapText="1" readingOrder="2"/>
    </xf>
    <xf numFmtId="0" fontId="33" fillId="0" borderId="0" xfId="0" applyFont="1" applyAlignment="1">
      <alignment horizontal="right" vertical="center"/>
    </xf>
    <xf numFmtId="0" fontId="0" fillId="11" borderId="0" xfId="0" applyFill="1" applyAlignment="1">
      <alignment horizontal="center" vertical="center" wrapText="1"/>
    </xf>
    <xf numFmtId="0" fontId="15" fillId="0" borderId="0" xfId="0" applyFont="1" applyAlignment="1">
      <alignment horizontal="center" vertical="top" wrapText="1" readingOrder="2"/>
    </xf>
  </cellXfs>
  <cellStyles count="13">
    <cellStyle name="Normal" xfId="0" builtinId="0"/>
    <cellStyle name="Percent" xfId="15" builtinId="5"/>
    <cellStyle name="Currency" xfId="16" builtinId="4"/>
    <cellStyle name="Currency [0]" xfId="17"/>
    <cellStyle name="Comma" xfId="18" builtinId="3"/>
    <cellStyle name="Comma [0]" xfId="19"/>
    <cellStyle name="היפר-קישור" xfId="20"/>
    <cellStyle name="Comma 2" xfId="21"/>
    <cellStyle name="Normal 2" xfId="22"/>
    <cellStyle name="Normal 3" xfId="23"/>
    <cellStyle name="Comma 3" xfId="24"/>
    <cellStyle name="Percent 2" xfId="25"/>
    <cellStyle name="Comma 4" xfId="2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0" Type="http://schemas.openxmlformats.org/officeDocument/2006/relationships/worksheet" Target="worksheets/sheet18.xml" /><Relationship Id="rId22" Type="http://schemas.openxmlformats.org/officeDocument/2006/relationships/worksheet" Target="worksheets/sheet20.xml" /><Relationship Id="rId21" Type="http://schemas.openxmlformats.org/officeDocument/2006/relationships/worksheet" Target="worksheets/sheet19.xml" /><Relationship Id="rId24" Type="http://schemas.openxmlformats.org/officeDocument/2006/relationships/worksheet" Target="worksheets/sheet22.xml" /><Relationship Id="rId23" Type="http://schemas.openxmlformats.org/officeDocument/2006/relationships/worksheet" Target="worksheets/sheet21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26" Type="http://schemas.openxmlformats.org/officeDocument/2006/relationships/sharedStrings" Target="sharedStrings.xml" /><Relationship Id="rId25" Type="http://schemas.openxmlformats.org/officeDocument/2006/relationships/worksheet" Target="worksheets/sheet23.xml" /><Relationship Id="rId28" Type="http://schemas.openxmlformats.org/officeDocument/2006/relationships/calcChain" Target="calcChain.xml" /><Relationship Id="rId27" Type="http://schemas.openxmlformats.org/officeDocument/2006/relationships/externalLink" Target="externalLinks/externalLink1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Relationship Id="rId11" Type="http://schemas.openxmlformats.org/officeDocument/2006/relationships/worksheet" Target="worksheets/sheet9.xml" /><Relationship Id="rId10" Type="http://schemas.openxmlformats.org/officeDocument/2006/relationships/worksheet" Target="worksheets/sheet8.xml" /><Relationship Id="rId13" Type="http://schemas.openxmlformats.org/officeDocument/2006/relationships/worksheet" Target="worksheets/sheet11.xml" /><Relationship Id="rId12" Type="http://schemas.openxmlformats.org/officeDocument/2006/relationships/worksheet" Target="worksheets/sheet10.xml" /><Relationship Id="rId15" Type="http://schemas.openxmlformats.org/officeDocument/2006/relationships/worksheet" Target="worksheets/sheet13.xml" /><Relationship Id="rId14" Type="http://schemas.openxmlformats.org/officeDocument/2006/relationships/worksheet" Target="worksheets/sheet12.xml" /><Relationship Id="rId17" Type="http://schemas.openxmlformats.org/officeDocument/2006/relationships/worksheet" Target="worksheets/sheet15.xml" /><Relationship Id="rId16" Type="http://schemas.openxmlformats.org/officeDocument/2006/relationships/worksheet" Target="worksheets/sheet14.xml" /><Relationship Id="rId19" Type="http://schemas.openxmlformats.org/officeDocument/2006/relationships/worksheet" Target="worksheets/sheet17.xml" /><Relationship Id="rId18" Type="http://schemas.openxmlformats.org/officeDocument/2006/relationships/worksheet" Target="worksheets/sheet1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1.png" /><Relationship Id="rId3" Type="http://schemas.openxmlformats.org/officeDocument/2006/relationships/image" Target="../media/image1.svg" 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4.jpeg" /><Relationship Id="rId2" Type="http://schemas.openxmlformats.org/officeDocument/2006/relationships/image" Target="../media/image1.png" /><Relationship Id="rId3" Type="http://schemas.openxmlformats.org/officeDocument/2006/relationships/image" Target="../media/image1.svg" 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 /><Relationship Id="rId2" Type="http://schemas.openxmlformats.org/officeDocument/2006/relationships/image" Target="../media/image2.svg" 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 /><Relationship Id="rId2" Type="http://schemas.openxmlformats.org/officeDocument/2006/relationships/image" Target="../media/image2.svg" 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 /><Relationship Id="rId2" Type="http://schemas.openxmlformats.org/officeDocument/2006/relationships/image" Target="../media/image2.svg" 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 /><Relationship Id="rId2" Type="http://schemas.openxmlformats.org/officeDocument/2006/relationships/image" Target="../media/image2.svg" 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 /><Relationship Id="rId2" Type="http://schemas.openxmlformats.org/officeDocument/2006/relationships/image" Target="../media/image2.svg" 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 /><Relationship Id="rId2" Type="http://schemas.openxmlformats.org/officeDocument/2006/relationships/image" Target="../media/image2.svg" 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 /><Relationship Id="rId2" Type="http://schemas.openxmlformats.org/officeDocument/2006/relationships/image" Target="../media/image2.svg" 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image" Target="../media/image5.jpeg" /><Relationship Id="rId2" Type="http://schemas.openxmlformats.org/officeDocument/2006/relationships/image" Target="../media/image1.png" /><Relationship Id="rId3" Type="http://schemas.openxmlformats.org/officeDocument/2006/relationships/image" Target="../media/image1.svg" /></Relationships>
</file>

<file path=xl/drawings/_rels/drawing19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 /><Relationship Id="rId2" Type="http://schemas.openxmlformats.org/officeDocument/2006/relationships/image" Target="../media/image2.svg" /><Relationship Id="rId3" Type="http://schemas.openxmlformats.org/officeDocument/2006/relationships/image" Target="../media/image5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 /><Relationship Id="rId2" Type="http://schemas.openxmlformats.org/officeDocument/2006/relationships/image" Target="../media/image2.svg" /><Relationship Id="rId3" Type="http://schemas.openxmlformats.org/officeDocument/2006/relationships/image" Target="../media/image3.png" /><Relationship Id="rId4" Type="http://schemas.openxmlformats.org/officeDocument/2006/relationships/hyperlink" Target="https://protect.checkpoint.com/v2/___https://esg.bezeq.co.il/report2023/___.YzJ1OnBhdWxiYWtlcm5vdGlmaWVkY29tOmM6bzoxYWU5ZTI5YTQzZWNjYWI5M2RmZmFhMzZmOWU1ZjAyYTo2OjhjN2U6NmY5ZGU5NDZjY2M0MDgxMjg1YWZjNjBiNGZjMWM3MWE0MjUzNTJiNTA2YzhiNTExMTgwZjNjMWIwNmM3OGMyYTpwOlQ6Tg" TargetMode="External" 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 /><Relationship Id="rId2" Type="http://schemas.openxmlformats.org/officeDocument/2006/relationships/image" Target="../media/image2.svg" /></Relationships>
</file>

<file path=xl/drawings/_rels/drawing21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 /><Relationship Id="rId2" Type="http://schemas.openxmlformats.org/officeDocument/2006/relationships/image" Target="../media/image2.svg" /></Relationships>
</file>

<file path=xl/drawings/_rels/drawing2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 /><Relationship Id="rId2" Type="http://schemas.openxmlformats.org/officeDocument/2006/relationships/image" Target="../media/image2.svg" /></Relationships>
</file>

<file path=xl/drawings/_rels/drawing23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 /><Relationship Id="rId2" Type="http://schemas.openxmlformats.org/officeDocument/2006/relationships/image" Target="../media/image2.svg" /><Relationship Id="rId3" Type="http://schemas.openxmlformats.org/officeDocument/2006/relationships/image" Target="../media/image6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 /><Relationship Id="rId2" Type="http://schemas.openxmlformats.org/officeDocument/2006/relationships/image" Target="../media/image2.sv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jpeg" /><Relationship Id="rId2" Type="http://schemas.openxmlformats.org/officeDocument/2006/relationships/image" Target="../media/image1.png" /><Relationship Id="rId3" Type="http://schemas.openxmlformats.org/officeDocument/2006/relationships/image" Target="../media/image1.svg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 /><Relationship Id="rId2" Type="http://schemas.openxmlformats.org/officeDocument/2006/relationships/image" Target="../media/image2.svg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 /><Relationship Id="rId2" Type="http://schemas.openxmlformats.org/officeDocument/2006/relationships/image" Target="../media/image2.svg" 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 /><Relationship Id="rId2" Type="http://schemas.openxmlformats.org/officeDocument/2006/relationships/image" Target="../media/image2.svg" 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 /><Relationship Id="rId2" Type="http://schemas.openxmlformats.org/officeDocument/2006/relationships/image" Target="../media/image2.svg" 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 /><Relationship Id="rId2" Type="http://schemas.openxmlformats.org/officeDocument/2006/relationships/image" Target="../media/image2.sv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0</xdr:colOff>
      <xdr:row>0</xdr:row>
      <xdr:rowOff>7620</xdr:rowOff>
    </xdr:from>
    <xdr:to>
      <xdr:col>17</xdr:col>
      <xdr:colOff>177720</xdr:colOff>
      <xdr:row>39</xdr:row>
      <xdr:rowOff>75300</xdr:rowOff>
    </xdr:to>
    <xdr:sp fLocksText="0">
      <xdr:nvSpPr>
        <xdr:cNvPr id="2" name="מלבן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9525"/>
          <a:ext cx="10544175" cy="7124700"/>
        </a:xfrm>
        <a:prstGeom prst="rect"/>
        <a:solidFill>
          <a:srgbClr val="1229C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0</xdr:col>
      <xdr:colOff>0</xdr:colOff>
      <xdr:row>0</xdr:row>
      <xdr:rowOff>7619</xdr:rowOff>
    </xdr:from>
    <xdr:to>
      <xdr:col>17</xdr:col>
      <xdr:colOff>470647</xdr:colOff>
      <xdr:row>42</xdr:row>
      <xdr:rowOff>134470</xdr:rowOff>
    </xdr:to>
    <xdr:pic>
      <xdr:nvPicPr>
        <xdr:cNvPr id="8" name="תמונה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/>
        </xdr:cNvPicPr>
      </xdr:nvPicPr>
      <xdr:blipFill>
        <a:blip r:embed="rId1">
          <a:alphaModFix amt="70000"/>
        </a:blip>
        <a:stretch>
          <a:fillRect/>
        </a:stretch>
      </xdr:blipFill>
      <xdr:spPr>
        <a:xfrm>
          <a:off x="0" y="9525"/>
          <a:ext cx="10829925" cy="7724775"/>
        </a:xfrm>
        <a:prstGeom prst="rect"/>
      </xdr:spPr>
    </xdr:pic>
    <xdr:clientData/>
  </xdr:twoCellAnchor>
  <xdr:twoCellAnchor>
    <xdr:from>
      <xdr:col>9</xdr:col>
      <xdr:colOff>240702</xdr:colOff>
      <xdr:row>8</xdr:row>
      <xdr:rowOff>130788</xdr:rowOff>
    </xdr:from>
    <xdr:to>
      <xdr:col>16</xdr:col>
      <xdr:colOff>448683</xdr:colOff>
      <xdr:row>19</xdr:row>
      <xdr:rowOff>153376</xdr:rowOff>
    </xdr:to>
    <xdr:sp>
      <xdr:nvSpPr>
        <xdr:cNvPr id="4" name="תיבת טקסט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724525" y="1581150"/>
          <a:ext cx="4476750" cy="2009775"/>
        </a:xfrm>
        <a:prstGeom prst="rect"/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1" anchor="t"/>
        <a:lstStyle/>
        <a:p>
          <a:pPr rtl="0"/>
          <a:r>
            <a:rPr lang="en-US" sz="6000" b="1" i="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+mn-cs"/>
            </a:rPr>
            <a:t>ESG</a:t>
          </a:r>
        </a:p>
        <a:p>
          <a:pPr rtl="0"/>
          <a:r>
            <a:rPr lang="en-US" sz="6000" b="1" i="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+mn-cs"/>
            </a:rPr>
            <a:t>Metrics</a:t>
          </a:r>
        </a:p>
      </xdr:txBody>
    </xdr:sp>
    <xdr:clientData/>
  </xdr:twoCellAnchor>
  <xdr:twoCellAnchor editAs="oneCell">
    <xdr:from>
      <xdr:col>9</xdr:col>
      <xdr:colOff>578471</xdr:colOff>
      <xdr:row>36</xdr:row>
      <xdr:rowOff>28570</xdr:rowOff>
    </xdr:from>
    <xdr:to>
      <xdr:col>16</xdr:col>
      <xdr:colOff>333307</xdr:colOff>
      <xdr:row>37</xdr:row>
      <xdr:rowOff>151894</xdr:rowOff>
    </xdr:to>
    <xdr:pic>
      <xdr:nvPicPr>
        <xdr:cNvPr id="5" name="גרפיקה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067425" y="6543675"/>
          <a:ext cx="4019550" cy="304800"/>
        </a:xfrm>
        <a:prstGeom prst="rect"/>
        <a:effectLst>
          <a:outerShdw blurRad="228600" dir="5400000" algn="ctr" rotWithShape="0">
            <a:srgbClr val="000000">
              <a:alpha val="66000"/>
            </a:srgbClr>
          </a:outerShdw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0</xdr:colOff>
      <xdr:row>0</xdr:row>
      <xdr:rowOff>0</xdr:rowOff>
    </xdr:from>
    <xdr:to>
      <xdr:col>17</xdr:col>
      <xdr:colOff>178200</xdr:colOff>
      <xdr:row>39</xdr:row>
      <xdr:rowOff>69300</xdr:rowOff>
    </xdr:to>
    <xdr:grpSp>
      <xdr:nvGrpSpPr>
        <xdr:cNvPr id="2" name="קבוצה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>
          <a:grpSpLocks/>
        </xdr:cNvGrpSpPr>
      </xdr:nvGrpSpPr>
      <xdr:grpSpPr>
        <a:xfrm>
          <a:off x="0" y="0"/>
          <a:ext cx="10544175" cy="7124700"/>
          <a:chOff x="2142464505" y="0"/>
          <a:chExt cx="10465200" cy="7498800"/>
        </a:xfrm>
      </xdr:grpSpPr>
      <xdr:pic>
        <xdr:nvPicPr>
          <xdr:cNvPr id="3" name="תמונה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PicPr>
            <a:picLocks noChangeAspect="1"/>
          </xdr:cNvPicPr>
        </xdr:nvPicPr>
        <xdr:blipFill>
          <a:blip r:embed="rId1"/>
          <a:srcRect l="3417" t="0" r="3417" b="0"/>
          <a:stretch>
            <a:fillRect/>
          </a:stretch>
        </xdr:blipFill>
        <xdr:spPr>
          <a:xfrm>
            <a:off x="2142464506" y="0"/>
            <a:ext cx="10465199" cy="7498800"/>
          </a:xfrm>
          <a:prstGeom prst="rect"/>
        </xdr:spPr>
      </xdr:pic>
      <xdr:sp fLocksText="0">
        <xdr:nvSpPr>
          <xdr:cNvPr id="4" name="מלבן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/>
        </xdr:nvSpPr>
        <xdr:spPr>
          <a:xfrm>
            <a:off x="2142464505" y="2545800"/>
            <a:ext cx="10465200" cy="4953000"/>
          </a:xfrm>
          <a:prstGeom prst="rect"/>
          <a:gradFill rotWithShape="1">
            <a:gsLst>
              <a:gs pos="0">
                <a:srgbClr val="1229C6">
                  <a:alpha val="0"/>
                </a:srgbClr>
              </a:gs>
              <a:gs pos="100000">
                <a:srgbClr val="1229C6"/>
              </a:gs>
            </a:gsLst>
            <a:lin ang="5400000" scaled="1"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bg1"/>
          </a:fontRef>
        </xdr:style>
        <xdr:txBody>
          <a:bodyPr vertOverflow="clip" horzOverflow="clip" rtlCol="1" anchor="t"/>
          <a:lstStyle/>
          <a:p>
            <a:pPr algn="r" rtl="1"/>
            <a:endParaRPr lang="he-IL" sz="1100"/>
          </a:p>
        </xdr:txBody>
      </xdr:sp>
    </xdr:grpSp>
    <xdr:clientData/>
  </xdr:twoCellAnchor>
  <xdr:twoCellAnchor>
    <xdr:from>
      <xdr:col>9</xdr:col>
      <xdr:colOff>11206</xdr:colOff>
      <xdr:row>30</xdr:row>
      <xdr:rowOff>134470</xdr:rowOff>
    </xdr:from>
    <xdr:to>
      <xdr:col>16</xdr:col>
      <xdr:colOff>199465</xdr:colOff>
      <xdr:row>38</xdr:row>
      <xdr:rowOff>97346</xdr:rowOff>
    </xdr:to>
    <xdr:sp>
      <xdr:nvSpPr>
        <xdr:cNvPr id="5" name="תיבת טקסט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5495925" y="5562600"/>
          <a:ext cx="4457700" cy="1409700"/>
        </a:xfrm>
        <a:prstGeom prst="rect"/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1" anchor="ctr" anchorCtr="0"/>
        <a:lstStyle/>
        <a:p>
          <a:pPr rtl="0"/>
          <a:r>
            <a:rPr lang="he-IL" sz="6000" b="0" i="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+mn-cs"/>
            </a:rPr>
            <a:t>חברה</a:t>
          </a:r>
          <a:endParaRPr lang="en-US" sz="6000" b="0" i="0" baseline="0">
            <a:solidFill>
              <a:schemeClr val="bg1"/>
            </a:solidFill>
            <a:effectLst/>
            <a:latin typeface="Arial" panose="020B0604020202020204" pitchFamily="34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313765</xdr:colOff>
      <xdr:row>1</xdr:row>
      <xdr:rowOff>0</xdr:rowOff>
    </xdr:from>
    <xdr:to>
      <xdr:col>5</xdr:col>
      <xdr:colOff>104215</xdr:colOff>
      <xdr:row>2</xdr:row>
      <xdr:rowOff>28575</xdr:rowOff>
    </xdr:to>
    <xdr:pic>
      <xdr:nvPicPr>
        <xdr:cNvPr id="6" name="גרפיקה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14325" y="180975"/>
          <a:ext cx="2838450" cy="209550"/>
        </a:xfrm>
        <a:prstGeom prst="rect"/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</xdr:col>
      <xdr:colOff>0</xdr:colOff>
      <xdr:row>1</xdr:row>
      <xdr:rowOff>0</xdr:rowOff>
    </xdr:from>
    <xdr:to>
      <xdr:col>4</xdr:col>
      <xdr:colOff>320435</xdr:colOff>
      <xdr:row>2</xdr:row>
      <xdr:rowOff>17864</xdr:rowOff>
    </xdr:to>
    <xdr:pic>
      <xdr:nvPicPr>
        <xdr:cNvPr id="2" name="גרפיקה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7650" y="190500"/>
          <a:ext cx="2762250" cy="209550"/>
        </a:xfrm>
        <a:prstGeom prst="rect"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21674</xdr:rowOff>
    </xdr:to>
    <xdr:pic>
      <xdr:nvPicPr>
        <xdr:cNvPr id="3" name="גרפיקה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7650" y="190500"/>
          <a:ext cx="2800350" cy="209550"/>
        </a:xfrm>
        <a:prstGeom prst="rect"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</xdr:col>
      <xdr:colOff>0</xdr:colOff>
      <xdr:row>1</xdr:row>
      <xdr:rowOff>0</xdr:rowOff>
    </xdr:from>
    <xdr:to>
      <xdr:col>4</xdr:col>
      <xdr:colOff>285929</xdr:colOff>
      <xdr:row>2</xdr:row>
      <xdr:rowOff>21674</xdr:rowOff>
    </xdr:to>
    <xdr:pic>
      <xdr:nvPicPr>
        <xdr:cNvPr id="2" name="גרפיקה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7650" y="190500"/>
          <a:ext cx="2752725" cy="209550"/>
        </a:xfrm>
        <a:prstGeom prst="rect"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</xdr:col>
      <xdr:colOff>0</xdr:colOff>
      <xdr:row>1</xdr:row>
      <xdr:rowOff>0</xdr:rowOff>
    </xdr:from>
    <xdr:to>
      <xdr:col>4</xdr:col>
      <xdr:colOff>225437</xdr:colOff>
      <xdr:row>2</xdr:row>
      <xdr:rowOff>35009</xdr:rowOff>
    </xdr:to>
    <xdr:pic>
      <xdr:nvPicPr>
        <xdr:cNvPr id="2" name="גרפיקה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7650" y="190500"/>
          <a:ext cx="2771775" cy="228600"/>
        </a:xfrm>
        <a:prstGeom prst="rect"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</xdr:col>
      <xdr:colOff>0</xdr:colOff>
      <xdr:row>1</xdr:row>
      <xdr:rowOff>0</xdr:rowOff>
    </xdr:from>
    <xdr:to>
      <xdr:col>4</xdr:col>
      <xdr:colOff>302284</xdr:colOff>
      <xdr:row>2</xdr:row>
      <xdr:rowOff>35009</xdr:rowOff>
    </xdr:to>
    <xdr:pic>
      <xdr:nvPicPr>
        <xdr:cNvPr id="2" name="גרפיקה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7650" y="190500"/>
          <a:ext cx="2752725" cy="228600"/>
        </a:xfrm>
        <a:prstGeom prst="rect"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</xdr:col>
      <xdr:colOff>0</xdr:colOff>
      <xdr:row>1</xdr:row>
      <xdr:rowOff>0</xdr:rowOff>
    </xdr:from>
    <xdr:to>
      <xdr:col>3</xdr:col>
      <xdr:colOff>399079</xdr:colOff>
      <xdr:row>2</xdr:row>
      <xdr:rowOff>17864</xdr:rowOff>
    </xdr:to>
    <xdr:pic>
      <xdr:nvPicPr>
        <xdr:cNvPr id="2" name="גרפיקה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7650" y="190500"/>
          <a:ext cx="2752725" cy="209550"/>
        </a:xfrm>
        <a:prstGeom prst="rect"/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</xdr:col>
      <xdr:colOff>0</xdr:colOff>
      <xdr:row>1</xdr:row>
      <xdr:rowOff>0</xdr:rowOff>
    </xdr:from>
    <xdr:to>
      <xdr:col>3</xdr:col>
      <xdr:colOff>300271</xdr:colOff>
      <xdr:row>2</xdr:row>
      <xdr:rowOff>35009</xdr:rowOff>
    </xdr:to>
    <xdr:pic>
      <xdr:nvPicPr>
        <xdr:cNvPr id="2" name="גרפיקה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7650" y="190500"/>
          <a:ext cx="2771775" cy="228600"/>
        </a:xfrm>
        <a:prstGeom prst="rect"/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0</xdr:colOff>
      <xdr:row>0</xdr:row>
      <xdr:rowOff>0</xdr:rowOff>
    </xdr:from>
    <xdr:to>
      <xdr:col>17</xdr:col>
      <xdr:colOff>178200</xdr:colOff>
      <xdr:row>39</xdr:row>
      <xdr:rowOff>69300</xdr:rowOff>
    </xdr:to>
    <xdr:grpSp>
      <xdr:nvGrpSpPr>
        <xdr:cNvPr id="2" name="קבוצה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pSpPr>
          <a:grpSpLocks/>
        </xdr:cNvGrpSpPr>
      </xdr:nvGrpSpPr>
      <xdr:grpSpPr>
        <a:xfrm>
          <a:off x="0" y="0"/>
          <a:ext cx="10544175" cy="7124700"/>
          <a:chOff x="2142464505" y="0"/>
          <a:chExt cx="10465200" cy="7498800"/>
        </a:xfrm>
      </xdr:grpSpPr>
      <xdr:pic>
        <xdr:nvPicPr>
          <xdr:cNvPr id="3" name="תמונה 2">
            <a:extLst>
              <a:ext uri="{FF2B5EF4-FFF2-40B4-BE49-F238E27FC236}">
                <a16:creationId xmlns:a16="http://schemas.microsoft.com/office/drawing/2014/main" id="{00000000-0008-0000-1100-000003000000}"/>
              </a:ext>
            </a:extLst>
          </xdr:cNvPr>
          <xdr:cNvPicPr>
            <a:picLocks noChangeAspect="1"/>
          </xdr:cNvPicPr>
        </xdr:nvPicPr>
        <xdr:blipFill>
          <a:blip r:embed="rId1"/>
          <a:srcRect l="13098" t="9997" r="3089" b="0"/>
          <a:stretch>
            <a:fillRect/>
          </a:stretch>
        </xdr:blipFill>
        <xdr:spPr>
          <a:xfrm>
            <a:off x="2142464506" y="0"/>
            <a:ext cx="10465199" cy="7498800"/>
          </a:xfrm>
          <a:prstGeom prst="rect"/>
        </xdr:spPr>
      </xdr:pic>
      <xdr:sp fLocksText="0">
        <xdr:nvSpPr>
          <xdr:cNvPr id="4" name="מלבן 3">
            <a:extLst>
              <a:ext uri="{FF2B5EF4-FFF2-40B4-BE49-F238E27FC236}">
                <a16:creationId xmlns:a16="http://schemas.microsoft.com/office/drawing/2014/main" id="{00000000-0008-0000-1100-000004000000}"/>
              </a:ext>
            </a:extLst>
          </xdr:cNvPr>
          <xdr:cNvSpPr/>
        </xdr:nvSpPr>
        <xdr:spPr>
          <a:xfrm>
            <a:off x="2142464505" y="2545800"/>
            <a:ext cx="10465200" cy="4953000"/>
          </a:xfrm>
          <a:prstGeom prst="rect"/>
          <a:gradFill rotWithShape="1">
            <a:gsLst>
              <a:gs pos="0">
                <a:srgbClr val="1229C6">
                  <a:alpha val="0"/>
                </a:srgbClr>
              </a:gs>
              <a:gs pos="100000">
                <a:srgbClr val="1229C6"/>
              </a:gs>
            </a:gsLst>
            <a:lin ang="5400000" scaled="1"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bg1"/>
          </a:fontRef>
        </xdr:style>
        <xdr:txBody>
          <a:bodyPr vertOverflow="clip" horzOverflow="clip" rtlCol="1" anchor="t"/>
          <a:lstStyle/>
          <a:p>
            <a:pPr algn="r" rtl="1"/>
            <a:endParaRPr lang="he-IL" sz="1100"/>
          </a:p>
        </xdr:txBody>
      </xdr:sp>
    </xdr:grpSp>
    <xdr:clientData/>
  </xdr:twoCellAnchor>
  <xdr:twoCellAnchor>
    <xdr:from>
      <xdr:col>9</xdr:col>
      <xdr:colOff>11206</xdr:colOff>
      <xdr:row>30</xdr:row>
      <xdr:rowOff>134470</xdr:rowOff>
    </xdr:from>
    <xdr:to>
      <xdr:col>16</xdr:col>
      <xdr:colOff>199465</xdr:colOff>
      <xdr:row>38</xdr:row>
      <xdr:rowOff>97346</xdr:rowOff>
    </xdr:to>
    <xdr:sp>
      <xdr:nvSpPr>
        <xdr:cNvPr id="5" name="תיבת טקסט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 txBox="1"/>
      </xdr:nvSpPr>
      <xdr:spPr>
        <a:xfrm>
          <a:off x="5495925" y="5562600"/>
          <a:ext cx="4457700" cy="1409700"/>
        </a:xfrm>
        <a:prstGeom prst="rect"/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1" anchor="ctr" anchorCtr="0"/>
        <a:lstStyle/>
        <a:p>
          <a:pPr rtl="0"/>
          <a:r>
            <a:rPr lang="he-IL" sz="6000" b="0" i="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+mn-cs"/>
            </a:rPr>
            <a:t>ממשל תאגידי</a:t>
          </a:r>
        </a:p>
      </xdr:txBody>
    </xdr:sp>
    <xdr:clientData/>
  </xdr:twoCellAnchor>
  <xdr:twoCellAnchor editAs="oneCell">
    <xdr:from>
      <xdr:col>0</xdr:col>
      <xdr:colOff>313765</xdr:colOff>
      <xdr:row>1</xdr:row>
      <xdr:rowOff>0</xdr:rowOff>
    </xdr:from>
    <xdr:to>
      <xdr:col>5</xdr:col>
      <xdr:colOff>104215</xdr:colOff>
      <xdr:row>2</xdr:row>
      <xdr:rowOff>28575</xdr:rowOff>
    </xdr:to>
    <xdr:pic>
      <xdr:nvPicPr>
        <xdr:cNvPr id="9" name="גרפיקה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/>
        </xdr:cNvPicPr>
      </xdr:nvPicPr>
      <xdr:blipFill>
        <a:blip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14325" y="180975"/>
          <a:ext cx="2838450" cy="209550"/>
        </a:xfrm>
        <a:prstGeom prst="rect"/>
        <a:effectLst/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</xdr:col>
      <xdr:colOff>0</xdr:colOff>
      <xdr:row>1</xdr:row>
      <xdr:rowOff>0</xdr:rowOff>
    </xdr:from>
    <xdr:to>
      <xdr:col>4</xdr:col>
      <xdr:colOff>612834</xdr:colOff>
      <xdr:row>2</xdr:row>
      <xdr:rowOff>29294</xdr:rowOff>
    </xdr:to>
    <xdr:pic>
      <xdr:nvPicPr>
        <xdr:cNvPr id="2" name="גרפיקה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7650" y="190500"/>
          <a:ext cx="2752725" cy="219075"/>
        </a:xfrm>
        <a:prstGeom prst="rect"/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16</xdr:col>
      <xdr:colOff>381637</xdr:colOff>
      <xdr:row>25</xdr:row>
      <xdr:rowOff>189843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d966f162-e48f-4738-8a06-8f5926d86f62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62025" y="1333500"/>
          <a:ext cx="9858375" cy="5257800"/>
        </a:xfrm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-185812585</xdr:colOff>
      <xdr:row>0</xdr:row>
      <xdr:rowOff>181155</xdr:rowOff>
    </xdr:from>
    <xdr:to>
      <xdr:col>0</xdr:col>
      <xdr:colOff>-183226218</xdr:colOff>
      <xdr:row>2</xdr:row>
      <xdr:rowOff>3921</xdr:rowOff>
    </xdr:to>
    <xdr:pic>
      <xdr:nvPicPr>
        <xdr:cNvPr id="3" name="גרפיקה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80975"/>
          <a:ext cx="2590800" cy="190500"/>
        </a:xfrm>
        <a:prstGeom prst="rect"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2853690</xdr:colOff>
      <xdr:row>2</xdr:row>
      <xdr:rowOff>34111</xdr:rowOff>
    </xdr:to>
    <xdr:pic>
      <xdr:nvPicPr>
        <xdr:cNvPr id="5" name="גרפיקה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7650" y="180975"/>
          <a:ext cx="2857500" cy="228600"/>
        </a:xfrm>
        <a:prstGeom prst="rect"/>
      </xdr:spPr>
    </xdr:pic>
    <xdr:clientData/>
  </xdr:twoCellAnchor>
  <xdr:twoCellAnchor editAs="oneCell">
    <xdr:from>
      <xdr:col>3</xdr:col>
      <xdr:colOff>296839</xdr:colOff>
      <xdr:row>4</xdr:row>
      <xdr:rowOff>85726</xdr:rowOff>
    </xdr:from>
    <xdr:to>
      <xdr:col>5</xdr:col>
      <xdr:colOff>605967</xdr:colOff>
      <xdr:row>6</xdr:row>
      <xdr:rowOff>142875</xdr:rowOff>
    </xdr:to>
    <xdr:pic>
      <xdr:nvPicPr>
        <xdr:cNvPr id="2" name="תמונה 1">
          <a:hlinkClick r:id="rId4"/>
          <a:extLst>
            <a:ext uri="{FF2B5EF4-FFF2-40B4-BE49-F238E27FC236}">
              <a16:creationId xmlns:a16="http://schemas.microsoft.com/office/drawing/2014/main" id="{86b0935d-ec0d-4195-9e2e-bf1a8b455a54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52950" y="828675"/>
          <a:ext cx="4124325" cy="1990725"/>
        </a:xfrm>
        <a:prstGeom prst="rect"/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</xdr:col>
      <xdr:colOff>0</xdr:colOff>
      <xdr:row>1</xdr:row>
      <xdr:rowOff>0</xdr:rowOff>
    </xdr:from>
    <xdr:to>
      <xdr:col>3</xdr:col>
      <xdr:colOff>664593</xdr:colOff>
      <xdr:row>2</xdr:row>
      <xdr:rowOff>25484</xdr:rowOff>
    </xdr:to>
    <xdr:pic>
      <xdr:nvPicPr>
        <xdr:cNvPr id="4" name="גרפיקה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7650" y="190500"/>
          <a:ext cx="2762250" cy="219075"/>
        </a:xfrm>
        <a:prstGeom prst="rect"/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</xdr:col>
      <xdr:colOff>0</xdr:colOff>
      <xdr:row>1</xdr:row>
      <xdr:rowOff>0</xdr:rowOff>
    </xdr:from>
    <xdr:to>
      <xdr:col>3</xdr:col>
      <xdr:colOff>1236812</xdr:colOff>
      <xdr:row>2</xdr:row>
      <xdr:rowOff>29294</xdr:rowOff>
    </xdr:to>
    <xdr:pic>
      <xdr:nvPicPr>
        <xdr:cNvPr id="4" name="גרפיקה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7650" y="190500"/>
          <a:ext cx="2790825" cy="219075"/>
        </a:xfrm>
        <a:prstGeom prst="rect"/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</xdr:col>
      <xdr:colOff>0</xdr:colOff>
      <xdr:row>1</xdr:row>
      <xdr:rowOff>0</xdr:rowOff>
    </xdr:from>
    <xdr:to>
      <xdr:col>3</xdr:col>
      <xdr:colOff>160020</xdr:colOff>
      <xdr:row>2</xdr:row>
      <xdr:rowOff>29294</xdr:rowOff>
    </xdr:to>
    <xdr:pic>
      <xdr:nvPicPr>
        <xdr:cNvPr id="2" name="גרפיקה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7650" y="190500"/>
          <a:ext cx="2762250" cy="219075"/>
        </a:xfrm>
        <a:prstGeom prst="rect"/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</xdr:col>
      <xdr:colOff>0</xdr:colOff>
      <xdr:row>1</xdr:row>
      <xdr:rowOff>0</xdr:rowOff>
    </xdr:from>
    <xdr:to>
      <xdr:col>4</xdr:col>
      <xdr:colOff>281436</xdr:colOff>
      <xdr:row>2</xdr:row>
      <xdr:rowOff>29294</xdr:rowOff>
    </xdr:to>
    <xdr:pic>
      <xdr:nvPicPr>
        <xdr:cNvPr id="3" name="גרפיקה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7650" y="190500"/>
          <a:ext cx="2752725" cy="219075"/>
        </a:xfrm>
        <a:prstGeom prst="rect"/>
      </xdr:spPr>
    </xdr:pic>
    <xdr:clientData/>
  </xdr:twoCellAnchor>
  <xdr:twoCellAnchor editAs="oneCell">
    <xdr:from>
      <xdr:col>0</xdr:col>
      <xdr:colOff>238125</xdr:colOff>
      <xdr:row>6</xdr:row>
      <xdr:rowOff>1</xdr:rowOff>
    </xdr:from>
    <xdr:to>
      <xdr:col>9</xdr:col>
      <xdr:colOff>31750</xdr:colOff>
      <xdr:row>36</xdr:row>
      <xdr:rowOff>27253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6af9f9b5-d2a4-4782-b53d-7445a798d104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8125" y="1266825"/>
          <a:ext cx="10277475" cy="5457825"/>
        </a:xfrm>
        <a:prstGeom prst="rect"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</xdr:col>
      <xdr:colOff>0</xdr:colOff>
      <xdr:row>1</xdr:row>
      <xdr:rowOff>0</xdr:rowOff>
    </xdr:from>
    <xdr:to>
      <xdr:col>3</xdr:col>
      <xdr:colOff>689574</xdr:colOff>
      <xdr:row>2</xdr:row>
      <xdr:rowOff>35009</xdr:rowOff>
    </xdr:to>
    <xdr:pic>
      <xdr:nvPicPr>
        <xdr:cNvPr id="2" name="גרפיקה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7650" y="190500"/>
          <a:ext cx="2752725" cy="228600"/>
        </a:xfrm>
        <a:prstGeom prst="rect"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0</xdr:colOff>
      <xdr:row>0</xdr:row>
      <xdr:rowOff>0</xdr:rowOff>
    </xdr:from>
    <xdr:to>
      <xdr:col>17</xdr:col>
      <xdr:colOff>178200</xdr:colOff>
      <xdr:row>39</xdr:row>
      <xdr:rowOff>69300</xdr:rowOff>
    </xdr:to>
    <xdr:grpSp>
      <xdr:nvGrpSpPr>
        <xdr:cNvPr id="2" name="קבוצה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>
          <a:grpSpLocks/>
        </xdr:cNvGrpSpPr>
      </xdr:nvGrpSpPr>
      <xdr:grpSpPr>
        <a:xfrm>
          <a:off x="0" y="0"/>
          <a:ext cx="10544175" cy="7124700"/>
          <a:chOff x="2142464505" y="0"/>
          <a:chExt cx="10465200" cy="7498800"/>
        </a:xfrm>
      </xdr:grpSpPr>
      <xdr:pic>
        <xdr:nvPicPr>
          <xdr:cNvPr id="4" name="תמונה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PicPr>
            <a:picLocks noChangeAspect="1"/>
          </xdr:cNvPicPr>
        </xdr:nvPicPr>
        <xdr:blipFill>
          <a:blip r:embed="rId1"/>
          <a:srcRect l="0" t="2050" r="0" b="2050"/>
          <a:stretch>
            <a:fillRect/>
          </a:stretch>
        </xdr:blipFill>
        <xdr:spPr>
          <a:xfrm>
            <a:off x="2142464506" y="0"/>
            <a:ext cx="10465199" cy="7498800"/>
          </a:xfrm>
          <a:prstGeom prst="rect"/>
        </xdr:spPr>
      </xdr:pic>
      <xdr:sp fLocksText="0">
        <xdr:nvSpPr>
          <xdr:cNvPr id="3" name="מלבן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142464505" y="2545800"/>
            <a:ext cx="10465200" cy="4953000"/>
          </a:xfrm>
          <a:prstGeom prst="rect"/>
          <a:gradFill rotWithShape="1">
            <a:gsLst>
              <a:gs pos="0">
                <a:srgbClr val="1229C6">
                  <a:alpha val="0"/>
                </a:srgbClr>
              </a:gs>
              <a:gs pos="100000">
                <a:srgbClr val="1229C6"/>
              </a:gs>
            </a:gsLst>
            <a:lin ang="5400000" scaled="1"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bg1"/>
          </a:fontRef>
        </xdr:style>
        <xdr:txBody>
          <a:bodyPr vertOverflow="clip" horzOverflow="clip" rtlCol="1" anchor="t"/>
          <a:lstStyle/>
          <a:p>
            <a:pPr algn="r" rtl="1"/>
            <a:endParaRPr lang="he-IL" sz="1100"/>
          </a:p>
        </xdr:txBody>
      </xdr:sp>
    </xdr:grpSp>
    <xdr:clientData/>
  </xdr:twoCellAnchor>
  <xdr:twoCellAnchor>
    <xdr:from>
      <xdr:col>9</xdr:col>
      <xdr:colOff>11206</xdr:colOff>
      <xdr:row>30</xdr:row>
      <xdr:rowOff>134470</xdr:rowOff>
    </xdr:from>
    <xdr:to>
      <xdr:col>16</xdr:col>
      <xdr:colOff>199465</xdr:colOff>
      <xdr:row>38</xdr:row>
      <xdr:rowOff>97346</xdr:rowOff>
    </xdr:to>
    <xdr:sp>
      <xdr:nvSpPr>
        <xdr:cNvPr id="5" name="תיבת טקסט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495925" y="5562600"/>
          <a:ext cx="4457700" cy="1409700"/>
        </a:xfrm>
        <a:prstGeom prst="rect"/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1" anchor="ctr" anchorCtr="0"/>
        <a:lstStyle/>
        <a:p>
          <a:pPr rtl="0"/>
          <a:r>
            <a:rPr lang="he-IL" sz="6000" b="0" i="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+mn-cs"/>
            </a:rPr>
            <a:t>סביבה</a:t>
          </a:r>
          <a:endParaRPr lang="en-US" sz="6000" b="0" i="0" baseline="0">
            <a:solidFill>
              <a:schemeClr val="bg1"/>
            </a:solidFill>
            <a:effectLst/>
            <a:latin typeface="Arial" panose="020B0604020202020204" pitchFamily="34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313765</xdr:colOff>
      <xdr:row>1</xdr:row>
      <xdr:rowOff>0</xdr:rowOff>
    </xdr:from>
    <xdr:to>
      <xdr:col>5</xdr:col>
      <xdr:colOff>104215</xdr:colOff>
      <xdr:row>2</xdr:row>
      <xdr:rowOff>28575</xdr:rowOff>
    </xdr:to>
    <xdr:pic>
      <xdr:nvPicPr>
        <xdr:cNvPr id="6" name="גרפיקה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14325" y="180975"/>
          <a:ext cx="2838450" cy="209550"/>
        </a:xfrm>
        <a:prstGeom prst="rect"/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</xdr:col>
      <xdr:colOff>0</xdr:colOff>
      <xdr:row>1</xdr:row>
      <xdr:rowOff>0</xdr:rowOff>
    </xdr:from>
    <xdr:to>
      <xdr:col>4</xdr:col>
      <xdr:colOff>338694</xdr:colOff>
      <xdr:row>2</xdr:row>
      <xdr:rowOff>35009</xdr:rowOff>
    </xdr:to>
    <xdr:pic>
      <xdr:nvPicPr>
        <xdr:cNvPr id="3" name="גרפיקה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7650" y="190500"/>
          <a:ext cx="2752725" cy="228600"/>
        </a:xfrm>
        <a:prstGeom prst="rect"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</xdr:col>
      <xdr:colOff>0</xdr:colOff>
      <xdr:row>1</xdr:row>
      <xdr:rowOff>0</xdr:rowOff>
    </xdr:from>
    <xdr:to>
      <xdr:col>4</xdr:col>
      <xdr:colOff>345416</xdr:colOff>
      <xdr:row>2</xdr:row>
      <xdr:rowOff>35009</xdr:rowOff>
    </xdr:to>
    <xdr:pic>
      <xdr:nvPicPr>
        <xdr:cNvPr id="2" name="גרפיקה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7650" y="190500"/>
          <a:ext cx="2743200" cy="228600"/>
        </a:xfrm>
        <a:prstGeom prst="rect"/>
      </xdr:spPr>
    </xdr:pic>
    <xdr:clientData/>
  </xdr:twoCellAnchor>
  <xdr:twoCellAnchor>
    <xdr:from>
      <xdr:col>14</xdr:col>
      <xdr:colOff>697230</xdr:colOff>
      <xdr:row>4</xdr:row>
      <xdr:rowOff>36195</xdr:rowOff>
    </xdr:from>
    <xdr:to>
      <xdr:col>28</xdr:col>
      <xdr:colOff>531495</xdr:colOff>
      <xdr:row>23</xdr:row>
      <xdr:rowOff>346710</xdr:rowOff>
    </xdr:to>
    <xdr:sp>
      <xdr:nvSpPr>
        <xdr:cNvPr id="3" name="תיבת טקסט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0487025" y="800100"/>
          <a:ext cx="11172825" cy="5505450"/>
        </a:xfrm>
        <a:prstGeom prst="rect"/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1" anchor="t"/>
        <a:lstStyle/>
        <a:p>
          <a:pPr algn="r" rtl="1"/>
          <a:endParaRPr lang="he-IL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</xdr:col>
      <xdr:colOff>0</xdr:colOff>
      <xdr:row>1</xdr:row>
      <xdr:rowOff>0</xdr:rowOff>
    </xdr:from>
    <xdr:to>
      <xdr:col>3</xdr:col>
      <xdr:colOff>802616</xdr:colOff>
      <xdr:row>2</xdr:row>
      <xdr:rowOff>35009</xdr:rowOff>
    </xdr:to>
    <xdr:pic>
      <xdr:nvPicPr>
        <xdr:cNvPr id="2" name="גרפיקה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7650" y="190500"/>
          <a:ext cx="2762250" cy="228600"/>
        </a:xfrm>
        <a:prstGeom prst="rect"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</xdr:col>
      <xdr:colOff>0</xdr:colOff>
      <xdr:row>1</xdr:row>
      <xdr:rowOff>0</xdr:rowOff>
    </xdr:from>
    <xdr:to>
      <xdr:col>4</xdr:col>
      <xdr:colOff>447099</xdr:colOff>
      <xdr:row>2</xdr:row>
      <xdr:rowOff>25484</xdr:rowOff>
    </xdr:to>
    <xdr:pic>
      <xdr:nvPicPr>
        <xdr:cNvPr id="2" name="גרפיקה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7650" y="190500"/>
          <a:ext cx="2752725" cy="219075"/>
        </a:xfrm>
        <a:prstGeom prst="rect"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</xdr:col>
      <xdr:colOff>0</xdr:colOff>
      <xdr:row>1</xdr:row>
      <xdr:rowOff>0</xdr:rowOff>
    </xdr:from>
    <xdr:to>
      <xdr:col>4</xdr:col>
      <xdr:colOff>612834</xdr:colOff>
      <xdr:row>2</xdr:row>
      <xdr:rowOff>35009</xdr:rowOff>
    </xdr:to>
    <xdr:pic>
      <xdr:nvPicPr>
        <xdr:cNvPr id="2" name="גרפיקה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7650" y="190500"/>
          <a:ext cx="2752725" cy="228600"/>
        </a:xfrm>
        <a:prstGeom prst="rect"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Users\30210485\AppData\Local\Microsoft\Windows\INetCache\Content.Outlook\WZOMNFKQ\&#1502;&#1513;&#1488;&#1489;&#1497;%20&#1488;&#1504;&#1493;&#1513;\&#1504;&#1514;&#1493;&#1504;&#1497;&#1501;%20&#1502;&#1499;&#1493;&#1499;&#1497;\&#1492;&#1513;&#1500;&#1502;&#1493;&#1514;%2018.6.23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eadcount"/>
      <sheetName val="משוב והערכה"/>
      <sheetName val="כוח אדם"/>
      <sheetName val=" הנהלה"/>
    </sheetNames>
    <sheetDataSet>
      <sheetData sheetId="0"/>
      <sheetData sheetId="1"/>
      <sheetData sheetId="2">
        <row r="15">
          <cell r="C15">
            <v>564</v>
          </cell>
          <cell r="D15">
            <v>707</v>
          </cell>
          <cell r="G15">
            <v>535</v>
          </cell>
          <cell r="H15">
            <v>803</v>
          </cell>
          <cell r="K15">
            <v>578</v>
          </cell>
          <cell r="L15">
            <v>786</v>
          </cell>
        </row>
        <row r="16">
          <cell r="C16">
            <v>993</v>
          </cell>
          <cell r="D16">
            <v>1668</v>
          </cell>
          <cell r="G16">
            <v>965</v>
          </cell>
          <cell r="H16">
            <v>1672</v>
          </cell>
          <cell r="K16">
            <v>949</v>
          </cell>
          <cell r="L16">
            <v>1656</v>
          </cell>
        </row>
        <row r="17">
          <cell r="C17">
            <v>367</v>
          </cell>
          <cell r="D17">
            <v>1109</v>
          </cell>
          <cell r="G17">
            <v>384</v>
          </cell>
          <cell r="H17">
            <v>1116</v>
          </cell>
          <cell r="K17">
            <v>435</v>
          </cell>
          <cell r="L17">
            <v>1194</v>
          </cell>
        </row>
        <row r="21">
          <cell r="B21" t="str">
            <v>מספר עובדים חיצוניים (שמחזיקים במשרות מקצועיות)</v>
          </cell>
          <cell r="L21" t="str">
            <v>2-7, 2-8</v>
          </cell>
        </row>
        <row r="23">
          <cell r="B23" t="str">
            <v>מספר עובדים חיצוניים שנקלטו</v>
          </cell>
        </row>
        <row r="25">
          <cell r="B25" t="str">
            <v>מספר העובדים במשרה מלאה</v>
          </cell>
        </row>
        <row r="27">
          <cell r="B27" t="str">
            <v>מספר העובדים במשרה חלקית</v>
          </cell>
        </row>
        <row r="29">
          <cell r="B29" t="str">
            <v>סה"כ מספר (מלאה+חלקית)</v>
          </cell>
        </row>
        <row r="31">
          <cell r="B31" t="str">
            <v>מספר עובדים שעליהם חלים הסכמים קיבוציים</v>
          </cell>
        </row>
        <row r="32">
          <cell r="B32" t="str">
            <v>אחוז עובדים שעליהם חלים הסכמים קיבוציים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 /><Relationship Id="rId2" Type="http://schemas.openxmlformats.org/officeDocument/2006/relationships/printerSettings" Target="../printerSettings/printerSettings9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 /><Relationship Id="rId2" Type="http://schemas.openxmlformats.org/officeDocument/2006/relationships/printerSettings" Target="../printerSettings/printerSettings10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 /><Relationship Id="rId2" Type="http://schemas.openxmlformats.org/officeDocument/2006/relationships/printerSettings" Target="../printerSettings/printerSettings11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 /><Relationship Id="rId2" Type="http://schemas.openxmlformats.org/officeDocument/2006/relationships/printerSettings" Target="../printerSettings/printerSettings12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comments" Target="../comments14.xml" /><Relationship Id="rId2" Type="http://schemas.openxmlformats.org/officeDocument/2006/relationships/drawing" Target="../drawings/drawing14.xml" /><Relationship Id="rId3" Type="http://schemas.openxmlformats.org/officeDocument/2006/relationships/vmlDrawing" Target="../drawings/vmlDrawing4.vml" /><Relationship Id="rId4" Type="http://schemas.openxmlformats.org/officeDocument/2006/relationships/printerSettings" Target="../printerSettings/printerSettings13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 /><Relationship Id="rId2" Type="http://schemas.openxmlformats.org/officeDocument/2006/relationships/printerSettings" Target="../printerSettings/printerSettings14.bin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comments" Target="../comments16.xml" /><Relationship Id="rId2" Type="http://schemas.openxmlformats.org/officeDocument/2006/relationships/drawing" Target="../drawings/drawing16.xml" /><Relationship Id="rId3" Type="http://schemas.openxmlformats.org/officeDocument/2006/relationships/vmlDrawing" Target="../drawings/vmlDrawing5.vml" 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 /><Relationship Id="rId2" Type="http://schemas.openxmlformats.org/officeDocument/2006/relationships/printerSettings" Target="../printerSettings/printerSettings15.bin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 /><Relationship Id="rId2" Type="http://schemas.openxmlformats.org/officeDocument/2006/relationships/printerSettings" Target="../printerSettings/printerSettings16.bin" 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9.xml" /><Relationship Id="rId2" Type="http://schemas.openxmlformats.org/officeDocument/2006/relationships/printerSettings" Target="../printerSettings/printerSettings17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hyperlink" Target="https://protect.checkpoint.com/v2/___https://esg.bezeq.co.il/report2023/___.YzJ1OnBhdWxiYWtlcm5vdGlmaWVkY29tOmM6bzoxYWU5ZTI5YTQzZWNjYWI5M2RmZmFhMzZmOWU1ZjAyYTo2OjhjN2U6NmY5ZGU5NDZjY2M0MDgxMjg1YWZjNjBiNGZjMWM3MWE0MjUzNTJiNTA2YzhiNTExMTgwZjNjMWIwNmM3OGMyYTpwOlQ6Tg" TargetMode="External" /><Relationship Id="rId2" Type="http://schemas.openxmlformats.org/officeDocument/2006/relationships/drawing" Target="../drawings/drawing2.xml" /><Relationship Id="rId3" Type="http://schemas.openxmlformats.org/officeDocument/2006/relationships/printerSettings" Target="../printerSettings/printerSettings2.bin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 /><Relationship Id="rId2" Type="http://schemas.openxmlformats.org/officeDocument/2006/relationships/printerSettings" Target="../printerSettings/printerSettings18.bin" 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1.xml" /><Relationship Id="rId2" Type="http://schemas.openxmlformats.org/officeDocument/2006/relationships/printerSettings" Target="../printerSettings/printerSettings19.bin" 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2.xml" /><Relationship Id="rId2" Type="http://schemas.openxmlformats.org/officeDocument/2006/relationships/printerSettings" Target="../printerSettings/printerSettings20.bin" 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3.xml" /><Relationship Id="rId2" Type="http://schemas.openxmlformats.org/officeDocument/2006/relationships/printerSettings" Target="../printerSettings/printerSettings21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Relationship Id="rId2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comments" Target="../comments5.xml" /><Relationship Id="rId2" Type="http://schemas.openxmlformats.org/officeDocument/2006/relationships/drawing" Target="../drawings/drawing5.xml" /><Relationship Id="rId3" Type="http://schemas.openxmlformats.org/officeDocument/2006/relationships/vmlDrawing" Target="../drawings/vmlDrawing1.vml" /><Relationship Id="rId4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comments" Target="../comments6.xml" /><Relationship Id="rId2" Type="http://schemas.openxmlformats.org/officeDocument/2006/relationships/drawing" Target="../drawings/drawing6.xml" /><Relationship Id="rId3" Type="http://schemas.openxmlformats.org/officeDocument/2006/relationships/vmlDrawing" Target="../drawings/vmlDrawing2.vml" /><Relationship Id="rId4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comments" Target="../comments7.xml" /><Relationship Id="rId2" Type="http://schemas.openxmlformats.org/officeDocument/2006/relationships/drawing" Target="../drawings/drawing7.xml" /><Relationship Id="rId3" Type="http://schemas.openxmlformats.org/officeDocument/2006/relationships/vmlDrawing" Target="../drawings/vmlDrawing3.vml" /><Relationship Id="rId4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 /><Relationship Id="rId2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CA36A83-EF70-456C-9D5E-F96FBE6A31D1}">
  <sheetPr>
    <tabColor rgb="FF002060"/>
  </sheetPr>
  <dimension ref="A1"/>
  <sheetViews>
    <sheetView showGridLines="0" rightToLeft="1" zoomScale="85" zoomScaleNormal="85" workbookViewId="0" topLeftCell="A17">
      <selection pane="topLeft" activeCell="V35" sqref="V35"/>
    </sheetView>
  </sheetViews>
  <sheetFormatPr defaultColWidth="9.114285714285714" defaultRowHeight="14.4"/>
  <cols>
    <col min="1" max="6" width="9.142857142857142" style="467" customWidth="1"/>
    <col min="7" max="16384" width="9.142857142857142" style="467"/>
  </cols>
  <sheetData/>
  <pageMargins left="0.7" right="0.7" top="0.75" bottom="0.75" header="0.3" footer="0.3"/>
  <pageSetup orientation="portrait" paperSize="9" r:id="rId2"/>
  <headerFooter scaleWithDoc="0"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09D0833-30FC-46E5-8311-1FDC504E54FC}">
  <sheetPr>
    <tabColor rgb="FF002060"/>
  </sheetPr>
  <dimension ref="A1"/>
  <sheetViews>
    <sheetView showGridLines="0" rightToLeft="1" zoomScale="85" zoomScaleNormal="85" workbookViewId="0" topLeftCell="A1">
      <selection pane="topLeft" activeCell="D26" sqref="D26"/>
    </sheetView>
  </sheetViews>
  <sheetFormatPr defaultColWidth="9.114285714285714" defaultRowHeight="14.4"/>
  <cols>
    <col min="1" max="5" width="9.142857142857142" style="474" customWidth="1"/>
    <col min="6" max="16384" width="9.142857142857142" style="474"/>
  </cols>
  <sheetData/>
  <pageMargins left="0.7" right="0.7" top="0.75" bottom="0.75" header="0.3" footer="0.3"/>
  <pageSetup orientation="portrait" paperSize="9" r:id="rId2"/>
  <headerFooter scaleWithDoc="0"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7D7D0AF-C3B3-4483-839A-6F6B04527898}">
  <dimension ref="A1:U95"/>
  <sheetViews>
    <sheetView showGridLines="0" rightToLeft="1" workbookViewId="0" topLeftCell="A1">
      <selection pane="topLeft" activeCell="Q3" sqref="Q3"/>
    </sheetView>
  </sheetViews>
  <sheetFormatPr defaultColWidth="9.114285714285714" defaultRowHeight="14.4"/>
  <cols>
    <col min="1" max="1" width="3.7142857142857144" customWidth="1"/>
    <col min="2" max="2" width="15.142857142857142" customWidth="1"/>
    <col min="3" max="15" width="10.714285714285714" customWidth="1"/>
    <col min="16" max="16" width="11" customWidth="1"/>
    <col min="17" max="17" width="11.285714285714286" customWidth="1"/>
    <col min="18" max="18" width="12" customWidth="1"/>
    <col min="22" max="22" width="15.285714285714286" customWidth="1"/>
    <col min="23" max="23" width="14.857142857142858" customWidth="1"/>
  </cols>
  <sheetData>
    <row r="1" spans="2:11" ht="15" customHeight="1"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2:11" ht="15" customHeight="1"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2:11" ht="15" customHeight="1"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2:11" ht="15" customHeight="1"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2:19" ht="24" customHeight="1" thickBot="1">
      <c r="B5" s="65" t="s">
        <v>216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</row>
    <row r="6" spans="2:11" ht="15" customHeight="1" thickTop="1"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2:19" ht="24.9" customHeight="1">
      <c r="B7" s="419" t="s">
        <v>215</v>
      </c>
      <c r="C7" s="419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</row>
    <row r="8" spans="1:15" ht="24.9" customHeight="1">
      <c r="A8" s="77"/>
      <c r="B8" s="92" t="s">
        <v>304</v>
      </c>
      <c r="C8" s="92"/>
      <c r="D8" s="92"/>
      <c r="E8" s="92"/>
      <c r="H8" s="77"/>
      <c r="I8" s="77"/>
      <c r="J8" s="77"/>
      <c r="K8" s="77"/>
      <c r="L8" s="77"/>
      <c r="M8" s="77"/>
      <c r="N8" s="77"/>
      <c r="O8" s="77"/>
    </row>
    <row r="9" spans="1:19" ht="30.15" customHeight="1">
      <c r="A9" s="77"/>
      <c r="B9" s="745"/>
      <c r="C9" s="201">
        <v>2020</v>
      </c>
      <c r="D9" s="201">
        <v>2021</v>
      </c>
      <c r="E9" s="201">
        <v>2022</v>
      </c>
      <c r="F9" s="744">
        <v>2023</v>
      </c>
      <c r="G9" s="160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3" t="s">
        <v>5</v>
      </c>
    </row>
    <row r="10" spans="1:19" ht="31.5" customHeight="1">
      <c r="A10" s="77"/>
      <c r="B10" s="187" t="s">
        <v>0</v>
      </c>
      <c r="C10" s="234">
        <v>5408</v>
      </c>
      <c r="D10" s="234">
        <v>5475</v>
      </c>
      <c r="E10" s="234">
        <v>5598</v>
      </c>
      <c r="F10" s="234">
        <v>5432</v>
      </c>
      <c r="G10" s="234"/>
      <c r="H10" s="234"/>
      <c r="I10" s="234"/>
      <c r="J10" s="147"/>
      <c r="K10" s="147"/>
      <c r="L10" s="147"/>
      <c r="M10" s="147"/>
      <c r="N10" s="147"/>
      <c r="O10" s="147"/>
      <c r="P10" s="147"/>
      <c r="Q10" s="147"/>
      <c r="R10" s="147"/>
      <c r="S10" s="807" t="s">
        <v>211</v>
      </c>
    </row>
    <row r="11" spans="1:19" ht="21.15" customHeight="1">
      <c r="A11" s="77"/>
      <c r="B11" s="188" t="s">
        <v>37</v>
      </c>
      <c r="C11" s="235">
        <v>1229</v>
      </c>
      <c r="D11" s="235">
        <v>1094</v>
      </c>
      <c r="E11" s="235">
        <v>1065</v>
      </c>
      <c r="F11" s="235">
        <v>1155</v>
      </c>
      <c r="G11" s="586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832"/>
    </row>
    <row r="12" spans="1:19" ht="21.15" customHeight="1">
      <c r="A12" s="77"/>
      <c r="B12" s="188" t="s">
        <v>2</v>
      </c>
      <c r="C12" s="235">
        <v>1900</v>
      </c>
      <c r="D12" s="235">
        <v>1768</v>
      </c>
      <c r="E12" s="235">
        <v>1704</v>
      </c>
      <c r="F12" s="235">
        <v>1684</v>
      </c>
      <c r="G12" s="586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832"/>
    </row>
    <row r="13" spans="1:19" ht="21.15" customHeight="1">
      <c r="A13" s="77"/>
      <c r="B13" s="188" t="s">
        <v>3</v>
      </c>
      <c r="C13" s="235">
        <v>1311</v>
      </c>
      <c r="D13" s="235">
        <v>1121</v>
      </c>
      <c r="E13" s="235">
        <v>950</v>
      </c>
      <c r="F13" s="235">
        <v>703</v>
      </c>
      <c r="G13" s="586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832"/>
    </row>
    <row r="14" spans="1:19" ht="21.15" customHeight="1">
      <c r="A14" s="77"/>
      <c r="B14" s="31" t="s">
        <v>8</v>
      </c>
      <c r="C14" s="596">
        <f t="shared" si="0" ref="C14">SUM(C10:C13)</f>
        <v>9848</v>
      </c>
      <c r="D14" s="596">
        <f>SUM(D10:D13)</f>
        <v>9458</v>
      </c>
      <c r="E14" s="596">
        <f>SUM(E10:E13)</f>
        <v>9317</v>
      </c>
      <c r="F14" s="596">
        <f>SUM(F10:F13)</f>
        <v>8974</v>
      </c>
      <c r="G14" s="587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833"/>
    </row>
    <row r="15" spans="1:15" ht="21.15" customHeight="1">
      <c r="A15" s="77"/>
      <c r="B15" s="93"/>
      <c r="C15" s="111"/>
      <c r="D15" s="111"/>
      <c r="E15" s="111"/>
      <c r="F15" s="111"/>
      <c r="G15" s="112"/>
      <c r="H15" s="77"/>
      <c r="I15" s="77"/>
      <c r="J15" s="77"/>
      <c r="K15" s="77"/>
      <c r="L15" s="77"/>
      <c r="M15" s="77"/>
      <c r="N15" s="77"/>
      <c r="O15" s="77"/>
    </row>
    <row r="16" spans="1:15" ht="24.9" customHeight="1">
      <c r="A16" s="77"/>
      <c r="B16" s="92" t="s">
        <v>102</v>
      </c>
      <c r="C16" s="92"/>
      <c r="D16" s="92"/>
      <c r="E16" s="92"/>
      <c r="F16" s="92"/>
      <c r="G16" s="77"/>
      <c r="H16" s="77"/>
      <c r="I16" s="77"/>
      <c r="J16" s="77"/>
      <c r="K16" s="77"/>
      <c r="L16" s="77"/>
      <c r="M16" s="77"/>
      <c r="N16" s="77"/>
      <c r="O16" s="77"/>
    </row>
    <row r="17" spans="1:19" ht="30.15" customHeight="1">
      <c r="A17" s="77"/>
      <c r="B17" s="236"/>
      <c r="C17" s="12">
        <v>2021</v>
      </c>
      <c r="D17" s="831"/>
      <c r="E17" s="831">
        <v>2022</v>
      </c>
      <c r="F17" s="11"/>
      <c r="G17" s="831">
        <v>2023</v>
      </c>
      <c r="H17" s="11"/>
      <c r="I17" s="236"/>
      <c r="J17" s="236"/>
      <c r="K17" s="236"/>
      <c r="L17" s="236"/>
      <c r="M17" s="236"/>
      <c r="N17" s="236"/>
      <c r="O17" s="140"/>
      <c r="P17" s="140"/>
      <c r="Q17" s="140"/>
      <c r="R17" s="140"/>
      <c r="S17" s="233" t="s">
        <v>5</v>
      </c>
    </row>
    <row r="18" spans="1:19" ht="40.65" customHeight="1">
      <c r="A18" s="77"/>
      <c r="B18" s="237"/>
      <c r="C18" s="142" t="s">
        <v>103</v>
      </c>
      <c r="D18" s="157" t="s">
        <v>104</v>
      </c>
      <c r="E18" s="238" t="s">
        <v>103</v>
      </c>
      <c r="F18" s="145" t="s">
        <v>104</v>
      </c>
      <c r="G18" s="238" t="s">
        <v>103</v>
      </c>
      <c r="H18" s="145" t="s">
        <v>104</v>
      </c>
      <c r="I18" s="142"/>
      <c r="J18" s="142"/>
      <c r="K18" s="142"/>
      <c r="L18" s="142"/>
      <c r="M18" s="142"/>
      <c r="N18" s="142"/>
      <c r="O18" s="266"/>
      <c r="P18" s="266"/>
      <c r="Q18" s="266"/>
      <c r="R18" s="266"/>
      <c r="S18" s="791" t="s">
        <v>217</v>
      </c>
    </row>
    <row r="19" spans="1:19" ht="21.15" customHeight="1">
      <c r="A19" s="77"/>
      <c r="B19" s="239" t="s">
        <v>0</v>
      </c>
      <c r="C19" s="240">
        <f>5556*0.92</f>
        <v>5111.52</v>
      </c>
      <c r="D19" s="241">
        <v>0.92</v>
      </c>
      <c r="E19" s="242">
        <f>5610*0.93</f>
        <v>5217.30</v>
      </c>
      <c r="F19" s="243">
        <v>0.93</v>
      </c>
      <c r="G19" s="242">
        <f>5432*0.93</f>
        <v>5051.76</v>
      </c>
      <c r="H19" s="694">
        <v>0.93</v>
      </c>
      <c r="I19" s="181"/>
      <c r="J19" s="181"/>
      <c r="K19" s="181"/>
      <c r="L19" s="181"/>
      <c r="M19" s="181"/>
      <c r="N19" s="244"/>
      <c r="O19" s="273"/>
      <c r="P19" s="273"/>
      <c r="Q19" s="273"/>
      <c r="R19" s="273"/>
      <c r="S19" s="791"/>
    </row>
    <row r="20" spans="1:19" ht="21.15" customHeight="1">
      <c r="A20" s="77"/>
      <c r="B20" s="245" t="s">
        <v>37</v>
      </c>
      <c r="C20" s="150">
        <v>905</v>
      </c>
      <c r="D20" s="246">
        <v>0.795</v>
      </c>
      <c r="E20" s="247">
        <v>882</v>
      </c>
      <c r="F20" s="246">
        <v>0.791</v>
      </c>
      <c r="G20" s="247">
        <v>904</v>
      </c>
      <c r="H20" s="694">
        <v>0.833</v>
      </c>
      <c r="I20" s="184"/>
      <c r="J20" s="184"/>
      <c r="K20" s="184"/>
      <c r="L20" s="184"/>
      <c r="M20" s="184"/>
      <c r="N20" s="248"/>
      <c r="O20" s="273"/>
      <c r="P20" s="273"/>
      <c r="Q20" s="273"/>
      <c r="R20" s="273"/>
      <c r="S20" s="791"/>
    </row>
    <row r="21" spans="1:19" ht="21.15" customHeight="1">
      <c r="A21" s="77"/>
      <c r="B21" s="245" t="s">
        <v>2</v>
      </c>
      <c r="C21" s="249">
        <v>1658</v>
      </c>
      <c r="D21" s="250">
        <v>0.937</v>
      </c>
      <c r="E21" s="251">
        <v>1572</v>
      </c>
      <c r="F21" s="250">
        <v>0.935</v>
      </c>
      <c r="G21" s="251">
        <v>1579</v>
      </c>
      <c r="H21" s="695">
        <v>0.937</v>
      </c>
      <c r="I21" s="184"/>
      <c r="J21" s="184"/>
      <c r="K21" s="184"/>
      <c r="L21" s="184"/>
      <c r="M21" s="184"/>
      <c r="N21" s="248"/>
      <c r="O21" s="273"/>
      <c r="P21" s="273"/>
      <c r="Q21" s="273"/>
      <c r="R21" s="273"/>
      <c r="S21" s="791"/>
    </row>
    <row r="22" spans="1:19" ht="21.15" customHeight="1">
      <c r="A22" s="77"/>
      <c r="B22" s="245" t="s">
        <v>177</v>
      </c>
      <c r="C22" s="249">
        <v>1065</v>
      </c>
      <c r="D22" s="252">
        <v>0.95</v>
      </c>
      <c r="E22" s="247">
        <v>893</v>
      </c>
      <c r="F22" s="253">
        <v>0.94</v>
      </c>
      <c r="G22" s="251">
        <v>663</v>
      </c>
      <c r="H22" s="695">
        <v>0.94</v>
      </c>
      <c r="I22" s="184"/>
      <c r="J22" s="184"/>
      <c r="K22" s="184"/>
      <c r="L22" s="184"/>
      <c r="M22" s="184"/>
      <c r="N22" s="248"/>
      <c r="O22" s="273"/>
      <c r="P22" s="273"/>
      <c r="Q22" s="273"/>
      <c r="R22" s="273"/>
      <c r="S22" s="791"/>
    </row>
    <row r="23" spans="1:19" ht="21.15" customHeight="1">
      <c r="A23" s="77"/>
      <c r="B23" s="254" t="s">
        <v>105</v>
      </c>
      <c r="C23" s="839">
        <f>C19+C20+C21+C22</f>
        <v>8739.52</v>
      </c>
      <c r="D23" s="840"/>
      <c r="E23" s="840">
        <f>SUM(E19:E22)</f>
        <v>8564.3</v>
      </c>
      <c r="F23" s="837"/>
      <c r="G23" s="837">
        <f>SUM(G19:G22)</f>
        <v>8197.76</v>
      </c>
      <c r="H23" s="838"/>
      <c r="I23" s="186"/>
      <c r="J23" s="186"/>
      <c r="K23" s="186"/>
      <c r="L23" s="186"/>
      <c r="M23" s="186"/>
      <c r="N23" s="255"/>
      <c r="S23" s="807"/>
    </row>
    <row r="24" spans="1:15" ht="21.15" customHeight="1">
      <c r="A24" s="77"/>
      <c r="B24" s="113"/>
      <c r="C24" s="114"/>
      <c r="D24" s="114"/>
      <c r="E24" s="114"/>
      <c r="F24" s="114"/>
      <c r="G24" s="112"/>
      <c r="H24" s="623"/>
      <c r="I24" s="77"/>
      <c r="J24" s="77"/>
      <c r="K24" s="77"/>
      <c r="L24" s="77"/>
      <c r="M24" s="77"/>
      <c r="N24" s="77"/>
      <c r="O24" s="77"/>
    </row>
    <row r="25" spans="1:15" ht="24.9" customHeight="1">
      <c r="A25" s="77"/>
      <c r="B25" s="92" t="s">
        <v>352</v>
      </c>
      <c r="C25" s="92"/>
      <c r="D25" s="92"/>
      <c r="E25" s="92"/>
      <c r="F25" s="92"/>
      <c r="G25" s="92"/>
      <c r="H25" s="92"/>
      <c r="I25" s="92"/>
      <c r="J25" s="92"/>
      <c r="K25" s="92"/>
      <c r="L25" s="77"/>
      <c r="M25" s="77"/>
      <c r="N25" s="77"/>
      <c r="O25" s="77"/>
    </row>
    <row r="26" spans="1:19" ht="21.15" customHeight="1">
      <c r="A26" s="77"/>
      <c r="B26" s="256"/>
      <c r="C26" s="834" t="s">
        <v>0</v>
      </c>
      <c r="D26" s="835"/>
      <c r="E26" s="835" t="s">
        <v>37</v>
      </c>
      <c r="F26" s="835"/>
      <c r="G26" s="835" t="s">
        <v>2</v>
      </c>
      <c r="H26" s="835"/>
      <c r="I26" s="835" t="s">
        <v>38</v>
      </c>
      <c r="J26" s="836"/>
      <c r="K26" s="257"/>
      <c r="L26" s="257"/>
      <c r="M26" s="257"/>
      <c r="N26" s="257"/>
      <c r="O26" s="140"/>
      <c r="P26" s="140"/>
      <c r="Q26" s="140"/>
      <c r="R26" s="140"/>
      <c r="S26" s="841" t="s">
        <v>5</v>
      </c>
    </row>
    <row r="27" spans="1:19" ht="21.15" customHeight="1">
      <c r="A27" s="77"/>
      <c r="B27" s="258"/>
      <c r="C27" s="258" t="s">
        <v>6</v>
      </c>
      <c r="D27" s="259" t="s">
        <v>7</v>
      </c>
      <c r="E27" s="260" t="s">
        <v>6</v>
      </c>
      <c r="F27" s="259" t="s">
        <v>7</v>
      </c>
      <c r="G27" s="260" t="s">
        <v>6</v>
      </c>
      <c r="H27" s="259" t="s">
        <v>7</v>
      </c>
      <c r="I27" s="260" t="s">
        <v>6</v>
      </c>
      <c r="J27" s="258" t="s">
        <v>7</v>
      </c>
      <c r="K27" s="261"/>
      <c r="L27" s="261"/>
      <c r="M27" s="261"/>
      <c r="N27" s="261"/>
      <c r="O27" s="266"/>
      <c r="P27" s="266"/>
      <c r="Q27" s="266"/>
      <c r="R27" s="266"/>
      <c r="S27" s="842"/>
    </row>
    <row r="28" spans="1:19" ht="27.6">
      <c r="A28" s="77"/>
      <c r="B28" s="262" t="s">
        <v>45</v>
      </c>
      <c r="C28" s="263">
        <v>136</v>
      </c>
      <c r="D28" s="264">
        <v>4</v>
      </c>
      <c r="E28" s="577">
        <v>44</v>
      </c>
      <c r="F28" s="578">
        <v>3</v>
      </c>
      <c r="G28" s="577">
        <v>89</v>
      </c>
      <c r="H28" s="578">
        <v>2</v>
      </c>
      <c r="I28" s="577">
        <v>20</v>
      </c>
      <c r="J28" s="582"/>
      <c r="K28" s="149"/>
      <c r="L28" s="149"/>
      <c r="M28" s="149"/>
      <c r="N28" s="149"/>
      <c r="O28" s="273"/>
      <c r="P28" s="273"/>
      <c r="Q28" s="273"/>
      <c r="R28" s="273"/>
      <c r="S28" s="807" t="s">
        <v>46</v>
      </c>
    </row>
    <row r="29" spans="1:19" ht="27.6">
      <c r="A29" s="77"/>
      <c r="B29" s="262" t="s">
        <v>47</v>
      </c>
      <c r="C29" s="263">
        <v>79</v>
      </c>
      <c r="D29" s="264">
        <v>5</v>
      </c>
      <c r="E29" s="577">
        <v>37</v>
      </c>
      <c r="F29" s="578">
        <v>1</v>
      </c>
      <c r="G29" s="577">
        <v>37</v>
      </c>
      <c r="H29" s="578">
        <v>2</v>
      </c>
      <c r="I29" s="577">
        <v>13</v>
      </c>
      <c r="J29" s="582"/>
      <c r="K29" s="149"/>
      <c r="L29" s="149"/>
      <c r="M29" s="149"/>
      <c r="N29" s="149"/>
      <c r="O29" s="273"/>
      <c r="P29" s="273"/>
      <c r="Q29" s="273"/>
      <c r="R29" s="273"/>
      <c r="S29" s="832"/>
    </row>
    <row r="30" spans="1:19" ht="41.4">
      <c r="A30" s="77"/>
      <c r="B30" s="265" t="s">
        <v>118</v>
      </c>
      <c r="C30" s="606">
        <v>58</v>
      </c>
      <c r="D30" s="607" t="s">
        <v>384</v>
      </c>
      <c r="E30" s="579">
        <v>15</v>
      </c>
      <c r="F30" s="580">
        <v>1</v>
      </c>
      <c r="G30" s="579">
        <v>30</v>
      </c>
      <c r="H30" s="581">
        <v>1</v>
      </c>
      <c r="I30" s="583">
        <v>14</v>
      </c>
      <c r="J30" s="584"/>
      <c r="K30" s="152"/>
      <c r="L30" s="152"/>
      <c r="M30" s="152"/>
      <c r="N30" s="152"/>
      <c r="S30" s="832"/>
    </row>
    <row r="31" spans="1:14" ht="21.15" customHeight="1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</row>
    <row r="32" spans="1:19" ht="24.9" customHeight="1">
      <c r="A32" s="77"/>
      <c r="B32" s="419" t="s">
        <v>212</v>
      </c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</row>
    <row r="33" spans="1:15" ht="24.9" customHeight="1">
      <c r="A33" s="77"/>
      <c r="B33" s="92" t="s">
        <v>152</v>
      </c>
      <c r="C33" s="92"/>
      <c r="D33" s="92"/>
      <c r="E33" s="92"/>
      <c r="F33" s="92"/>
      <c r="G33" s="92"/>
      <c r="H33" s="92"/>
      <c r="I33" s="92"/>
      <c r="J33" s="92"/>
      <c r="K33" s="92"/>
      <c r="M33" s="77"/>
      <c r="N33" s="77"/>
      <c r="O33" s="77"/>
    </row>
    <row r="34" spans="1:19" s="125" customFormat="1" ht="30.15" customHeight="1">
      <c r="A34" s="124"/>
      <c r="B34" s="33"/>
      <c r="C34" s="790">
        <v>2020</v>
      </c>
      <c r="D34" s="790"/>
      <c r="E34" s="811"/>
      <c r="F34" s="830">
        <v>2021</v>
      </c>
      <c r="G34" s="790"/>
      <c r="H34" s="811"/>
      <c r="I34" s="790">
        <v>2022</v>
      </c>
      <c r="J34" s="790"/>
      <c r="K34" s="790"/>
      <c r="L34" s="790">
        <v>2023</v>
      </c>
      <c r="M34" s="790"/>
      <c r="N34" s="790"/>
      <c r="O34" s="140"/>
      <c r="P34" s="140"/>
      <c r="Q34" s="140"/>
      <c r="R34" s="140"/>
      <c r="S34" s="69" t="s">
        <v>5</v>
      </c>
    </row>
    <row r="35" spans="1:19" ht="21.15" customHeight="1">
      <c r="A35" s="77"/>
      <c r="B35" s="266"/>
      <c r="C35" s="266" t="s">
        <v>6</v>
      </c>
      <c r="D35" s="266" t="s">
        <v>7</v>
      </c>
      <c r="E35" s="267" t="s">
        <v>8</v>
      </c>
      <c r="F35" s="266" t="s">
        <v>6</v>
      </c>
      <c r="G35" s="266" t="s">
        <v>7</v>
      </c>
      <c r="H35" s="267" t="s">
        <v>8</v>
      </c>
      <c r="I35" s="266" t="s">
        <v>6</v>
      </c>
      <c r="J35" s="266" t="s">
        <v>7</v>
      </c>
      <c r="K35" s="266" t="s">
        <v>8</v>
      </c>
      <c r="L35" s="266" t="s">
        <v>6</v>
      </c>
      <c r="M35" s="266" t="s">
        <v>7</v>
      </c>
      <c r="N35" s="266" t="s">
        <v>8</v>
      </c>
      <c r="O35" s="266"/>
      <c r="P35" s="266"/>
      <c r="Q35" s="266"/>
      <c r="R35" s="266"/>
      <c r="S35" s="791" t="s">
        <v>9</v>
      </c>
    </row>
    <row r="36" spans="1:19" ht="21.15" customHeight="1">
      <c r="A36" s="77"/>
      <c r="B36" s="269" t="s">
        <v>10</v>
      </c>
      <c r="C36" s="270">
        <v>282</v>
      </c>
      <c r="D36" s="270">
        <v>566</v>
      </c>
      <c r="E36" s="271">
        <v>848</v>
      </c>
      <c r="F36" s="272">
        <v>291</v>
      </c>
      <c r="G36" s="272">
        <v>591</v>
      </c>
      <c r="H36" s="271">
        <v>882</v>
      </c>
      <c r="I36" s="272">
        <v>299</v>
      </c>
      <c r="J36" s="272">
        <v>578</v>
      </c>
      <c r="K36" s="273">
        <v>877</v>
      </c>
      <c r="L36" s="556">
        <v>353</v>
      </c>
      <c r="M36" s="556">
        <v>605</v>
      </c>
      <c r="N36" s="273">
        <f>SUM(L36:M36)</f>
        <v>958</v>
      </c>
      <c r="O36" s="273"/>
      <c r="P36" s="273"/>
      <c r="Q36" s="273"/>
      <c r="R36" s="273"/>
      <c r="S36" s="791"/>
    </row>
    <row r="37" spans="1:19" ht="21.15" customHeight="1">
      <c r="A37" s="77"/>
      <c r="B37" s="274" t="s">
        <v>11</v>
      </c>
      <c r="C37" s="275">
        <v>1642</v>
      </c>
      <c r="D37" s="275">
        <v>2918</v>
      </c>
      <c r="E37" s="276">
        <v>4560</v>
      </c>
      <c r="F37" s="277">
        <v>1593</v>
      </c>
      <c r="G37" s="277">
        <v>3000</v>
      </c>
      <c r="H37" s="276">
        <v>4593</v>
      </c>
      <c r="I37" s="277">
        <v>1663</v>
      </c>
      <c r="J37" s="277">
        <v>3058</v>
      </c>
      <c r="K37" s="278">
        <v>4721</v>
      </c>
      <c r="L37" s="557">
        <v>3001</v>
      </c>
      <c r="M37" s="557">
        <v>1473</v>
      </c>
      <c r="N37" s="273">
        <f t="shared" si="1" ref="N37:N39">SUM(L37:M37)</f>
        <v>4474</v>
      </c>
      <c r="O37" s="273"/>
      <c r="P37" s="273"/>
      <c r="Q37" s="273"/>
      <c r="R37" s="273"/>
      <c r="S37" s="791"/>
    </row>
    <row r="38" spans="1:19" ht="21.15" customHeight="1">
      <c r="A38" s="77"/>
      <c r="B38" s="274" t="s">
        <v>238</v>
      </c>
      <c r="C38" s="275">
        <v>1924</v>
      </c>
      <c r="D38" s="275">
        <v>3484</v>
      </c>
      <c r="E38" s="276">
        <v>5408</v>
      </c>
      <c r="F38" s="277">
        <v>1884</v>
      </c>
      <c r="G38" s="277">
        <v>3591</v>
      </c>
      <c r="H38" s="276">
        <v>5475</v>
      </c>
      <c r="I38" s="277">
        <v>1962</v>
      </c>
      <c r="J38" s="277">
        <v>3636</v>
      </c>
      <c r="K38" s="278">
        <v>5598</v>
      </c>
      <c r="L38" s="557">
        <v>3606</v>
      </c>
      <c r="M38" s="557">
        <v>1826</v>
      </c>
      <c r="N38" s="273">
        <f t="shared" si="1"/>
        <v>5432</v>
      </c>
      <c r="O38" s="273"/>
      <c r="P38" s="273"/>
      <c r="Q38" s="273"/>
      <c r="R38" s="273"/>
      <c r="S38" s="791"/>
    </row>
    <row r="39" spans="1:19" ht="21.15" customHeight="1">
      <c r="A39" s="77"/>
      <c r="B39" s="279" t="s">
        <v>8</v>
      </c>
      <c r="C39" s="280">
        <v>1924</v>
      </c>
      <c r="D39" s="280">
        <v>3484</v>
      </c>
      <c r="E39" s="281">
        <v>5408</v>
      </c>
      <c r="F39" s="280">
        <v>1884</v>
      </c>
      <c r="G39" s="280">
        <v>3591</v>
      </c>
      <c r="H39" s="281">
        <v>5475</v>
      </c>
      <c r="I39" s="280">
        <v>1962</v>
      </c>
      <c r="J39" s="280">
        <v>3636</v>
      </c>
      <c r="K39" s="280">
        <v>5598</v>
      </c>
      <c r="L39" s="557">
        <v>3606</v>
      </c>
      <c r="M39" s="558">
        <v>1826</v>
      </c>
      <c r="N39" s="273">
        <f t="shared" si="1"/>
        <v>5432</v>
      </c>
      <c r="O39" s="273"/>
      <c r="P39" s="273"/>
      <c r="Q39" s="273"/>
      <c r="R39" s="273"/>
      <c r="S39" s="807"/>
    </row>
    <row r="40" spans="1:15" ht="14.4">
      <c r="A40" s="77"/>
      <c r="B40" s="118"/>
      <c r="C40" s="119"/>
      <c r="D40" s="119"/>
      <c r="E40" s="119"/>
      <c r="F40" s="119"/>
      <c r="G40" s="119"/>
      <c r="H40" s="119"/>
      <c r="I40" s="119"/>
      <c r="J40" s="119"/>
      <c r="K40" s="119"/>
      <c r="L40" s="117"/>
      <c r="M40" s="77"/>
      <c r="N40" s="77"/>
      <c r="O40" s="117"/>
    </row>
    <row r="41" spans="1:14" ht="24.9" customHeight="1">
      <c r="A41" s="77"/>
      <c r="B41" s="92" t="s">
        <v>153</v>
      </c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</row>
    <row r="42" spans="1:19" ht="30.15" customHeight="1">
      <c r="A42" s="77"/>
      <c r="B42" s="33"/>
      <c r="C42" s="790">
        <v>2020</v>
      </c>
      <c r="D42" s="790"/>
      <c r="E42" s="790"/>
      <c r="F42" s="811"/>
      <c r="G42" s="830">
        <v>2021</v>
      </c>
      <c r="H42" s="790"/>
      <c r="I42" s="790"/>
      <c r="J42" s="811"/>
      <c r="K42" s="830">
        <v>2022</v>
      </c>
      <c r="L42" s="790"/>
      <c r="M42" s="790"/>
      <c r="N42" s="790"/>
      <c r="O42" s="830">
        <v>2023</v>
      </c>
      <c r="P42" s="790"/>
      <c r="Q42" s="790"/>
      <c r="R42" s="790"/>
      <c r="S42" s="69" t="s">
        <v>5</v>
      </c>
    </row>
    <row r="43" spans="1:19" ht="21.15" customHeight="1">
      <c r="A43" s="77"/>
      <c r="B43" s="266"/>
      <c r="C43" s="266" t="s">
        <v>6</v>
      </c>
      <c r="D43" s="266" t="s">
        <v>7</v>
      </c>
      <c r="E43" s="266" t="s">
        <v>8</v>
      </c>
      <c r="F43" s="267" t="s">
        <v>13</v>
      </c>
      <c r="G43" s="266" t="s">
        <v>6</v>
      </c>
      <c r="H43" s="266" t="s">
        <v>7</v>
      </c>
      <c r="I43" s="266" t="s">
        <v>8</v>
      </c>
      <c r="J43" s="267" t="s">
        <v>13</v>
      </c>
      <c r="K43" s="266" t="s">
        <v>6</v>
      </c>
      <c r="L43" s="266" t="s">
        <v>7</v>
      </c>
      <c r="M43" s="266" t="s">
        <v>8</v>
      </c>
      <c r="N43" s="266" t="s">
        <v>13</v>
      </c>
      <c r="O43" s="266" t="s">
        <v>6</v>
      </c>
      <c r="P43" s="266" t="s">
        <v>7</v>
      </c>
      <c r="Q43" s="266" t="s">
        <v>8</v>
      </c>
      <c r="R43" s="266" t="s">
        <v>13</v>
      </c>
      <c r="S43" s="791" t="s">
        <v>9</v>
      </c>
    </row>
    <row r="44" spans="1:19" ht="21.15" customHeight="1">
      <c r="A44" s="77"/>
      <c r="B44" s="269" t="s">
        <v>15</v>
      </c>
      <c r="C44" s="282">
        <f>'[1]כוח אדם'!C15</f>
        <v>564</v>
      </c>
      <c r="D44" s="282">
        <f>'[1]כוח אדם'!D15</f>
        <v>707</v>
      </c>
      <c r="E44" s="273">
        <f>D44+C44</f>
        <v>1271</v>
      </c>
      <c r="F44" s="815">
        <v>41.40</v>
      </c>
      <c r="G44" s="272">
        <f>'[1]כוח אדם'!G15</f>
        <v>535</v>
      </c>
      <c r="H44" s="272">
        <f>'[1]כוח אדם'!H15</f>
        <v>803</v>
      </c>
      <c r="I44" s="273">
        <f>H44+G44</f>
        <v>1338</v>
      </c>
      <c r="J44" s="815">
        <v>41.30</v>
      </c>
      <c r="K44" s="272">
        <f>'[1]כוח אדם'!K15</f>
        <v>578</v>
      </c>
      <c r="L44" s="272">
        <f>'[1]כוח אדם'!L15</f>
        <v>786</v>
      </c>
      <c r="M44" s="273">
        <f>L44+K44</f>
        <v>1364</v>
      </c>
      <c r="N44" s="818">
        <v>41.90</v>
      </c>
      <c r="O44" s="559">
        <v>498</v>
      </c>
      <c r="P44" s="559">
        <v>773</v>
      </c>
      <c r="Q44" s="273">
        <f>P44+O44</f>
        <v>1271</v>
      </c>
      <c r="R44" s="812">
        <v>42.60</v>
      </c>
      <c r="S44" s="791"/>
    </row>
    <row r="45" spans="1:19" ht="21.15" customHeight="1">
      <c r="A45" s="77"/>
      <c r="B45" s="245" t="s">
        <v>16</v>
      </c>
      <c r="C45" s="283">
        <f>'[1]כוח אדם'!C16</f>
        <v>993</v>
      </c>
      <c r="D45" s="283">
        <f>'[1]כוח אדם'!D16</f>
        <v>1668</v>
      </c>
      <c r="E45" s="278">
        <f>D45+C45</f>
        <v>2661</v>
      </c>
      <c r="F45" s="816"/>
      <c r="G45" s="277">
        <f>'[1]כוח אדם'!G16</f>
        <v>965</v>
      </c>
      <c r="H45" s="277">
        <f>'[1]כוח אדם'!H16</f>
        <v>1672</v>
      </c>
      <c r="I45" s="278">
        <f>H45+G45</f>
        <v>2637</v>
      </c>
      <c r="J45" s="816"/>
      <c r="K45" s="277">
        <f>'[1]כוח אדם'!K16</f>
        <v>949</v>
      </c>
      <c r="L45" s="277">
        <f>'[1]כוח אדם'!L16</f>
        <v>1656</v>
      </c>
      <c r="M45" s="278">
        <f>L45+K45</f>
        <v>2605</v>
      </c>
      <c r="N45" s="819"/>
      <c r="O45" s="559">
        <v>906</v>
      </c>
      <c r="P45" s="559">
        <v>1650</v>
      </c>
      <c r="Q45" s="278">
        <f>P45+O45</f>
        <v>2556</v>
      </c>
      <c r="R45" s="813"/>
      <c r="S45" s="791"/>
    </row>
    <row r="46" spans="1:19" ht="21.15" customHeight="1">
      <c r="A46" s="77"/>
      <c r="B46" s="274" t="s">
        <v>17</v>
      </c>
      <c r="C46" s="283">
        <f>'[1]כוח אדם'!C17</f>
        <v>367</v>
      </c>
      <c r="D46" s="283">
        <f>'[1]כוח אדם'!D17</f>
        <v>1109</v>
      </c>
      <c r="E46" s="283">
        <f>C46+D46</f>
        <v>1476</v>
      </c>
      <c r="F46" s="816"/>
      <c r="G46" s="277">
        <f>'[1]כוח אדם'!G17</f>
        <v>384</v>
      </c>
      <c r="H46" s="277">
        <f>'[1]כוח אדם'!H17</f>
        <v>1116</v>
      </c>
      <c r="I46" s="283">
        <f>G46+H46</f>
        <v>1500</v>
      </c>
      <c r="J46" s="816"/>
      <c r="K46" s="277">
        <f>'[1]כוח אדם'!K17</f>
        <v>435</v>
      </c>
      <c r="L46" s="277">
        <f>'[1]כוח אדם'!L17</f>
        <v>1194</v>
      </c>
      <c r="M46" s="283">
        <f>K46+L46</f>
        <v>1629</v>
      </c>
      <c r="N46" s="819"/>
      <c r="O46" s="559">
        <v>422</v>
      </c>
      <c r="P46" s="559">
        <v>1183</v>
      </c>
      <c r="Q46" s="283">
        <f>O46+P46</f>
        <v>1605</v>
      </c>
      <c r="R46" s="813"/>
      <c r="S46" s="791"/>
    </row>
    <row r="47" spans="1:19" ht="21.15" customHeight="1">
      <c r="A47" s="77"/>
      <c r="B47" s="279" t="s">
        <v>8</v>
      </c>
      <c r="C47" s="280">
        <f>C44+C45+C46</f>
        <v>1924</v>
      </c>
      <c r="D47" s="280">
        <f>D44+D45+D46</f>
        <v>3484</v>
      </c>
      <c r="E47" s="280">
        <f>E44+E45+E46</f>
        <v>5408</v>
      </c>
      <c r="F47" s="817"/>
      <c r="G47" s="280">
        <f>G44+G45+G46</f>
        <v>1884</v>
      </c>
      <c r="H47" s="280">
        <f>H44+H45+H46</f>
        <v>3591</v>
      </c>
      <c r="I47" s="280">
        <f>I44+I45+I46</f>
        <v>5475</v>
      </c>
      <c r="J47" s="817"/>
      <c r="K47" s="280">
        <f>K44+K45+K46</f>
        <v>1962</v>
      </c>
      <c r="L47" s="280">
        <f>L44+L45+L46</f>
        <v>3636</v>
      </c>
      <c r="M47" s="280">
        <f>L47+K47</f>
        <v>5598</v>
      </c>
      <c r="N47" s="820"/>
      <c r="O47" s="559">
        <f>SUM(O44:O46)</f>
        <v>1826</v>
      </c>
      <c r="P47" s="559">
        <f>SUM(P44:P46)</f>
        <v>3606</v>
      </c>
      <c r="Q47" s="280">
        <f>P47+O47</f>
        <v>5432</v>
      </c>
      <c r="R47" s="814"/>
      <c r="S47" s="807"/>
    </row>
    <row r="48" spans="1:15" ht="21.15" customHeight="1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</row>
    <row r="49" spans="1:19" ht="24.9" customHeight="1">
      <c r="A49" s="77"/>
      <c r="B49" s="419" t="s">
        <v>213</v>
      </c>
      <c r="C49" s="419"/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</row>
    <row r="50" spans="1:15" ht="24.9" customHeight="1">
      <c r="A50" s="77"/>
      <c r="B50" s="92" t="s">
        <v>150</v>
      </c>
      <c r="C50" s="92"/>
      <c r="D50" s="92"/>
      <c r="E50" s="92"/>
      <c r="F50" s="92"/>
      <c r="G50" s="92"/>
      <c r="H50" s="92"/>
      <c r="I50" s="92"/>
      <c r="J50" s="92"/>
      <c r="K50" s="92"/>
      <c r="N50" s="77"/>
      <c r="O50" s="77"/>
    </row>
    <row r="51" spans="1:19" ht="30.15" customHeight="1">
      <c r="A51" s="77"/>
      <c r="B51" s="284"/>
      <c r="C51" s="790">
        <v>2020</v>
      </c>
      <c r="D51" s="790"/>
      <c r="E51" s="811"/>
      <c r="F51" s="790">
        <v>2021</v>
      </c>
      <c r="G51" s="790"/>
      <c r="H51" s="811"/>
      <c r="I51" s="790">
        <v>2022</v>
      </c>
      <c r="J51" s="790"/>
      <c r="K51" s="811"/>
      <c r="L51" s="790">
        <v>2023</v>
      </c>
      <c r="M51" s="790"/>
      <c r="N51" s="811"/>
      <c r="O51" s="143" t="s">
        <v>4</v>
      </c>
      <c r="P51" s="143"/>
      <c r="Q51" s="143"/>
      <c r="R51" s="143"/>
      <c r="S51" s="69" t="s">
        <v>5</v>
      </c>
    </row>
    <row r="52" spans="1:19" ht="21.15" customHeight="1">
      <c r="A52" s="77"/>
      <c r="B52" s="285"/>
      <c r="C52" s="286" t="s">
        <v>6</v>
      </c>
      <c r="D52" s="286" t="s">
        <v>7</v>
      </c>
      <c r="E52" s="287" t="s">
        <v>8</v>
      </c>
      <c r="F52" s="286" t="s">
        <v>6</v>
      </c>
      <c r="G52" s="286" t="s">
        <v>7</v>
      </c>
      <c r="H52" s="287" t="s">
        <v>8</v>
      </c>
      <c r="I52" s="286" t="s">
        <v>6</v>
      </c>
      <c r="J52" s="286" t="s">
        <v>7</v>
      </c>
      <c r="K52" s="287" t="s">
        <v>8</v>
      </c>
      <c r="L52" s="286" t="s">
        <v>6</v>
      </c>
      <c r="M52" s="286" t="s">
        <v>7</v>
      </c>
      <c r="N52" s="287" t="s">
        <v>8</v>
      </c>
      <c r="O52" s="288"/>
      <c r="P52" s="289"/>
      <c r="Q52" s="289"/>
      <c r="R52" s="289"/>
      <c r="S52" s="791" t="s">
        <v>9</v>
      </c>
    </row>
    <row r="53" spans="1:19" ht="21.15" customHeight="1">
      <c r="A53" s="77"/>
      <c r="B53" s="269" t="s">
        <v>10</v>
      </c>
      <c r="C53" s="272">
        <v>90</v>
      </c>
      <c r="D53" s="272">
        <v>93</v>
      </c>
      <c r="E53" s="271">
        <f>D53+C53</f>
        <v>183</v>
      </c>
      <c r="F53" s="272">
        <v>81</v>
      </c>
      <c r="G53" s="272">
        <v>93</v>
      </c>
      <c r="H53" s="271">
        <f>G53+F53</f>
        <v>174</v>
      </c>
      <c r="I53" s="272">
        <v>78</v>
      </c>
      <c r="J53" s="272">
        <v>89</v>
      </c>
      <c r="K53" s="271">
        <f>J53+I53</f>
        <v>167</v>
      </c>
      <c r="L53" s="272">
        <v>78</v>
      </c>
      <c r="M53" s="272">
        <v>91</v>
      </c>
      <c r="N53" s="271">
        <v>169</v>
      </c>
      <c r="O53" s="808" t="s">
        <v>12</v>
      </c>
      <c r="P53" s="162"/>
      <c r="Q53" s="162"/>
      <c r="R53" s="162"/>
      <c r="S53" s="791"/>
    </row>
    <row r="54" spans="1:19" ht="21.15" customHeight="1">
      <c r="A54" s="77"/>
      <c r="B54" s="274" t="s">
        <v>11</v>
      </c>
      <c r="C54" s="277">
        <v>546</v>
      </c>
      <c r="D54" s="277">
        <v>561</v>
      </c>
      <c r="E54" s="276">
        <f>D54+C54</f>
        <v>1107</v>
      </c>
      <c r="F54" s="277">
        <v>474</v>
      </c>
      <c r="G54" s="277">
        <v>490</v>
      </c>
      <c r="H54" s="276">
        <f>G54+F54</f>
        <v>964</v>
      </c>
      <c r="I54" s="277">
        <v>448</v>
      </c>
      <c r="J54" s="277">
        <v>500</v>
      </c>
      <c r="K54" s="276">
        <f>J54+I54</f>
        <v>948</v>
      </c>
      <c r="L54" s="277">
        <v>455</v>
      </c>
      <c r="M54" s="277">
        <v>531</v>
      </c>
      <c r="N54" s="276">
        <v>986</v>
      </c>
      <c r="O54" s="809"/>
      <c r="P54" s="162"/>
      <c r="Q54" s="162"/>
      <c r="R54" s="162"/>
      <c r="S54" s="791"/>
    </row>
    <row r="55" spans="1:19" ht="21.15" customHeight="1">
      <c r="A55" s="77"/>
      <c r="B55" s="279" t="s">
        <v>8</v>
      </c>
      <c r="C55" s="280">
        <f t="shared" si="2" ref="C55:K55">C53+C54</f>
        <v>636</v>
      </c>
      <c r="D55" s="280">
        <f t="shared" si="2"/>
        <v>654</v>
      </c>
      <c r="E55" s="281">
        <f t="shared" si="2"/>
        <v>1290</v>
      </c>
      <c r="F55" s="280">
        <f t="shared" si="2"/>
        <v>555</v>
      </c>
      <c r="G55" s="280">
        <f t="shared" si="2"/>
        <v>583</v>
      </c>
      <c r="H55" s="281">
        <f t="shared" si="2"/>
        <v>1138</v>
      </c>
      <c r="I55" s="280">
        <f t="shared" si="2"/>
        <v>526</v>
      </c>
      <c r="J55" s="280">
        <f t="shared" si="2"/>
        <v>589</v>
      </c>
      <c r="K55" s="281">
        <f t="shared" si="2"/>
        <v>1115</v>
      </c>
      <c r="L55" s="280">
        <v>533</v>
      </c>
      <c r="M55" s="280">
        <v>622</v>
      </c>
      <c r="N55" s="281">
        <v>1155</v>
      </c>
      <c r="O55" s="810"/>
      <c r="P55" s="162"/>
      <c r="Q55" s="162"/>
      <c r="R55" s="162"/>
      <c r="S55" s="791"/>
    </row>
    <row r="56" spans="1:15" ht="21.15" customHeight="1">
      <c r="A56" s="77"/>
      <c r="B56" s="120"/>
      <c r="C56" s="126"/>
      <c r="D56" s="126"/>
      <c r="E56" s="126"/>
      <c r="F56" s="126"/>
      <c r="G56" s="126"/>
      <c r="H56" s="126"/>
      <c r="I56" s="126"/>
      <c r="J56" s="126"/>
      <c r="K56" s="126"/>
      <c r="L56" s="85"/>
      <c r="M56" s="85"/>
      <c r="N56" s="84"/>
      <c r="O56" s="84"/>
    </row>
    <row r="57" spans="1:14" s="128" customFormat="1" ht="24.9" customHeight="1">
      <c r="A57" s="83"/>
      <c r="B57" s="92" t="s">
        <v>154</v>
      </c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</row>
    <row r="58" spans="1:19" s="128" customFormat="1" ht="30.15" customHeight="1">
      <c r="A58" s="83"/>
      <c r="B58" s="33"/>
      <c r="C58" s="790">
        <v>2020</v>
      </c>
      <c r="D58" s="790"/>
      <c r="E58" s="790"/>
      <c r="F58" s="811"/>
      <c r="G58" s="790">
        <v>2021</v>
      </c>
      <c r="H58" s="790"/>
      <c r="I58" s="790"/>
      <c r="J58" s="811"/>
      <c r="K58" s="790">
        <v>2022</v>
      </c>
      <c r="L58" s="790"/>
      <c r="M58" s="790"/>
      <c r="N58" s="790"/>
      <c r="O58" s="790">
        <v>2023</v>
      </c>
      <c r="P58" s="790"/>
      <c r="Q58" s="790"/>
      <c r="R58" s="790"/>
      <c r="S58" s="69" t="s">
        <v>5</v>
      </c>
    </row>
    <row r="59" spans="1:19" s="128" customFormat="1" ht="21.15" customHeight="1">
      <c r="A59" s="83"/>
      <c r="B59" s="266"/>
      <c r="C59" s="266" t="s">
        <v>6</v>
      </c>
      <c r="D59" s="266" t="s">
        <v>7</v>
      </c>
      <c r="E59" s="266" t="s">
        <v>8</v>
      </c>
      <c r="F59" s="267" t="s">
        <v>13</v>
      </c>
      <c r="G59" s="266" t="s">
        <v>6</v>
      </c>
      <c r="H59" s="266" t="s">
        <v>7</v>
      </c>
      <c r="I59" s="266" t="s">
        <v>8</v>
      </c>
      <c r="J59" s="267" t="s">
        <v>13</v>
      </c>
      <c r="K59" s="266" t="s">
        <v>6</v>
      </c>
      <c r="L59" s="266" t="s">
        <v>7</v>
      </c>
      <c r="M59" s="266" t="s">
        <v>8</v>
      </c>
      <c r="N59" s="266" t="s">
        <v>13</v>
      </c>
      <c r="O59" s="266" t="s">
        <v>6</v>
      </c>
      <c r="P59" s="266" t="s">
        <v>7</v>
      </c>
      <c r="Q59" s="266" t="s">
        <v>8</v>
      </c>
      <c r="R59" s="266" t="s">
        <v>13</v>
      </c>
      <c r="S59" s="791" t="s">
        <v>14</v>
      </c>
    </row>
    <row r="60" spans="1:19" s="128" customFormat="1" ht="21.15" customHeight="1">
      <c r="A60" s="83"/>
      <c r="B60" s="239" t="s">
        <v>15</v>
      </c>
      <c r="C60" s="290">
        <v>288</v>
      </c>
      <c r="D60" s="290">
        <v>230</v>
      </c>
      <c r="E60" s="240">
        <f>D60+C60</f>
        <v>518</v>
      </c>
      <c r="F60" s="824">
        <v>34.83</v>
      </c>
      <c r="G60" s="290">
        <v>223</v>
      </c>
      <c r="H60" s="290">
        <v>184</v>
      </c>
      <c r="I60" s="240">
        <f>H60+G60</f>
        <v>407</v>
      </c>
      <c r="J60" s="804">
        <v>38.50</v>
      </c>
      <c r="K60" s="290">
        <v>192</v>
      </c>
      <c r="L60" s="290">
        <v>189</v>
      </c>
      <c r="M60" s="240">
        <f>L60+K60</f>
        <v>381</v>
      </c>
      <c r="N60" s="827">
        <v>36.50</v>
      </c>
      <c r="O60" s="290">
        <v>183</v>
      </c>
      <c r="P60" s="290">
        <v>196</v>
      </c>
      <c r="Q60" s="240">
        <f>P60+O60</f>
        <v>379</v>
      </c>
      <c r="R60" s="821">
        <v>35.96</v>
      </c>
      <c r="S60" s="791"/>
    </row>
    <row r="61" spans="1:19" s="128" customFormat="1" ht="21.15" customHeight="1">
      <c r="A61" s="83"/>
      <c r="B61" s="245" t="s">
        <v>16</v>
      </c>
      <c r="C61" s="291">
        <v>311</v>
      </c>
      <c r="D61" s="291">
        <v>364</v>
      </c>
      <c r="E61" s="249">
        <f>D61+C61</f>
        <v>675</v>
      </c>
      <c r="F61" s="825"/>
      <c r="G61" s="291">
        <v>290</v>
      </c>
      <c r="H61" s="291">
        <v>337</v>
      </c>
      <c r="I61" s="249">
        <f>H61+G61</f>
        <v>627</v>
      </c>
      <c r="J61" s="805"/>
      <c r="K61" s="291">
        <v>284</v>
      </c>
      <c r="L61" s="291">
        <v>333</v>
      </c>
      <c r="M61" s="249">
        <f>L61+K61</f>
        <v>617</v>
      </c>
      <c r="N61" s="828"/>
      <c r="O61" s="291">
        <v>295</v>
      </c>
      <c r="P61" s="291">
        <v>340</v>
      </c>
      <c r="Q61" s="249">
        <f>O61+P61</f>
        <v>635</v>
      </c>
      <c r="R61" s="822"/>
      <c r="S61" s="791"/>
    </row>
    <row r="62" spans="1:19" s="128" customFormat="1" ht="21.15" customHeight="1">
      <c r="A62" s="83"/>
      <c r="B62" s="245" t="s">
        <v>17</v>
      </c>
      <c r="C62" s="291">
        <v>37</v>
      </c>
      <c r="D62" s="291">
        <v>60</v>
      </c>
      <c r="E62" s="292">
        <f>C62+D62</f>
        <v>97</v>
      </c>
      <c r="F62" s="825"/>
      <c r="G62" s="291">
        <v>42</v>
      </c>
      <c r="H62" s="291">
        <v>62</v>
      </c>
      <c r="I62" s="292">
        <f>G62+H62</f>
        <v>104</v>
      </c>
      <c r="J62" s="805"/>
      <c r="K62" s="291">
        <v>50</v>
      </c>
      <c r="L62" s="291">
        <v>67</v>
      </c>
      <c r="M62" s="292">
        <f>K62+L62</f>
        <v>117</v>
      </c>
      <c r="N62" s="828"/>
      <c r="O62" s="291">
        <v>55</v>
      </c>
      <c r="P62" s="291">
        <v>86</v>
      </c>
      <c r="Q62" s="292">
        <f>O62+P62</f>
        <v>141</v>
      </c>
      <c r="R62" s="822"/>
      <c r="S62" s="791"/>
    </row>
    <row r="63" spans="1:19" s="128" customFormat="1" ht="21.15" customHeight="1">
      <c r="A63" s="83"/>
      <c r="B63" s="254" t="s">
        <v>8</v>
      </c>
      <c r="C63" s="293">
        <f>C60+C61+C62</f>
        <v>636</v>
      </c>
      <c r="D63" s="293">
        <f>D60+D61+D62</f>
        <v>654</v>
      </c>
      <c r="E63" s="293">
        <f>E60+E61+E62</f>
        <v>1290</v>
      </c>
      <c r="F63" s="826"/>
      <c r="G63" s="293">
        <f>G60+G61+G62</f>
        <v>555</v>
      </c>
      <c r="H63" s="293">
        <f>H60+H61+H62</f>
        <v>583</v>
      </c>
      <c r="I63" s="293">
        <f>I60+I61+I62</f>
        <v>1138</v>
      </c>
      <c r="J63" s="806"/>
      <c r="K63" s="293">
        <f>K60+K61+K62</f>
        <v>526</v>
      </c>
      <c r="L63" s="293">
        <f>L60+L61+L62</f>
        <v>589</v>
      </c>
      <c r="M63" s="293">
        <f>M60+M61+M62</f>
        <v>1115</v>
      </c>
      <c r="N63" s="829"/>
      <c r="O63" s="293">
        <f>O62+O61+O60</f>
        <v>533</v>
      </c>
      <c r="P63" s="293">
        <f t="shared" si="3" ref="P63">P62+P61+P60</f>
        <v>622</v>
      </c>
      <c r="Q63" s="280">
        <v>1155</v>
      </c>
      <c r="R63" s="823"/>
      <c r="S63" s="791"/>
    </row>
    <row r="64" spans="1:15" s="128" customFormat="1" ht="21.15" customHeight="1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</row>
    <row r="65" spans="1:19" ht="24.9" customHeight="1">
      <c r="A65" s="77"/>
      <c r="B65" s="419" t="s">
        <v>214</v>
      </c>
      <c r="C65" s="419"/>
      <c r="D65" s="419"/>
      <c r="E65" s="419"/>
      <c r="F65" s="419"/>
      <c r="G65" s="419"/>
      <c r="H65" s="419"/>
      <c r="I65" s="419"/>
      <c r="J65" s="419"/>
      <c r="K65" s="419"/>
      <c r="L65" s="419"/>
      <c r="M65" s="419"/>
      <c r="N65" s="419"/>
      <c r="O65" s="419"/>
      <c r="P65" s="419"/>
      <c r="Q65" s="419"/>
      <c r="R65" s="419"/>
      <c r="S65" s="419"/>
    </row>
    <row r="66" spans="1:15" ht="24.9" customHeight="1">
      <c r="A66" s="77"/>
      <c r="B66" s="92" t="s">
        <v>151</v>
      </c>
      <c r="C66" s="92"/>
      <c r="D66" s="92"/>
      <c r="E66" s="92"/>
      <c r="F66" s="92"/>
      <c r="G66" s="92"/>
      <c r="H66" s="92"/>
      <c r="I66" s="92"/>
      <c r="J66" s="92"/>
      <c r="K66" s="92"/>
      <c r="M66" s="77"/>
      <c r="N66" s="77"/>
      <c r="O66" s="77"/>
    </row>
    <row r="67" spans="1:19" ht="30.15" customHeight="1">
      <c r="A67" s="77"/>
      <c r="B67" s="33"/>
      <c r="C67" s="790">
        <v>2020</v>
      </c>
      <c r="D67" s="790"/>
      <c r="E67" s="811"/>
      <c r="F67" s="790">
        <v>2021</v>
      </c>
      <c r="G67" s="790"/>
      <c r="H67" s="811"/>
      <c r="I67" s="790">
        <v>2022</v>
      </c>
      <c r="J67" s="790"/>
      <c r="K67" s="790"/>
      <c r="L67" s="790">
        <v>2023</v>
      </c>
      <c r="M67" s="790"/>
      <c r="N67" s="790"/>
      <c r="O67" s="143"/>
      <c r="P67" s="143"/>
      <c r="Q67" s="143"/>
      <c r="R67" s="143"/>
      <c r="S67" s="69" t="s">
        <v>5</v>
      </c>
    </row>
    <row r="68" spans="1:19" ht="21.15" customHeight="1">
      <c r="A68" s="77"/>
      <c r="B68" s="286"/>
      <c r="C68" s="266" t="s">
        <v>6</v>
      </c>
      <c r="D68" s="266" t="s">
        <v>7</v>
      </c>
      <c r="E68" s="266" t="s">
        <v>8</v>
      </c>
      <c r="F68" s="266" t="s">
        <v>6</v>
      </c>
      <c r="G68" s="266" t="s">
        <v>7</v>
      </c>
      <c r="H68" s="266" t="s">
        <v>8</v>
      </c>
      <c r="I68" s="266" t="s">
        <v>6</v>
      </c>
      <c r="J68" s="266" t="s">
        <v>7</v>
      </c>
      <c r="K68" s="266" t="s">
        <v>8</v>
      </c>
      <c r="L68" s="266" t="s">
        <v>6</v>
      </c>
      <c r="M68" s="266" t="s">
        <v>7</v>
      </c>
      <c r="N68" s="266" t="s">
        <v>8</v>
      </c>
      <c r="O68" s="289"/>
      <c r="P68" s="289"/>
      <c r="Q68" s="289"/>
      <c r="R68" s="289"/>
      <c r="S68" s="791" t="s">
        <v>9</v>
      </c>
    </row>
    <row r="69" spans="1:19" ht="21.15" customHeight="1">
      <c r="A69" s="77"/>
      <c r="B69" s="269" t="s">
        <v>10</v>
      </c>
      <c r="C69" s="272">
        <v>161</v>
      </c>
      <c r="D69" s="272">
        <v>214</v>
      </c>
      <c r="E69" s="271">
        <f>D69+C69</f>
        <v>375</v>
      </c>
      <c r="F69" s="272">
        <v>154</v>
      </c>
      <c r="G69" s="272">
        <v>212</v>
      </c>
      <c r="H69" s="271">
        <f>G69+F69</f>
        <v>366</v>
      </c>
      <c r="I69" s="272">
        <v>148</v>
      </c>
      <c r="J69" s="272">
        <v>208</v>
      </c>
      <c r="K69" s="271">
        <f>J69+I69</f>
        <v>356</v>
      </c>
      <c r="L69" s="272">
        <v>150</v>
      </c>
      <c r="M69" s="272">
        <v>204</v>
      </c>
      <c r="N69" s="273">
        <v>354</v>
      </c>
      <c r="O69" s="162"/>
      <c r="P69" s="162"/>
      <c r="Q69" s="162"/>
      <c r="R69" s="162"/>
      <c r="S69" s="791"/>
    </row>
    <row r="70" spans="1:19" ht="21.15" customHeight="1">
      <c r="A70" s="77"/>
      <c r="B70" s="274" t="s">
        <v>11</v>
      </c>
      <c r="C70" s="277">
        <v>768</v>
      </c>
      <c r="D70" s="277">
        <v>757</v>
      </c>
      <c r="E70" s="276">
        <f>D70+C70</f>
        <v>1525</v>
      </c>
      <c r="F70" s="277">
        <v>704</v>
      </c>
      <c r="G70" s="277">
        <v>699</v>
      </c>
      <c r="H70" s="276">
        <f>G70+F70</f>
        <v>1403</v>
      </c>
      <c r="I70" s="277">
        <v>671</v>
      </c>
      <c r="J70" s="277">
        <v>654</v>
      </c>
      <c r="K70" s="276">
        <f>J70+I70</f>
        <v>1325</v>
      </c>
      <c r="L70" s="277">
        <v>660</v>
      </c>
      <c r="M70" s="277">
        <v>672</v>
      </c>
      <c r="N70" s="278">
        <v>1332</v>
      </c>
      <c r="O70" s="162"/>
      <c r="P70" s="162"/>
      <c r="Q70" s="162"/>
      <c r="R70" s="162"/>
      <c r="S70" s="791"/>
    </row>
    <row r="71" spans="1:19" ht="21.15" customHeight="1">
      <c r="A71" s="77"/>
      <c r="B71" s="279" t="s">
        <v>8</v>
      </c>
      <c r="C71" s="280">
        <f t="shared" si="4" ref="C71:K71">C69+C70</f>
        <v>929</v>
      </c>
      <c r="D71" s="280">
        <f t="shared" si="4"/>
        <v>971</v>
      </c>
      <c r="E71" s="281">
        <f t="shared" si="4"/>
        <v>1900</v>
      </c>
      <c r="F71" s="280">
        <f t="shared" si="4"/>
        <v>858</v>
      </c>
      <c r="G71" s="280">
        <f t="shared" si="4"/>
        <v>911</v>
      </c>
      <c r="H71" s="281">
        <f t="shared" si="4"/>
        <v>1769</v>
      </c>
      <c r="I71" s="280">
        <f t="shared" si="4"/>
        <v>819</v>
      </c>
      <c r="J71" s="280">
        <f t="shared" si="4"/>
        <v>862</v>
      </c>
      <c r="K71" s="281">
        <f t="shared" si="4"/>
        <v>1681</v>
      </c>
      <c r="L71" s="280">
        <v>810</v>
      </c>
      <c r="M71" s="280">
        <v>876</v>
      </c>
      <c r="N71" s="280">
        <v>1684</v>
      </c>
      <c r="O71" s="162"/>
      <c r="P71" s="162"/>
      <c r="Q71" s="162"/>
      <c r="R71" s="162"/>
      <c r="S71" s="791"/>
    </row>
    <row r="72" spans="1:15" ht="21.15" customHeight="1">
      <c r="A72" s="77"/>
      <c r="B72" s="115"/>
      <c r="C72" s="116"/>
      <c r="D72" s="116"/>
      <c r="E72" s="116"/>
      <c r="F72" s="116"/>
      <c r="G72" s="116"/>
      <c r="H72" s="116"/>
      <c r="I72" s="116"/>
      <c r="J72" s="116"/>
      <c r="K72" s="116"/>
      <c r="L72" s="127"/>
      <c r="M72" s="77"/>
      <c r="N72" s="77"/>
      <c r="O72" s="77"/>
    </row>
    <row r="73" spans="1:14" ht="24.9" customHeight="1">
      <c r="A73" s="77"/>
      <c r="B73" s="92" t="s">
        <v>155</v>
      </c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</row>
    <row r="74" spans="1:19" ht="30.15" customHeight="1">
      <c r="A74" s="77"/>
      <c r="B74" s="121"/>
      <c r="C74" s="796">
        <v>2020</v>
      </c>
      <c r="D74" s="796"/>
      <c r="E74" s="796"/>
      <c r="F74" s="797"/>
      <c r="G74" s="798">
        <v>2021</v>
      </c>
      <c r="H74" s="796"/>
      <c r="I74" s="796"/>
      <c r="J74" s="797"/>
      <c r="K74" s="796">
        <v>2022</v>
      </c>
      <c r="L74" s="796"/>
      <c r="M74" s="796"/>
      <c r="N74" s="796"/>
      <c r="O74" s="790">
        <v>2023</v>
      </c>
      <c r="P74" s="790"/>
      <c r="Q74" s="790"/>
      <c r="R74" s="790"/>
      <c r="S74" s="69" t="s">
        <v>5</v>
      </c>
    </row>
    <row r="75" spans="1:19" ht="21.15" customHeight="1">
      <c r="A75" s="77"/>
      <c r="B75" s="123"/>
      <c r="C75" s="266" t="s">
        <v>6</v>
      </c>
      <c r="D75" s="266" t="s">
        <v>7</v>
      </c>
      <c r="E75" s="266" t="s">
        <v>8</v>
      </c>
      <c r="F75" s="266" t="s">
        <v>13</v>
      </c>
      <c r="G75" s="266" t="s">
        <v>6</v>
      </c>
      <c r="H75" s="266" t="s">
        <v>7</v>
      </c>
      <c r="I75" s="266" t="s">
        <v>8</v>
      </c>
      <c r="J75" s="266" t="s">
        <v>13</v>
      </c>
      <c r="K75" s="266" t="s">
        <v>6</v>
      </c>
      <c r="L75" s="266" t="s">
        <v>7</v>
      </c>
      <c r="M75" s="266" t="s">
        <v>8</v>
      </c>
      <c r="N75" s="266" t="s">
        <v>13</v>
      </c>
      <c r="O75" s="266" t="s">
        <v>6</v>
      </c>
      <c r="P75" s="266" t="s">
        <v>7</v>
      </c>
      <c r="Q75" s="266" t="s">
        <v>8</v>
      </c>
      <c r="R75" s="266" t="s">
        <v>13</v>
      </c>
      <c r="S75" s="791" t="s">
        <v>14</v>
      </c>
    </row>
    <row r="76" spans="1:19" ht="21.15" customHeight="1">
      <c r="A76" s="77"/>
      <c r="B76" s="239" t="s">
        <v>15</v>
      </c>
      <c r="C76" s="293">
        <v>295</v>
      </c>
      <c r="D76" s="293">
        <v>212</v>
      </c>
      <c r="E76" s="293">
        <f>D76+C76</f>
        <v>507</v>
      </c>
      <c r="F76" s="802">
        <v>37.50</v>
      </c>
      <c r="G76" s="293">
        <v>270</v>
      </c>
      <c r="H76" s="293">
        <v>198</v>
      </c>
      <c r="I76" s="293">
        <f>H76+G76</f>
        <v>468</v>
      </c>
      <c r="J76" s="802">
        <v>38.2</v>
      </c>
      <c r="K76" s="293">
        <v>229</v>
      </c>
      <c r="L76" s="293">
        <v>172</v>
      </c>
      <c r="M76" s="293">
        <f>L76+K76</f>
        <v>401</v>
      </c>
      <c r="N76" s="794">
        <v>39</v>
      </c>
      <c r="O76" s="293">
        <v>208</v>
      </c>
      <c r="P76" s="293">
        <v>174</v>
      </c>
      <c r="Q76" s="293">
        <f>SUM(O76:P76)</f>
        <v>382</v>
      </c>
      <c r="R76" s="800">
        <v>39.50</v>
      </c>
      <c r="S76" s="791"/>
    </row>
    <row r="77" spans="1:21" ht="21.15" customHeight="1">
      <c r="A77" s="77"/>
      <c r="B77" s="239" t="s">
        <v>16</v>
      </c>
      <c r="C77" s="293">
        <v>583</v>
      </c>
      <c r="D77" s="293">
        <v>629</v>
      </c>
      <c r="E77" s="293">
        <f>D77+C77</f>
        <v>1212</v>
      </c>
      <c r="F77" s="803"/>
      <c r="G77" s="293">
        <v>539</v>
      </c>
      <c r="H77" s="293">
        <v>567</v>
      </c>
      <c r="I77" s="293">
        <f>H77+G77</f>
        <v>1106</v>
      </c>
      <c r="J77" s="803"/>
      <c r="K77" s="293">
        <v>540</v>
      </c>
      <c r="L77" s="293">
        <v>530</v>
      </c>
      <c r="M77" s="293">
        <f>L77+K77</f>
        <v>1070</v>
      </c>
      <c r="N77" s="795"/>
      <c r="O77" s="293">
        <v>530</v>
      </c>
      <c r="P77" s="293">
        <v>507</v>
      </c>
      <c r="Q77" s="293">
        <f t="shared" si="5" ref="Q77:Q78">SUM(O77:P77)</f>
        <v>1037</v>
      </c>
      <c r="R77" s="801"/>
      <c r="S77" s="791"/>
      <c r="U77" s="40"/>
    </row>
    <row r="78" spans="1:19" ht="21.15" customHeight="1">
      <c r="A78" s="77"/>
      <c r="B78" s="239" t="s">
        <v>17</v>
      </c>
      <c r="C78" s="293">
        <v>51</v>
      </c>
      <c r="D78" s="293">
        <v>130</v>
      </c>
      <c r="E78" s="293">
        <f>C78+D78</f>
        <v>181</v>
      </c>
      <c r="F78" s="803"/>
      <c r="G78" s="293">
        <v>48</v>
      </c>
      <c r="H78" s="293">
        <v>146</v>
      </c>
      <c r="I78" s="293">
        <f>G78+H78</f>
        <v>194</v>
      </c>
      <c r="J78" s="803"/>
      <c r="K78" s="293">
        <v>63</v>
      </c>
      <c r="L78" s="293">
        <v>170</v>
      </c>
      <c r="M78" s="293">
        <f>K78+L78</f>
        <v>233</v>
      </c>
      <c r="N78" s="795"/>
      <c r="O78" s="293">
        <v>70</v>
      </c>
      <c r="P78" s="293">
        <v>195</v>
      </c>
      <c r="Q78" s="293">
        <f t="shared" si="5"/>
        <v>265</v>
      </c>
      <c r="R78" s="801"/>
      <c r="S78" s="791"/>
    </row>
    <row r="79" spans="1:19" ht="21.15" customHeight="1">
      <c r="A79" s="77"/>
      <c r="B79" s="239" t="s">
        <v>8</v>
      </c>
      <c r="C79" s="293">
        <f>C76+C77+C78</f>
        <v>929</v>
      </c>
      <c r="D79" s="293">
        <f>D76+D77+D78</f>
        <v>971</v>
      </c>
      <c r="E79" s="293">
        <f>E76+E77+E78</f>
        <v>1900</v>
      </c>
      <c r="F79" s="803"/>
      <c r="G79" s="293">
        <f>G76+G77+G78</f>
        <v>857</v>
      </c>
      <c r="H79" s="293">
        <f>H76+H77+H78</f>
        <v>911</v>
      </c>
      <c r="I79" s="293">
        <f>I76+I77+I78</f>
        <v>1768</v>
      </c>
      <c r="J79" s="803"/>
      <c r="K79" s="293">
        <f>K76+K77+K78</f>
        <v>832</v>
      </c>
      <c r="L79" s="293">
        <f>L76+L77+L78</f>
        <v>872</v>
      </c>
      <c r="M79" s="293">
        <f>SUM(M76:M78)</f>
        <v>1704</v>
      </c>
      <c r="N79" s="795"/>
      <c r="O79" s="293">
        <f>SUM(O76:O78)</f>
        <v>808</v>
      </c>
      <c r="P79" s="293">
        <f>SUM(P76:P78)</f>
        <v>876</v>
      </c>
      <c r="Q79" s="293">
        <f>SUM(Q76:Q78)</f>
        <v>1684</v>
      </c>
      <c r="R79" s="801"/>
      <c r="S79" s="791"/>
    </row>
    <row r="80" spans="1:15" ht="21.15" customHeight="1">
      <c r="A80" s="77"/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</row>
    <row r="81" spans="1:19" ht="24.9" customHeight="1">
      <c r="A81" s="77"/>
      <c r="B81" s="419" t="s">
        <v>218</v>
      </c>
      <c r="C81" s="419"/>
      <c r="D81" s="419"/>
      <c r="E81" s="419"/>
      <c r="F81" s="419"/>
      <c r="G81" s="419"/>
      <c r="H81" s="419"/>
      <c r="I81" s="419"/>
      <c r="J81" s="419"/>
      <c r="K81" s="419"/>
      <c r="L81" s="419"/>
      <c r="M81" s="419"/>
      <c r="N81" s="419"/>
      <c r="O81" s="419"/>
      <c r="P81" s="419"/>
      <c r="Q81" s="419"/>
      <c r="R81" s="419"/>
      <c r="S81" s="419"/>
    </row>
    <row r="82" spans="1:15" ht="24.9" customHeight="1">
      <c r="A82" s="77"/>
      <c r="B82" s="92" t="s">
        <v>235</v>
      </c>
      <c r="C82" s="92"/>
      <c r="D82" s="92"/>
      <c r="E82" s="92"/>
      <c r="F82" s="92"/>
      <c r="G82" s="92"/>
      <c r="H82" s="92"/>
      <c r="I82" s="92"/>
      <c r="J82" s="92"/>
      <c r="K82" s="92"/>
      <c r="M82" s="77"/>
      <c r="N82" s="77"/>
      <c r="O82" s="77"/>
    </row>
    <row r="83" spans="1:19" ht="30.15" customHeight="1">
      <c r="A83" s="77"/>
      <c r="B83" s="130"/>
      <c r="C83" s="796">
        <v>2020</v>
      </c>
      <c r="D83" s="796"/>
      <c r="E83" s="797"/>
      <c r="F83" s="798">
        <v>2021</v>
      </c>
      <c r="G83" s="796"/>
      <c r="H83" s="797"/>
      <c r="I83" s="796">
        <v>2022</v>
      </c>
      <c r="J83" s="796"/>
      <c r="K83" s="796"/>
      <c r="L83" s="790">
        <v>2023</v>
      </c>
      <c r="M83" s="790"/>
      <c r="N83" s="790"/>
      <c r="O83" s="143"/>
      <c r="P83" s="143"/>
      <c r="Q83" s="143"/>
      <c r="R83" s="143"/>
      <c r="S83" s="101" t="s">
        <v>5</v>
      </c>
    </row>
    <row r="84" spans="1:19" ht="21.15" customHeight="1">
      <c r="A84" s="77"/>
      <c r="B84" s="123"/>
      <c r="C84" s="266" t="s">
        <v>6</v>
      </c>
      <c r="D84" s="266" t="s">
        <v>7</v>
      </c>
      <c r="E84" s="266" t="s">
        <v>8</v>
      </c>
      <c r="F84" s="266" t="s">
        <v>6</v>
      </c>
      <c r="G84" s="266" t="s">
        <v>7</v>
      </c>
      <c r="H84" s="266" t="s">
        <v>8</v>
      </c>
      <c r="I84" s="266" t="s">
        <v>6</v>
      </c>
      <c r="J84" s="266" t="s">
        <v>7</v>
      </c>
      <c r="K84" s="266" t="s">
        <v>8</v>
      </c>
      <c r="L84" s="266" t="s">
        <v>6</v>
      </c>
      <c r="M84" s="266" t="s">
        <v>7</v>
      </c>
      <c r="N84" s="266" t="s">
        <v>8</v>
      </c>
      <c r="O84" s="289"/>
      <c r="P84" s="289"/>
      <c r="Q84" s="289"/>
      <c r="R84" s="289"/>
      <c r="S84" s="799" t="s">
        <v>9</v>
      </c>
    </row>
    <row r="85" spans="1:19" ht="21.15" customHeight="1">
      <c r="A85" s="77"/>
      <c r="B85" s="239" t="s">
        <v>10</v>
      </c>
      <c r="C85" s="293">
        <v>71</v>
      </c>
      <c r="D85" s="293">
        <v>103</v>
      </c>
      <c r="E85" s="293">
        <f>D85+C85</f>
        <v>174</v>
      </c>
      <c r="F85" s="293">
        <v>67</v>
      </c>
      <c r="G85" s="293">
        <v>91</v>
      </c>
      <c r="H85" s="293">
        <f>G85+F85</f>
        <v>158</v>
      </c>
      <c r="I85" s="293">
        <v>61</v>
      </c>
      <c r="J85" s="293">
        <v>85</v>
      </c>
      <c r="K85" s="293">
        <f>J85+I85</f>
        <v>146</v>
      </c>
      <c r="L85" s="293">
        <v>44</v>
      </c>
      <c r="M85" s="293">
        <v>73</v>
      </c>
      <c r="N85" s="293">
        <v>117</v>
      </c>
      <c r="O85" s="162"/>
      <c r="P85" s="162"/>
      <c r="Q85" s="162"/>
      <c r="R85" s="162"/>
      <c r="S85" s="799"/>
    </row>
    <row r="86" spans="1:19" ht="21.15" customHeight="1">
      <c r="A86" s="77"/>
      <c r="B86" s="239" t="s">
        <v>11</v>
      </c>
      <c r="C86" s="293">
        <v>483</v>
      </c>
      <c r="D86" s="293">
        <v>654</v>
      </c>
      <c r="E86" s="293">
        <f>D86+C86</f>
        <v>1137</v>
      </c>
      <c r="F86" s="293">
        <v>411</v>
      </c>
      <c r="G86" s="293">
        <v>552</v>
      </c>
      <c r="H86" s="293">
        <f>G86+F86</f>
        <v>963</v>
      </c>
      <c r="I86" s="293">
        <v>326</v>
      </c>
      <c r="J86" s="293">
        <v>478</v>
      </c>
      <c r="K86" s="293">
        <f>J86+I86</f>
        <v>804</v>
      </c>
      <c r="L86" s="293">
        <v>213</v>
      </c>
      <c r="M86" s="293">
        <v>373</v>
      </c>
      <c r="N86" s="293">
        <v>586</v>
      </c>
      <c r="O86" s="162"/>
      <c r="P86" s="162"/>
      <c r="Q86" s="162"/>
      <c r="R86" s="162"/>
      <c r="S86" s="799"/>
    </row>
    <row r="87" spans="1:21" ht="21.15" customHeight="1">
      <c r="A87" s="77"/>
      <c r="B87" s="239" t="s">
        <v>8</v>
      </c>
      <c r="C87" s="293">
        <f t="shared" si="6" ref="C87:K87">C85+C86</f>
        <v>554</v>
      </c>
      <c r="D87" s="293">
        <f t="shared" si="6"/>
        <v>757</v>
      </c>
      <c r="E87" s="293">
        <f t="shared" si="6"/>
        <v>1311</v>
      </c>
      <c r="F87" s="293">
        <f t="shared" si="6"/>
        <v>478</v>
      </c>
      <c r="G87" s="293">
        <f t="shared" si="6"/>
        <v>643</v>
      </c>
      <c r="H87" s="293">
        <f t="shared" si="6"/>
        <v>1121</v>
      </c>
      <c r="I87" s="293">
        <f>I86+I85</f>
        <v>387</v>
      </c>
      <c r="J87" s="293">
        <f>J86+J85</f>
        <v>563</v>
      </c>
      <c r="K87" s="293">
        <f t="shared" si="6"/>
        <v>950</v>
      </c>
      <c r="L87" s="293">
        <v>257</v>
      </c>
      <c r="M87" s="293">
        <v>446</v>
      </c>
      <c r="N87" s="293">
        <v>703</v>
      </c>
      <c r="O87" s="162"/>
      <c r="P87" s="162"/>
      <c r="Q87" s="162"/>
      <c r="R87" s="162"/>
      <c r="S87" s="799"/>
      <c r="U87" s="40"/>
    </row>
    <row r="88" spans="1:15" ht="21.15" customHeight="1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</row>
    <row r="89" spans="1:14" ht="24.9" customHeight="1">
      <c r="A89" s="77"/>
      <c r="B89" s="92" t="s">
        <v>236</v>
      </c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</row>
    <row r="90" spans="1:19" ht="30.15" customHeight="1">
      <c r="A90" s="77"/>
      <c r="B90" s="129"/>
      <c r="C90" s="796">
        <v>2020</v>
      </c>
      <c r="D90" s="796"/>
      <c r="E90" s="796"/>
      <c r="F90" s="797"/>
      <c r="G90" s="796">
        <v>2021</v>
      </c>
      <c r="H90" s="796"/>
      <c r="I90" s="796"/>
      <c r="J90" s="797"/>
      <c r="K90" s="796">
        <v>2022</v>
      </c>
      <c r="L90" s="796"/>
      <c r="M90" s="796"/>
      <c r="N90" s="796"/>
      <c r="O90" s="790">
        <v>2023</v>
      </c>
      <c r="P90" s="790"/>
      <c r="Q90" s="790"/>
      <c r="R90" s="790"/>
      <c r="S90" s="69" t="s">
        <v>5</v>
      </c>
    </row>
    <row r="91" spans="1:19" ht="21.15" customHeight="1">
      <c r="A91" s="77"/>
      <c r="B91" s="122"/>
      <c r="C91" s="266" t="s">
        <v>6</v>
      </c>
      <c r="D91" s="266" t="s">
        <v>7</v>
      </c>
      <c r="E91" s="266" t="s">
        <v>8</v>
      </c>
      <c r="F91" s="266" t="s">
        <v>13</v>
      </c>
      <c r="G91" s="266" t="s">
        <v>6</v>
      </c>
      <c r="H91" s="266" t="s">
        <v>7</v>
      </c>
      <c r="I91" s="266" t="s">
        <v>8</v>
      </c>
      <c r="J91" s="266" t="s">
        <v>13</v>
      </c>
      <c r="K91" s="266" t="s">
        <v>6</v>
      </c>
      <c r="L91" s="266" t="s">
        <v>7</v>
      </c>
      <c r="M91" s="266" t="s">
        <v>8</v>
      </c>
      <c r="N91" s="266" t="s">
        <v>13</v>
      </c>
      <c r="O91" s="266" t="s">
        <v>6</v>
      </c>
      <c r="P91" s="266" t="s">
        <v>7</v>
      </c>
      <c r="Q91" s="266" t="s">
        <v>8</v>
      </c>
      <c r="R91" s="266" t="s">
        <v>13</v>
      </c>
      <c r="S91" s="791" t="s">
        <v>14</v>
      </c>
    </row>
    <row r="92" spans="1:19" ht="21.15" customHeight="1">
      <c r="A92" s="77"/>
      <c r="B92" s="239" t="s">
        <v>15</v>
      </c>
      <c r="C92" s="293">
        <v>243</v>
      </c>
      <c r="D92" s="293">
        <v>240</v>
      </c>
      <c r="E92" s="293">
        <f>D92+C92</f>
        <v>483</v>
      </c>
      <c r="F92" s="794">
        <v>35</v>
      </c>
      <c r="G92" s="293">
        <v>176</v>
      </c>
      <c r="H92" s="293">
        <v>153</v>
      </c>
      <c r="I92" s="293">
        <f>H92+G92</f>
        <v>329</v>
      </c>
      <c r="J92" s="794">
        <v>37</v>
      </c>
      <c r="K92" s="293">
        <v>101</v>
      </c>
      <c r="L92" s="293">
        <v>108</v>
      </c>
      <c r="M92" s="293">
        <f>L92+K92</f>
        <v>209</v>
      </c>
      <c r="N92" s="792">
        <v>39</v>
      </c>
      <c r="O92" s="293">
        <v>42</v>
      </c>
      <c r="P92" s="293">
        <v>73</v>
      </c>
      <c r="Q92" s="293">
        <v>115</v>
      </c>
      <c r="R92" s="792">
        <v>41</v>
      </c>
      <c r="S92" s="791"/>
    </row>
    <row r="93" spans="1:19" ht="21.15" customHeight="1">
      <c r="A93" s="77"/>
      <c r="B93" s="239" t="s">
        <v>16</v>
      </c>
      <c r="C93" s="293">
        <v>284</v>
      </c>
      <c r="D93" s="293">
        <v>439</v>
      </c>
      <c r="E93" s="293">
        <f>D93+C93</f>
        <v>723</v>
      </c>
      <c r="F93" s="795"/>
      <c r="G93" s="293">
        <v>271</v>
      </c>
      <c r="H93" s="293">
        <v>412</v>
      </c>
      <c r="I93" s="293">
        <f>H93+G93</f>
        <v>683</v>
      </c>
      <c r="J93" s="795"/>
      <c r="K93" s="293">
        <v>251</v>
      </c>
      <c r="L93" s="293">
        <v>370</v>
      </c>
      <c r="M93" s="293">
        <f t="shared" si="7" ref="M93:M94">L93+K93</f>
        <v>621</v>
      </c>
      <c r="N93" s="793"/>
      <c r="O93" s="293">
        <v>184</v>
      </c>
      <c r="P93" s="293">
        <v>277</v>
      </c>
      <c r="Q93" s="293">
        <v>461</v>
      </c>
      <c r="R93" s="793"/>
      <c r="S93" s="791"/>
    </row>
    <row r="94" spans="1:19" ht="21.15" customHeight="1">
      <c r="A94" s="77"/>
      <c r="B94" s="239" t="s">
        <v>17</v>
      </c>
      <c r="C94" s="293">
        <v>27</v>
      </c>
      <c r="D94" s="293">
        <v>78</v>
      </c>
      <c r="E94" s="293">
        <f>C94+D94</f>
        <v>105</v>
      </c>
      <c r="F94" s="795"/>
      <c r="G94" s="293">
        <v>31</v>
      </c>
      <c r="H94" s="293">
        <v>78</v>
      </c>
      <c r="I94" s="293">
        <f>G94+H94</f>
        <v>109</v>
      </c>
      <c r="J94" s="795"/>
      <c r="K94" s="293">
        <v>35</v>
      </c>
      <c r="L94" s="293">
        <v>85</v>
      </c>
      <c r="M94" s="293">
        <f t="shared" si="7"/>
        <v>120</v>
      </c>
      <c r="N94" s="793"/>
      <c r="O94" s="293">
        <v>31</v>
      </c>
      <c r="P94" s="293">
        <v>96</v>
      </c>
      <c r="Q94" s="293">
        <v>127</v>
      </c>
      <c r="R94" s="793"/>
      <c r="S94" s="791"/>
    </row>
    <row r="95" spans="1:19" ht="21.15" customHeight="1">
      <c r="A95" s="77"/>
      <c r="B95" s="239" t="s">
        <v>8</v>
      </c>
      <c r="C95" s="293">
        <f>C92+C93+C94</f>
        <v>554</v>
      </c>
      <c r="D95" s="293">
        <f>D92+D93+D94</f>
        <v>757</v>
      </c>
      <c r="E95" s="293">
        <f>E92+E93+E94</f>
        <v>1311</v>
      </c>
      <c r="F95" s="795"/>
      <c r="G95" s="293">
        <f>G92+G93+G94</f>
        <v>478</v>
      </c>
      <c r="H95" s="293">
        <f>H92+H93+H94</f>
        <v>643</v>
      </c>
      <c r="I95" s="293">
        <f>I92+I93+I94</f>
        <v>1121</v>
      </c>
      <c r="J95" s="795"/>
      <c r="K95" s="293">
        <f>SUM(K92:K94)</f>
        <v>387</v>
      </c>
      <c r="L95" s="293">
        <f t="shared" si="8" ref="L95:M95">SUM(L92:L94)</f>
        <v>563</v>
      </c>
      <c r="M95" s="293">
        <f t="shared" si="8"/>
        <v>950</v>
      </c>
      <c r="N95" s="793"/>
      <c r="O95" s="293">
        <v>257</v>
      </c>
      <c r="P95" s="293">
        <v>446</v>
      </c>
      <c r="Q95" s="293">
        <v>703</v>
      </c>
      <c r="R95" s="793"/>
      <c r="S95" s="791"/>
    </row>
    <row r="101" ht="28.5" customHeight="1"/>
  </sheetData>
  <mergeCells count="71">
    <mergeCell ref="F76:F79"/>
    <mergeCell ref="C83:E83"/>
    <mergeCell ref="S10:S14"/>
    <mergeCell ref="C26:D26"/>
    <mergeCell ref="E26:F26"/>
    <mergeCell ref="G26:H26"/>
    <mergeCell ref="I26:J26"/>
    <mergeCell ref="S18:S23"/>
    <mergeCell ref="G17:H17"/>
    <mergeCell ref="G23:H23"/>
    <mergeCell ref="C17:D17"/>
    <mergeCell ref="C23:D23"/>
    <mergeCell ref="S26:S27"/>
    <mergeCell ref="E23:F23"/>
    <mergeCell ref="S28:S30"/>
    <mergeCell ref="O42:R42"/>
    <mergeCell ref="S35:S39"/>
    <mergeCell ref="I34:K34"/>
    <mergeCell ref="F34:H34"/>
    <mergeCell ref="E17:F17"/>
    <mergeCell ref="C34:E34"/>
    <mergeCell ref="G42:J42"/>
    <mergeCell ref="C42:F42"/>
    <mergeCell ref="K42:N42"/>
    <mergeCell ref="K58:N58"/>
    <mergeCell ref="C58:F58"/>
    <mergeCell ref="G58:J58"/>
    <mergeCell ref="L34:N34"/>
    <mergeCell ref="O58:R58"/>
    <mergeCell ref="R60:R63"/>
    <mergeCell ref="L67:N67"/>
    <mergeCell ref="O74:R74"/>
    <mergeCell ref="F60:F63"/>
    <mergeCell ref="F67:H67"/>
    <mergeCell ref="N60:N63"/>
    <mergeCell ref="K74:N74"/>
    <mergeCell ref="C74:F74"/>
    <mergeCell ref="G74:J74"/>
    <mergeCell ref="C67:E67"/>
    <mergeCell ref="S43:S47"/>
    <mergeCell ref="S52:S55"/>
    <mergeCell ref="O53:O55"/>
    <mergeCell ref="C51:E51"/>
    <mergeCell ref="F51:H51"/>
    <mergeCell ref="L51:N51"/>
    <mergeCell ref="I51:K51"/>
    <mergeCell ref="R44:R47"/>
    <mergeCell ref="J44:J47"/>
    <mergeCell ref="F44:F47"/>
    <mergeCell ref="N44:N47"/>
    <mergeCell ref="S75:S79"/>
    <mergeCell ref="R76:R79"/>
    <mergeCell ref="S59:S63"/>
    <mergeCell ref="N76:N79"/>
    <mergeCell ref="J76:J79"/>
    <mergeCell ref="J60:J63"/>
    <mergeCell ref="I67:K67"/>
    <mergeCell ref="S68:S71"/>
    <mergeCell ref="O90:R90"/>
    <mergeCell ref="S91:S95"/>
    <mergeCell ref="R92:R95"/>
    <mergeCell ref="L83:N83"/>
    <mergeCell ref="F92:F95"/>
    <mergeCell ref="J92:J95"/>
    <mergeCell ref="N92:N95"/>
    <mergeCell ref="C90:F90"/>
    <mergeCell ref="G90:J90"/>
    <mergeCell ref="K90:N90"/>
    <mergeCell ref="F83:H83"/>
    <mergeCell ref="I83:K83"/>
    <mergeCell ref="S84:S87"/>
  </mergeCells>
  <pageMargins left="0.7" right="0.7" top="0.75" bottom="0.75" header="0.3" footer="0.3"/>
  <pageSetup orientation="portrait" paperSize="9" r:id="rId2"/>
  <headerFooter scaleWithDoc="0"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CB4D07A-94D8-40CD-A08E-D3D0BD16CE7B}">
  <dimension ref="B1:S58"/>
  <sheetViews>
    <sheetView showGridLines="0" rightToLeft="1" workbookViewId="0" topLeftCell="A1">
      <selection pane="topLeft" activeCell="C15" sqref="C15:E15"/>
    </sheetView>
  </sheetViews>
  <sheetFormatPr defaultColWidth="9.114285714285714" defaultRowHeight="14.4"/>
  <cols>
    <col min="1" max="1" width="3.7142857142857144" customWidth="1"/>
    <col min="2" max="2" width="42" customWidth="1"/>
    <col min="3" max="15" width="10.714285714285714" customWidth="1"/>
  </cols>
  <sheetData>
    <row r="1" spans="2:13" ht="15" customHeight="1"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2:13" ht="15" customHeight="1"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2:13" ht="15" customHeight="1"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2:17" ht="15" customHeight="1"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P4" s="43"/>
      <c r="Q4" s="43"/>
    </row>
    <row r="5" spans="2:17" ht="24" customHeight="1" thickBot="1">
      <c r="B5" s="65" t="s">
        <v>219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43"/>
      <c r="Q5" s="43"/>
    </row>
    <row r="6" spans="2:17" ht="15" customHeight="1" thickTop="1">
      <c r="B6" s="131"/>
      <c r="C6" s="131"/>
      <c r="D6" s="131"/>
      <c r="E6" s="131"/>
      <c r="F6" s="131"/>
      <c r="G6" s="131"/>
      <c r="H6" s="131"/>
      <c r="I6" s="560"/>
      <c r="J6" s="131"/>
      <c r="K6" s="131"/>
      <c r="L6" s="131"/>
      <c r="M6" s="131"/>
      <c r="N6" s="82"/>
      <c r="O6" s="82"/>
      <c r="P6" s="43"/>
      <c r="Q6" s="43"/>
    </row>
    <row r="7" spans="2:15" ht="24.9" customHeight="1">
      <c r="B7" s="92" t="s">
        <v>156</v>
      </c>
      <c r="C7" s="561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82"/>
    </row>
    <row r="8" spans="2:15" ht="21.15" customHeight="1">
      <c r="B8" s="201"/>
      <c r="C8" s="13">
        <v>2020</v>
      </c>
      <c r="D8" s="13"/>
      <c r="E8" s="852"/>
      <c r="F8" s="13">
        <v>2021</v>
      </c>
      <c r="G8" s="13"/>
      <c r="H8" s="852"/>
      <c r="I8" s="13">
        <v>2022</v>
      </c>
      <c r="J8" s="13"/>
      <c r="K8" s="852"/>
      <c r="L8" s="13">
        <v>2023</v>
      </c>
      <c r="M8" s="13"/>
      <c r="N8" s="845"/>
      <c r="O8" s="844" t="s">
        <v>5</v>
      </c>
    </row>
    <row r="9" spans="2:15" ht="21.15" customHeight="1">
      <c r="B9" s="294"/>
      <c r="C9" s="295" t="s">
        <v>7</v>
      </c>
      <c r="D9" s="295" t="s">
        <v>119</v>
      </c>
      <c r="E9" s="746" t="s">
        <v>8</v>
      </c>
      <c r="F9" s="295" t="s">
        <v>7</v>
      </c>
      <c r="G9" s="295" t="s">
        <v>119</v>
      </c>
      <c r="H9" s="746" t="s">
        <v>8</v>
      </c>
      <c r="I9" s="295" t="s">
        <v>7</v>
      </c>
      <c r="J9" s="295" t="s">
        <v>6</v>
      </c>
      <c r="K9" s="746" t="s">
        <v>8</v>
      </c>
      <c r="L9" s="295" t="s">
        <v>7</v>
      </c>
      <c r="M9" s="295" t="s">
        <v>6</v>
      </c>
      <c r="N9" s="295" t="s">
        <v>8</v>
      </c>
      <c r="O9" s="844"/>
    </row>
    <row r="10" spans="2:15" ht="21.15" customHeight="1">
      <c r="B10" s="297" t="str">
        <f>'[1]כוח אדם'!B21</f>
        <v>מספר עובדים חיצוניים (שמחזיקים במשרות מקצועיות)</v>
      </c>
      <c r="C10" s="234">
        <v>455</v>
      </c>
      <c r="D10" s="234">
        <v>350</v>
      </c>
      <c r="E10" s="747">
        <v>805</v>
      </c>
      <c r="F10" s="234">
        <v>520</v>
      </c>
      <c r="G10" s="234">
        <v>445</v>
      </c>
      <c r="H10" s="747">
        <v>965</v>
      </c>
      <c r="I10" s="234">
        <v>331</v>
      </c>
      <c r="J10" s="234">
        <v>354</v>
      </c>
      <c r="K10" s="747">
        <v>685</v>
      </c>
      <c r="L10" s="234">
        <v>266</v>
      </c>
      <c r="M10" s="562">
        <v>278</v>
      </c>
      <c r="N10" s="563">
        <f>SUM(L10:M10)</f>
        <v>544</v>
      </c>
      <c r="O10" s="843" t="str">
        <f>'[1]כוח אדם'!L21</f>
        <v>2-7, 2-8</v>
      </c>
    </row>
    <row r="11" spans="2:15" ht="21.15" customHeight="1">
      <c r="B11" s="300" t="str">
        <f>'[1]כוח אדם'!B23</f>
        <v>מספר עובדים חיצוניים שנקלטו</v>
      </c>
      <c r="C11" s="235">
        <v>345</v>
      </c>
      <c r="D11" s="235">
        <v>233</v>
      </c>
      <c r="E11" s="747">
        <v>578</v>
      </c>
      <c r="F11" s="234">
        <v>477</v>
      </c>
      <c r="G11" s="235">
        <v>327</v>
      </c>
      <c r="H11" s="748">
        <v>804</v>
      </c>
      <c r="I11" s="235">
        <v>345</v>
      </c>
      <c r="J11" s="235">
        <v>201</v>
      </c>
      <c r="K11" s="747">
        <v>546</v>
      </c>
      <c r="L11" s="234">
        <v>162</v>
      </c>
      <c r="M11" s="564">
        <v>242</v>
      </c>
      <c r="N11" s="563">
        <f t="shared" si="0" ref="N11:N14">SUM(L11:M11)</f>
        <v>404</v>
      </c>
      <c r="O11" s="843"/>
    </row>
    <row r="12" spans="2:15" ht="21.15" customHeight="1">
      <c r="B12" s="300" t="str">
        <f>'[1]כוח אדם'!B25</f>
        <v>מספר העובדים במשרה מלאה</v>
      </c>
      <c r="C12" s="235">
        <v>1522</v>
      </c>
      <c r="D12" s="235">
        <v>3273</v>
      </c>
      <c r="E12" s="747">
        <v>4795</v>
      </c>
      <c r="F12" s="234">
        <v>1474</v>
      </c>
      <c r="G12" s="235">
        <v>3406</v>
      </c>
      <c r="H12" s="748">
        <v>4880</v>
      </c>
      <c r="I12" s="235">
        <v>1494</v>
      </c>
      <c r="J12" s="235">
        <v>3430</v>
      </c>
      <c r="K12" s="747">
        <v>4924</v>
      </c>
      <c r="L12" s="234">
        <v>3446</v>
      </c>
      <c r="M12" s="564">
        <v>1435</v>
      </c>
      <c r="N12" s="563">
        <f t="shared" si="0"/>
        <v>4881</v>
      </c>
      <c r="O12" s="843"/>
    </row>
    <row r="13" spans="2:15" ht="21.15" customHeight="1">
      <c r="B13" s="300" t="str">
        <f>'[1]כוח אדם'!B27</f>
        <v>מספר העובדים במשרה חלקית</v>
      </c>
      <c r="C13" s="235">
        <v>402</v>
      </c>
      <c r="D13" s="235">
        <v>211</v>
      </c>
      <c r="E13" s="747">
        <v>613</v>
      </c>
      <c r="F13" s="234">
        <v>410</v>
      </c>
      <c r="G13" s="235">
        <v>185</v>
      </c>
      <c r="H13" s="748">
        <v>595</v>
      </c>
      <c r="I13" s="235">
        <v>468</v>
      </c>
      <c r="J13" s="235">
        <v>206</v>
      </c>
      <c r="K13" s="747">
        <v>674</v>
      </c>
      <c r="L13" s="234">
        <v>160</v>
      </c>
      <c r="M13" s="564">
        <v>391</v>
      </c>
      <c r="N13" s="563">
        <f t="shared" si="0"/>
        <v>551</v>
      </c>
      <c r="O13" s="843"/>
    </row>
    <row r="14" spans="2:15" ht="21.15" customHeight="1">
      <c r="B14" s="300" t="str">
        <f>'[1]כוח אדם'!B29</f>
        <v>סה"כ מספר (מלאה+חלקית)</v>
      </c>
      <c r="C14" s="235">
        <v>1924</v>
      </c>
      <c r="D14" s="235">
        <v>3484</v>
      </c>
      <c r="E14" s="747">
        <v>5408</v>
      </c>
      <c r="F14" s="234">
        <v>1884</v>
      </c>
      <c r="G14" s="235">
        <v>3591</v>
      </c>
      <c r="H14" s="748">
        <v>5475</v>
      </c>
      <c r="I14" s="235">
        <v>1962</v>
      </c>
      <c r="J14" s="235">
        <v>3636</v>
      </c>
      <c r="K14" s="747">
        <v>5598</v>
      </c>
      <c r="L14" s="234">
        <f>L13+L12</f>
        <v>3606</v>
      </c>
      <c r="M14" s="564">
        <f>M13+M12</f>
        <v>1826</v>
      </c>
      <c r="N14" s="563">
        <f t="shared" si="0"/>
        <v>5432</v>
      </c>
      <c r="O14" s="843"/>
    </row>
    <row r="15" spans="2:15" ht="21.15" customHeight="1">
      <c r="B15" s="300" t="str">
        <f>'[1]כוח אדם'!B31</f>
        <v>מספר עובדים שעליהם חלים הסכמים קיבוציים</v>
      </c>
      <c r="C15" s="855">
        <v>4978</v>
      </c>
      <c r="D15" s="855"/>
      <c r="E15" s="856"/>
      <c r="F15" s="857">
        <v>5112</v>
      </c>
      <c r="G15" s="858"/>
      <c r="H15" s="859"/>
      <c r="I15" s="847">
        <v>5217</v>
      </c>
      <c r="J15" s="847"/>
      <c r="K15" s="860"/>
      <c r="L15" s="847">
        <v>5049</v>
      </c>
      <c r="M15" s="847"/>
      <c r="N15" s="848"/>
      <c r="O15" s="843" t="s">
        <v>359</v>
      </c>
    </row>
    <row r="16" spans="2:15" s="43" customFormat="1" ht="21.15" customHeight="1">
      <c r="B16" s="301" t="str">
        <f>'[1]כוח אדם'!B32</f>
        <v>אחוז עובדים שעליהם חלים הסכמים קיבוציים</v>
      </c>
      <c r="C16" s="861">
        <v>0.9092237442922374</v>
      </c>
      <c r="D16" s="861"/>
      <c r="E16" s="861"/>
      <c r="F16" s="862">
        <v>0.9336986301369863</v>
      </c>
      <c r="G16" s="861"/>
      <c r="H16" s="863"/>
      <c r="I16" s="849">
        <v>0.9319399785637728</v>
      </c>
      <c r="J16" s="850"/>
      <c r="K16" s="864"/>
      <c r="L16" s="849">
        <f>L15/N14</f>
        <v>0.9294918998527246</v>
      </c>
      <c r="M16" s="850"/>
      <c r="N16" s="851"/>
      <c r="O16" s="843"/>
    </row>
    <row r="17" spans="2:15" ht="21.15" customHeight="1">
      <c r="B17" s="82"/>
      <c r="C17" s="234"/>
      <c r="D17" s="749"/>
      <c r="E17" s="749"/>
      <c r="F17" s="82"/>
      <c r="G17" s="82"/>
      <c r="H17" s="82"/>
      <c r="I17" s="82"/>
      <c r="J17" s="82"/>
      <c r="K17" s="82"/>
      <c r="L17" s="82"/>
      <c r="M17" s="82"/>
      <c r="N17" s="82"/>
      <c r="O17" s="82"/>
    </row>
    <row r="18" spans="2:14" ht="24.9" customHeight="1">
      <c r="B18" s="92" t="s">
        <v>162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</row>
    <row r="19" spans="2:19" ht="21.15" customHeight="1">
      <c r="B19" s="86"/>
      <c r="C19" s="3">
        <v>2020</v>
      </c>
      <c r="D19" s="3"/>
      <c r="E19" s="853"/>
      <c r="F19" s="3">
        <v>2021</v>
      </c>
      <c r="G19" s="3"/>
      <c r="H19" s="853"/>
      <c r="I19" s="854">
        <v>2022</v>
      </c>
      <c r="J19" s="3"/>
      <c r="K19" s="853"/>
      <c r="L19" s="3">
        <v>2023</v>
      </c>
      <c r="M19" s="3"/>
      <c r="N19" s="846"/>
      <c r="O19" s="489" t="s">
        <v>5</v>
      </c>
      <c r="S19" s="43"/>
    </row>
    <row r="20" spans="2:15" ht="21.15" customHeight="1">
      <c r="B20" s="302"/>
      <c r="C20" s="303" t="s">
        <v>6</v>
      </c>
      <c r="D20" s="303" t="s">
        <v>7</v>
      </c>
      <c r="E20" s="304" t="s">
        <v>8</v>
      </c>
      <c r="F20" s="303" t="s">
        <v>6</v>
      </c>
      <c r="G20" s="303" t="s">
        <v>7</v>
      </c>
      <c r="H20" s="304" t="s">
        <v>8</v>
      </c>
      <c r="I20" s="295" t="s">
        <v>6</v>
      </c>
      <c r="J20" s="295" t="s">
        <v>7</v>
      </c>
      <c r="K20" s="305" t="s">
        <v>8</v>
      </c>
      <c r="L20" s="302" t="s">
        <v>6</v>
      </c>
      <c r="M20" s="302" t="s">
        <v>7</v>
      </c>
      <c r="N20" s="302" t="s">
        <v>8</v>
      </c>
      <c r="O20" s="489"/>
    </row>
    <row r="21" spans="2:15" ht="54" customHeight="1">
      <c r="B21" s="306" t="s">
        <v>163</v>
      </c>
      <c r="C21" s="307">
        <v>20</v>
      </c>
      <c r="D21" s="307">
        <v>26</v>
      </c>
      <c r="E21" s="308">
        <v>46</v>
      </c>
      <c r="F21" s="309">
        <v>23</v>
      </c>
      <c r="G21" s="309">
        <v>22</v>
      </c>
      <c r="H21" s="310">
        <v>45</v>
      </c>
      <c r="I21" s="311">
        <v>25</v>
      </c>
      <c r="J21" s="311">
        <v>25</v>
      </c>
      <c r="K21" s="310">
        <v>50</v>
      </c>
      <c r="L21" s="311">
        <v>30</v>
      </c>
      <c r="M21" s="311">
        <v>29</v>
      </c>
      <c r="N21" s="310">
        <v>59</v>
      </c>
      <c r="O21" s="865" t="s">
        <v>18</v>
      </c>
    </row>
    <row r="22" spans="2:17" ht="21.15" customHeight="1">
      <c r="B22" s="312" t="s">
        <v>19</v>
      </c>
      <c r="C22" s="313">
        <v>0.0314</v>
      </c>
      <c r="D22" s="313">
        <v>0.0397</v>
      </c>
      <c r="E22" s="314">
        <v>0.0356</v>
      </c>
      <c r="F22" s="253">
        <v>0.04144144144144144</v>
      </c>
      <c r="G22" s="253">
        <v>0.03773584905660377</v>
      </c>
      <c r="H22" s="315">
        <v>0.03954305799648506</v>
      </c>
      <c r="I22" s="298">
        <v>0.04752851711026616</v>
      </c>
      <c r="J22" s="298">
        <v>0.042444821731748725</v>
      </c>
      <c r="K22" s="299">
        <v>0.04484304932735426</v>
      </c>
      <c r="L22" s="298">
        <v>0.05628517823639775</v>
      </c>
      <c r="M22" s="298">
        <v>0.04662379421221865</v>
      </c>
      <c r="N22" s="299">
        <v>0.05108225108225108</v>
      </c>
      <c r="O22" s="865"/>
      <c r="Q22" s="40"/>
    </row>
    <row r="23" spans="2:15" ht="21.15" customHeight="1">
      <c r="B23" s="312" t="s">
        <v>164</v>
      </c>
      <c r="C23" s="263">
        <v>16</v>
      </c>
      <c r="D23" s="263">
        <v>14</v>
      </c>
      <c r="E23" s="264">
        <v>30</v>
      </c>
      <c r="F23" s="316">
        <v>23</v>
      </c>
      <c r="G23" s="316">
        <v>2</v>
      </c>
      <c r="H23" s="317">
        <v>0</v>
      </c>
      <c r="I23" s="318">
        <v>12</v>
      </c>
      <c r="J23" s="318">
        <v>11</v>
      </c>
      <c r="K23" s="317">
        <v>23</v>
      </c>
      <c r="L23" s="318">
        <v>11</v>
      </c>
      <c r="M23" s="318">
        <v>13</v>
      </c>
      <c r="N23" s="317">
        <v>24</v>
      </c>
      <c r="O23" s="865"/>
    </row>
    <row r="24" spans="2:15" ht="21.15" customHeight="1">
      <c r="B24" s="312" t="s">
        <v>170</v>
      </c>
      <c r="C24" s="298">
        <v>0.80</v>
      </c>
      <c r="D24" s="298">
        <v>0.5384615384615384</v>
      </c>
      <c r="E24" s="299">
        <v>0.6521739130434783</v>
      </c>
      <c r="F24" s="298">
        <v>1</v>
      </c>
      <c r="G24" s="298">
        <v>0.09090909090909091</v>
      </c>
      <c r="H24" s="299">
        <v>0</v>
      </c>
      <c r="I24" s="298">
        <v>0.48</v>
      </c>
      <c r="J24" s="298">
        <v>0.44</v>
      </c>
      <c r="K24" s="299">
        <v>0.46</v>
      </c>
      <c r="L24" s="298">
        <v>0.36666666666666664</v>
      </c>
      <c r="M24" s="298">
        <v>0.4482758620689655</v>
      </c>
      <c r="N24" s="299">
        <v>0.4067796610169492</v>
      </c>
      <c r="O24" s="865"/>
    </row>
    <row r="25" spans="2:15" ht="21.15" customHeight="1">
      <c r="B25" s="312" t="s">
        <v>165</v>
      </c>
      <c r="C25" s="318">
        <v>636</v>
      </c>
      <c r="D25" s="318">
        <v>654</v>
      </c>
      <c r="E25" s="317">
        <v>1290</v>
      </c>
      <c r="F25" s="316">
        <v>555</v>
      </c>
      <c r="G25" s="316">
        <v>583</v>
      </c>
      <c r="H25" s="317">
        <v>1138</v>
      </c>
      <c r="I25" s="318">
        <v>526</v>
      </c>
      <c r="J25" s="318">
        <v>589</v>
      </c>
      <c r="K25" s="317">
        <v>1115</v>
      </c>
      <c r="L25" s="318">
        <v>533</v>
      </c>
      <c r="M25" s="318">
        <v>622</v>
      </c>
      <c r="N25" s="317">
        <v>1155</v>
      </c>
      <c r="O25" s="865"/>
    </row>
    <row r="26" spans="2:15" ht="21.15" customHeight="1">
      <c r="B26" s="312" t="s">
        <v>166</v>
      </c>
      <c r="C26" s="253">
        <v>1</v>
      </c>
      <c r="D26" s="253">
        <v>1</v>
      </c>
      <c r="E26" s="315">
        <v>1</v>
      </c>
      <c r="F26" s="253">
        <v>1</v>
      </c>
      <c r="G26" s="253">
        <v>1</v>
      </c>
      <c r="H26" s="315">
        <v>1</v>
      </c>
      <c r="I26" s="298">
        <v>1</v>
      </c>
      <c r="J26" s="298">
        <v>1</v>
      </c>
      <c r="K26" s="299">
        <v>1</v>
      </c>
      <c r="L26" s="298">
        <v>1</v>
      </c>
      <c r="M26" s="298">
        <v>1</v>
      </c>
      <c r="N26" s="299">
        <v>1</v>
      </c>
      <c r="O26" s="865"/>
    </row>
    <row r="27" spans="2:16" ht="81" customHeight="1">
      <c r="B27" s="312" t="s">
        <v>167</v>
      </c>
      <c r="C27" s="316">
        <v>0</v>
      </c>
      <c r="D27" s="316">
        <v>0</v>
      </c>
      <c r="E27" s="319">
        <v>0</v>
      </c>
      <c r="F27" s="316">
        <v>0</v>
      </c>
      <c r="G27" s="316">
        <v>0</v>
      </c>
      <c r="H27" s="317">
        <v>0</v>
      </c>
      <c r="I27" s="318">
        <v>0</v>
      </c>
      <c r="J27" s="318">
        <v>0</v>
      </c>
      <c r="K27" s="317">
        <v>0</v>
      </c>
      <c r="L27" s="318">
        <v>0</v>
      </c>
      <c r="M27" s="318">
        <v>0</v>
      </c>
      <c r="N27" s="317">
        <v>0</v>
      </c>
      <c r="O27" s="865"/>
      <c r="P27" s="40"/>
    </row>
    <row r="28" spans="2:15" ht="21.15" customHeight="1">
      <c r="B28" s="312" t="s">
        <v>20</v>
      </c>
      <c r="C28" s="253">
        <v>0</v>
      </c>
      <c r="D28" s="253">
        <v>0</v>
      </c>
      <c r="E28" s="315">
        <v>0</v>
      </c>
      <c r="F28" s="253">
        <v>0</v>
      </c>
      <c r="G28" s="253">
        <v>0</v>
      </c>
      <c r="H28" s="315">
        <v>0</v>
      </c>
      <c r="I28" s="298">
        <v>0</v>
      </c>
      <c r="J28" s="298">
        <v>0</v>
      </c>
      <c r="K28" s="299">
        <v>0</v>
      </c>
      <c r="L28" s="298">
        <v>0</v>
      </c>
      <c r="M28" s="298">
        <v>0</v>
      </c>
      <c r="N28" s="299">
        <v>0</v>
      </c>
      <c r="O28" s="865"/>
    </row>
    <row r="29" spans="2:15" ht="21.15" customHeight="1">
      <c r="B29" s="312" t="s">
        <v>21</v>
      </c>
      <c r="C29" s="318">
        <v>636</v>
      </c>
      <c r="D29" s="318">
        <v>654</v>
      </c>
      <c r="E29" s="317">
        <v>1290</v>
      </c>
      <c r="F29" s="316">
        <v>555</v>
      </c>
      <c r="G29" s="316">
        <v>583</v>
      </c>
      <c r="H29" s="319">
        <v>1138</v>
      </c>
      <c r="I29" s="318">
        <v>526</v>
      </c>
      <c r="J29" s="318">
        <v>589</v>
      </c>
      <c r="K29" s="317">
        <v>1115</v>
      </c>
      <c r="L29" s="318">
        <v>533</v>
      </c>
      <c r="M29" s="318">
        <v>622</v>
      </c>
      <c r="N29" s="317">
        <v>1155</v>
      </c>
      <c r="O29" s="865"/>
    </row>
    <row r="30" spans="2:15" ht="21.15" customHeight="1">
      <c r="B30" s="320" t="s">
        <v>22</v>
      </c>
      <c r="C30" s="321">
        <v>1</v>
      </c>
      <c r="D30" s="321">
        <v>1</v>
      </c>
      <c r="E30" s="322">
        <v>1</v>
      </c>
      <c r="F30" s="323">
        <v>1</v>
      </c>
      <c r="G30" s="323">
        <v>1</v>
      </c>
      <c r="H30" s="324">
        <v>1</v>
      </c>
      <c r="I30" s="325">
        <v>1</v>
      </c>
      <c r="J30" s="325">
        <v>1</v>
      </c>
      <c r="K30" s="326">
        <v>1</v>
      </c>
      <c r="L30" s="325">
        <v>1</v>
      </c>
      <c r="M30" s="325">
        <v>1</v>
      </c>
      <c r="N30" s="326">
        <v>1</v>
      </c>
      <c r="O30" s="865"/>
    </row>
    <row r="31" spans="2:15" ht="21.15" customHeight="1">
      <c r="B31" s="131"/>
      <c r="C31" s="132"/>
      <c r="D31" s="132"/>
      <c r="E31" s="132"/>
      <c r="F31" s="133"/>
      <c r="G31" s="133"/>
      <c r="H31" s="133"/>
      <c r="I31" s="134"/>
      <c r="J31" s="134"/>
      <c r="K31" s="134"/>
      <c r="L31" s="134"/>
      <c r="M31" s="134"/>
      <c r="N31" s="135"/>
      <c r="O31" s="131"/>
    </row>
    <row r="32" spans="2:15" ht="24.9" customHeight="1">
      <c r="B32" s="92" t="s">
        <v>157</v>
      </c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O32" s="82"/>
    </row>
    <row r="33" spans="2:15" ht="21.15" customHeight="1">
      <c r="B33" s="86"/>
      <c r="C33" s="3">
        <v>2020</v>
      </c>
      <c r="D33" s="3"/>
      <c r="E33" s="853"/>
      <c r="F33" s="854">
        <v>2021</v>
      </c>
      <c r="G33" s="3"/>
      <c r="H33" s="853"/>
      <c r="I33" s="3">
        <v>2022</v>
      </c>
      <c r="J33" s="3"/>
      <c r="K33" s="3"/>
      <c r="L33" s="3">
        <v>2023</v>
      </c>
      <c r="M33" s="3"/>
      <c r="N33" s="846"/>
      <c r="O33" s="844" t="s">
        <v>5</v>
      </c>
    </row>
    <row r="34" spans="2:15" ht="21.15" customHeight="1">
      <c r="B34" s="302"/>
      <c r="C34" s="327" t="s">
        <v>6</v>
      </c>
      <c r="D34" s="327" t="s">
        <v>7</v>
      </c>
      <c r="E34" s="328" t="s">
        <v>8</v>
      </c>
      <c r="F34" s="327" t="s">
        <v>6</v>
      </c>
      <c r="G34" s="327" t="s">
        <v>7</v>
      </c>
      <c r="H34" s="328" t="s">
        <v>8</v>
      </c>
      <c r="I34" s="302" t="s">
        <v>6</v>
      </c>
      <c r="J34" s="302" t="s">
        <v>7</v>
      </c>
      <c r="K34" s="302" t="s">
        <v>8</v>
      </c>
      <c r="L34" s="302" t="s">
        <v>6</v>
      </c>
      <c r="M34" s="302" t="s">
        <v>7</v>
      </c>
      <c r="N34" s="302" t="s">
        <v>8</v>
      </c>
      <c r="O34" s="844"/>
    </row>
    <row r="35" spans="2:15" ht="21.15" customHeight="1">
      <c r="B35" s="329" t="s">
        <v>163</v>
      </c>
      <c r="C35" s="330">
        <v>17</v>
      </c>
      <c r="D35" s="330">
        <v>40</v>
      </c>
      <c r="E35" s="331">
        <v>57</v>
      </c>
      <c r="F35" s="330">
        <v>17</v>
      </c>
      <c r="G35" s="330">
        <v>36</v>
      </c>
      <c r="H35" s="331">
        <v>53</v>
      </c>
      <c r="I35" s="330">
        <v>23</v>
      </c>
      <c r="J35" s="330">
        <v>27</v>
      </c>
      <c r="K35" s="331">
        <v>50</v>
      </c>
      <c r="L35" s="330">
        <v>17</v>
      </c>
      <c r="M35" s="330">
        <v>30</v>
      </c>
      <c r="N35" s="331">
        <v>47</v>
      </c>
      <c r="O35" s="843" t="s">
        <v>18</v>
      </c>
    </row>
    <row r="36" spans="2:18" ht="21.15" customHeight="1">
      <c r="B36" s="332" t="s">
        <v>171</v>
      </c>
      <c r="C36" s="333">
        <v>0.01829924650161464</v>
      </c>
      <c r="D36" s="333">
        <v>0.0411946446961895</v>
      </c>
      <c r="E36" s="334">
        <v>0.03</v>
      </c>
      <c r="F36" s="333">
        <v>0.019813519813519812</v>
      </c>
      <c r="G36" s="333">
        <v>0.03951701427003293</v>
      </c>
      <c r="H36" s="334">
        <v>0.029960429621254947</v>
      </c>
      <c r="I36" s="333">
        <v>0.028083028083028084</v>
      </c>
      <c r="J36" s="333">
        <v>0.031322505800464036</v>
      </c>
      <c r="K36" s="334">
        <v>0.0297441998810232</v>
      </c>
      <c r="L36" s="333">
        <v>0.020987654320987655</v>
      </c>
      <c r="M36" s="333">
        <v>0.03424657534246575</v>
      </c>
      <c r="N36" s="334">
        <v>0.027876631079478055</v>
      </c>
      <c r="O36" s="843"/>
      <c r="R36" s="40"/>
    </row>
    <row r="37" spans="2:15" ht="21.15" customHeight="1">
      <c r="B37" s="332" t="s">
        <v>164</v>
      </c>
      <c r="C37" s="336">
        <v>0</v>
      </c>
      <c r="D37" s="336">
        <v>0</v>
      </c>
      <c r="E37" s="337">
        <v>0</v>
      </c>
      <c r="F37" s="336">
        <v>0</v>
      </c>
      <c r="G37" s="336">
        <v>0</v>
      </c>
      <c r="H37" s="338">
        <v>0</v>
      </c>
      <c r="I37" s="336">
        <v>0</v>
      </c>
      <c r="J37" s="336">
        <v>0</v>
      </c>
      <c r="K37" s="338">
        <v>0</v>
      </c>
      <c r="L37" s="336">
        <v>1</v>
      </c>
      <c r="M37" s="336">
        <v>4</v>
      </c>
      <c r="N37" s="338">
        <v>5</v>
      </c>
      <c r="O37" s="843"/>
    </row>
    <row r="38" spans="2:15" ht="21.15" customHeight="1">
      <c r="B38" s="332" t="s">
        <v>170</v>
      </c>
      <c r="C38" s="339">
        <v>0</v>
      </c>
      <c r="D38" s="339">
        <v>0</v>
      </c>
      <c r="E38" s="340">
        <v>0</v>
      </c>
      <c r="F38" s="339">
        <v>0</v>
      </c>
      <c r="G38" s="339">
        <v>0</v>
      </c>
      <c r="H38" s="340">
        <v>0</v>
      </c>
      <c r="I38" s="339">
        <v>0</v>
      </c>
      <c r="J38" s="339">
        <v>0</v>
      </c>
      <c r="K38" s="340">
        <v>0</v>
      </c>
      <c r="L38" s="339">
        <v>0.058823529411764705</v>
      </c>
      <c r="M38" s="339">
        <v>0.13333333333333333</v>
      </c>
      <c r="N38" s="340">
        <v>0.10638297872340426</v>
      </c>
      <c r="O38" s="843"/>
    </row>
    <row r="39" spans="2:15" ht="21.15" customHeight="1">
      <c r="B39" s="332" t="s">
        <v>165</v>
      </c>
      <c r="C39" s="336">
        <v>476</v>
      </c>
      <c r="D39" s="336">
        <v>710</v>
      </c>
      <c r="E39" s="338">
        <v>1186</v>
      </c>
      <c r="F39" s="336">
        <v>450</v>
      </c>
      <c r="G39" s="336">
        <v>685</v>
      </c>
      <c r="H39" s="338">
        <f>G39+F39</f>
        <v>1135</v>
      </c>
      <c r="I39" s="336">
        <v>453</v>
      </c>
      <c r="J39" s="336">
        <v>664</v>
      </c>
      <c r="K39" s="338">
        <f>J39+I39</f>
        <v>1117</v>
      </c>
      <c r="L39" s="336">
        <v>455</v>
      </c>
      <c r="M39" s="336">
        <v>641</v>
      </c>
      <c r="N39" s="338">
        <f>M39+L39</f>
        <v>1096</v>
      </c>
      <c r="O39" s="843"/>
    </row>
    <row r="40" spans="2:15" ht="21.15" customHeight="1">
      <c r="B40" s="332" t="s">
        <v>166</v>
      </c>
      <c r="C40" s="333">
        <v>0.5123789020452099</v>
      </c>
      <c r="D40" s="333">
        <v>0.7312049433573635</v>
      </c>
      <c r="E40" s="334">
        <v>0.6242105263157894</v>
      </c>
      <c r="F40" s="333">
        <v>0.5244755244755245</v>
      </c>
      <c r="G40" s="333">
        <v>0.75192096597146</v>
      </c>
      <c r="H40" s="334">
        <v>0.6416054267947994</v>
      </c>
      <c r="I40" s="333">
        <f t="shared" si="1" ref="I40:N40">I39/I43</f>
        <v>0.5444711538461539</v>
      </c>
      <c r="J40" s="333">
        <f t="shared" si="1"/>
        <v>0.7614678899082569</v>
      </c>
      <c r="K40" s="334">
        <f t="shared" si="1"/>
        <v>0.6555164319248826</v>
      </c>
      <c r="L40" s="333">
        <f t="shared" si="1"/>
        <v>0.5631188118811881</v>
      </c>
      <c r="M40" s="333">
        <f t="shared" si="1"/>
        <v>0.7317351598173516</v>
      </c>
      <c r="N40" s="334">
        <f t="shared" si="1"/>
        <v>0.6508313539192399</v>
      </c>
      <c r="O40" s="843"/>
    </row>
    <row r="41" spans="2:15" ht="21.15" customHeight="1">
      <c r="B41" s="332" t="s">
        <v>167</v>
      </c>
      <c r="C41" s="336">
        <v>453</v>
      </c>
      <c r="D41" s="336">
        <v>261</v>
      </c>
      <c r="E41" s="338">
        <v>714</v>
      </c>
      <c r="F41" s="336">
        <v>408</v>
      </c>
      <c r="G41" s="336">
        <v>225</v>
      </c>
      <c r="H41" s="338">
        <f>G41+F41</f>
        <v>633</v>
      </c>
      <c r="I41" s="336">
        <v>379</v>
      </c>
      <c r="J41" s="336">
        <v>208</v>
      </c>
      <c r="K41" s="338">
        <f>J41+I41</f>
        <v>587</v>
      </c>
      <c r="L41" s="336">
        <v>353</v>
      </c>
      <c r="M41" s="336">
        <v>235</v>
      </c>
      <c r="N41" s="338">
        <f>M41+L41</f>
        <v>588</v>
      </c>
      <c r="O41" s="843"/>
    </row>
    <row r="42" spans="2:15" ht="21.15" customHeight="1">
      <c r="B42" s="332" t="s">
        <v>168</v>
      </c>
      <c r="C42" s="333">
        <v>0.4876210979547901</v>
      </c>
      <c r="D42" s="333">
        <v>0.2687950566426365</v>
      </c>
      <c r="E42" s="334">
        <v>0.3757894736842105</v>
      </c>
      <c r="F42" s="333">
        <v>0.4766899766899767</v>
      </c>
      <c r="G42" s="333">
        <v>0.24698133918770582</v>
      </c>
      <c r="H42" s="334">
        <v>0.3583945732052007</v>
      </c>
      <c r="I42" s="333">
        <f t="shared" si="2" ref="I42:N42">I41/I43</f>
        <v>0.45552884615384615</v>
      </c>
      <c r="J42" s="333">
        <f t="shared" si="2"/>
        <v>0.23853211009174313</v>
      </c>
      <c r="K42" s="334">
        <f t="shared" si="2"/>
        <v>0.3444835680751174</v>
      </c>
      <c r="L42" s="333">
        <f t="shared" si="2"/>
        <v>0.4368811881188119</v>
      </c>
      <c r="M42" s="333">
        <f t="shared" si="2"/>
        <v>0.2682648401826484</v>
      </c>
      <c r="N42" s="334">
        <f t="shared" si="2"/>
        <v>0.3491686460807601</v>
      </c>
      <c r="O42" s="843"/>
    </row>
    <row r="43" spans="2:15" ht="21.15" customHeight="1">
      <c r="B43" s="332" t="s">
        <v>21</v>
      </c>
      <c r="C43" s="336">
        <v>929</v>
      </c>
      <c r="D43" s="336">
        <v>971</v>
      </c>
      <c r="E43" s="337">
        <v>1900</v>
      </c>
      <c r="F43" s="336">
        <f t="shared" si="3" ref="F43:N43">F41+F39</f>
        <v>858</v>
      </c>
      <c r="G43" s="336">
        <f t="shared" si="3"/>
        <v>910</v>
      </c>
      <c r="H43" s="337">
        <f t="shared" si="3"/>
        <v>1768</v>
      </c>
      <c r="I43" s="336">
        <f t="shared" si="3"/>
        <v>832</v>
      </c>
      <c r="J43" s="336">
        <f t="shared" si="3"/>
        <v>872</v>
      </c>
      <c r="K43" s="337">
        <f t="shared" si="3"/>
        <v>1704</v>
      </c>
      <c r="L43" s="336">
        <f t="shared" si="3"/>
        <v>808</v>
      </c>
      <c r="M43" s="336">
        <f t="shared" si="3"/>
        <v>876</v>
      </c>
      <c r="N43" s="337">
        <f t="shared" si="3"/>
        <v>1684</v>
      </c>
      <c r="O43" s="843"/>
    </row>
    <row r="44" spans="2:15" ht="21.15" customHeight="1">
      <c r="B44" s="341" t="s">
        <v>169</v>
      </c>
      <c r="C44" s="342">
        <v>1</v>
      </c>
      <c r="D44" s="342">
        <v>1</v>
      </c>
      <c r="E44" s="343">
        <v>1</v>
      </c>
      <c r="F44" s="342">
        <v>1.0011655011655012</v>
      </c>
      <c r="G44" s="342">
        <v>0.9989023051591658</v>
      </c>
      <c r="H44" s="343">
        <v>1</v>
      </c>
      <c r="I44" s="342">
        <f>(I41+I39)/I43</f>
        <v>1</v>
      </c>
      <c r="J44" s="342">
        <f>(J41+J39)/J43</f>
        <v>1</v>
      </c>
      <c r="K44" s="342">
        <f t="shared" si="4" ref="K44:M44">(K41+K39)/K43</f>
        <v>1</v>
      </c>
      <c r="L44" s="342">
        <f t="shared" si="4"/>
        <v>1</v>
      </c>
      <c r="M44" s="342">
        <f t="shared" si="4"/>
        <v>1</v>
      </c>
      <c r="N44" s="342">
        <f>(N41+N39)/N43</f>
        <v>1</v>
      </c>
      <c r="O44" s="843"/>
    </row>
    <row r="45" spans="2:15" ht="21.15" customHeight="1">
      <c r="B45" s="137"/>
      <c r="C45" s="136"/>
      <c r="D45" s="136"/>
      <c r="E45" s="136"/>
      <c r="F45" s="136"/>
      <c r="G45" s="136"/>
      <c r="H45" s="136"/>
      <c r="I45" s="138"/>
      <c r="J45" s="138"/>
      <c r="K45" s="138"/>
      <c r="L45" s="138"/>
      <c r="M45" s="138"/>
      <c r="N45" s="117"/>
      <c r="O45" s="85"/>
    </row>
    <row r="46" spans="2:15" ht="24.9" customHeight="1">
      <c r="B46" s="92" t="s">
        <v>158</v>
      </c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O46" s="85"/>
    </row>
    <row r="47" spans="2:15" ht="21.15" customHeight="1">
      <c r="B47" s="345"/>
      <c r="C47" s="3">
        <v>2020</v>
      </c>
      <c r="D47" s="3"/>
      <c r="E47" s="853"/>
      <c r="F47" s="3">
        <v>2021</v>
      </c>
      <c r="G47" s="3"/>
      <c r="H47" s="3"/>
      <c r="I47" s="854">
        <v>2022</v>
      </c>
      <c r="J47" s="3"/>
      <c r="K47" s="853"/>
      <c r="L47" s="3">
        <v>2023</v>
      </c>
      <c r="M47" s="3"/>
      <c r="N47" s="846"/>
      <c r="O47" s="844" t="s">
        <v>5</v>
      </c>
    </row>
    <row r="48" spans="2:15" ht="21.15" customHeight="1">
      <c r="B48" s="302"/>
      <c r="C48" s="327" t="s">
        <v>6</v>
      </c>
      <c r="D48" s="327" t="s">
        <v>7</v>
      </c>
      <c r="E48" s="328" t="s">
        <v>8</v>
      </c>
      <c r="F48" s="327" t="s">
        <v>6</v>
      </c>
      <c r="G48" s="327" t="s">
        <v>7</v>
      </c>
      <c r="H48" s="328" t="s">
        <v>8</v>
      </c>
      <c r="I48" s="302" t="s">
        <v>6</v>
      </c>
      <c r="J48" s="302" t="s">
        <v>7</v>
      </c>
      <c r="K48" s="638" t="s">
        <v>8</v>
      </c>
      <c r="L48" s="302" t="s">
        <v>6</v>
      </c>
      <c r="M48" s="302" t="s">
        <v>7</v>
      </c>
      <c r="N48" s="302" t="s">
        <v>8</v>
      </c>
      <c r="O48" s="844"/>
    </row>
    <row r="49" spans="2:15" ht="21.15" customHeight="1">
      <c r="B49" s="306" t="s">
        <v>163</v>
      </c>
      <c r="C49" s="53">
        <v>0</v>
      </c>
      <c r="D49" s="53">
        <v>0</v>
      </c>
      <c r="E49" s="346">
        <v>0</v>
      </c>
      <c r="F49" s="53">
        <v>0</v>
      </c>
      <c r="G49" s="53">
        <v>0</v>
      </c>
      <c r="H49" s="346">
        <v>0</v>
      </c>
      <c r="I49" s="53">
        <v>0</v>
      </c>
      <c r="J49" s="53">
        <v>0</v>
      </c>
      <c r="K49" s="639">
        <v>0</v>
      </c>
      <c r="L49" s="53">
        <v>0</v>
      </c>
      <c r="M49" s="53">
        <v>0</v>
      </c>
      <c r="N49" s="346">
        <v>0</v>
      </c>
      <c r="O49" s="843" t="s">
        <v>18</v>
      </c>
    </row>
    <row r="50" spans="2:15" ht="21.15" customHeight="1">
      <c r="B50" s="312" t="s">
        <v>171</v>
      </c>
      <c r="C50" s="56">
        <v>0</v>
      </c>
      <c r="D50" s="56">
        <v>0</v>
      </c>
      <c r="E50" s="347">
        <v>0</v>
      </c>
      <c r="F50" s="56">
        <v>0</v>
      </c>
      <c r="G50" s="56">
        <v>0</v>
      </c>
      <c r="H50" s="347">
        <v>0</v>
      </c>
      <c r="I50" s="56">
        <v>0</v>
      </c>
      <c r="J50" s="56">
        <v>0</v>
      </c>
      <c r="K50" s="640">
        <v>0</v>
      </c>
      <c r="L50" s="56">
        <v>0</v>
      </c>
      <c r="M50" s="56">
        <v>0</v>
      </c>
      <c r="N50" s="347">
        <v>0</v>
      </c>
      <c r="O50" s="843"/>
    </row>
    <row r="51" spans="2:15" ht="21.15" customHeight="1">
      <c r="B51" s="312" t="s">
        <v>164</v>
      </c>
      <c r="C51" s="56">
        <v>0</v>
      </c>
      <c r="D51" s="56">
        <v>0</v>
      </c>
      <c r="E51" s="347">
        <v>0</v>
      </c>
      <c r="F51" s="56">
        <v>0</v>
      </c>
      <c r="G51" s="56">
        <v>0</v>
      </c>
      <c r="H51" s="347">
        <v>0</v>
      </c>
      <c r="I51" s="56">
        <v>0</v>
      </c>
      <c r="J51" s="56">
        <v>0</v>
      </c>
      <c r="K51" s="640">
        <v>0</v>
      </c>
      <c r="L51" s="56">
        <v>0</v>
      </c>
      <c r="M51" s="56">
        <v>0</v>
      </c>
      <c r="N51" s="347">
        <v>0</v>
      </c>
      <c r="O51" s="843"/>
    </row>
    <row r="52" spans="2:15" ht="21.15" customHeight="1">
      <c r="B52" s="312" t="s">
        <v>170</v>
      </c>
      <c r="C52" s="56">
        <v>0</v>
      </c>
      <c r="D52" s="56">
        <v>0</v>
      </c>
      <c r="E52" s="347">
        <v>0</v>
      </c>
      <c r="F52" s="56">
        <v>0</v>
      </c>
      <c r="G52" s="56">
        <v>0</v>
      </c>
      <c r="H52" s="347">
        <v>0</v>
      </c>
      <c r="I52" s="56">
        <v>0</v>
      </c>
      <c r="J52" s="56">
        <v>0</v>
      </c>
      <c r="K52" s="640">
        <v>0</v>
      </c>
      <c r="L52" s="56">
        <v>0</v>
      </c>
      <c r="M52" s="56">
        <v>0</v>
      </c>
      <c r="N52" s="347">
        <v>0</v>
      </c>
      <c r="O52" s="843"/>
    </row>
    <row r="53" spans="2:15" ht="21.15" customHeight="1">
      <c r="B53" s="312" t="s">
        <v>165</v>
      </c>
      <c r="C53" s="348">
        <v>306</v>
      </c>
      <c r="D53" s="348">
        <v>498</v>
      </c>
      <c r="E53" s="349">
        <f>D53+C53</f>
        <v>804</v>
      </c>
      <c r="F53" s="348">
        <v>286</v>
      </c>
      <c r="G53" s="348">
        <v>445</v>
      </c>
      <c r="H53" s="349">
        <f>G53+F53</f>
        <v>731</v>
      </c>
      <c r="I53" s="336">
        <v>266</v>
      </c>
      <c r="J53" s="336">
        <v>427</v>
      </c>
      <c r="K53" s="641">
        <f>SUM(I53:J53)</f>
        <v>693</v>
      </c>
      <c r="L53" s="336">
        <v>273</v>
      </c>
      <c r="M53" s="336">
        <v>441</v>
      </c>
      <c r="N53" s="335">
        <v>714</v>
      </c>
      <c r="O53" s="843"/>
    </row>
    <row r="54" spans="2:15" ht="21.15" customHeight="1">
      <c r="B54" s="312" t="s">
        <v>166</v>
      </c>
      <c r="C54" s="339">
        <f>C53/E57</f>
        <v>0.2334096109839817</v>
      </c>
      <c r="D54" s="339">
        <f>D53/E57</f>
        <v>0.37986270022883295</v>
      </c>
      <c r="E54" s="340">
        <f>E53/E57</f>
        <v>0.6132723112128147</v>
      </c>
      <c r="F54" s="339">
        <f>F53/H57</f>
        <v>0.25512934879571814</v>
      </c>
      <c r="G54" s="339">
        <f>G53/H57</f>
        <v>0.39696699375557537</v>
      </c>
      <c r="H54" s="340">
        <f>H53/H57</f>
        <v>0.6520963425512935</v>
      </c>
      <c r="I54" s="339">
        <f>I53/K57</f>
        <v>0.28</v>
      </c>
      <c r="J54" s="339">
        <f>J53/K57</f>
        <v>0.4494736842105263</v>
      </c>
      <c r="K54" s="642">
        <f>K53/K57</f>
        <v>0.7294736842105263</v>
      </c>
      <c r="L54" s="339">
        <v>0.80</v>
      </c>
      <c r="M54" s="339">
        <v>0.80</v>
      </c>
      <c r="N54" s="339">
        <v>0.80</v>
      </c>
      <c r="O54" s="843"/>
    </row>
    <row r="55" spans="2:15" ht="21.15" customHeight="1">
      <c r="B55" s="312" t="s">
        <v>167</v>
      </c>
      <c r="C55" s="348">
        <v>248</v>
      </c>
      <c r="D55" s="348">
        <v>259</v>
      </c>
      <c r="E55" s="349">
        <f>D55+C55</f>
        <v>507</v>
      </c>
      <c r="F55" s="348">
        <v>192</v>
      </c>
      <c r="G55" s="348">
        <v>198</v>
      </c>
      <c r="H55" s="349">
        <f>G55+F55</f>
        <v>390</v>
      </c>
      <c r="I55" s="336">
        <v>121</v>
      </c>
      <c r="J55" s="336">
        <v>136</v>
      </c>
      <c r="K55" s="641">
        <f>SUM(I55:J55)</f>
        <v>257</v>
      </c>
      <c r="L55" s="336">
        <v>80</v>
      </c>
      <c r="M55" s="336">
        <v>113</v>
      </c>
      <c r="N55" s="335">
        <v>193</v>
      </c>
      <c r="O55" s="843"/>
    </row>
    <row r="56" spans="2:15" ht="21.15" customHeight="1">
      <c r="B56" s="312" t="s">
        <v>168</v>
      </c>
      <c r="C56" s="339">
        <f>C55/E57</f>
        <v>0.18916857360793288</v>
      </c>
      <c r="D56" s="339">
        <f>D55/E57</f>
        <v>0.19755911517925248</v>
      </c>
      <c r="E56" s="340">
        <f>E55/E57</f>
        <v>0.38672768878718533</v>
      </c>
      <c r="F56" s="339">
        <f>F55/H57</f>
        <v>0.17127564674397858</v>
      </c>
      <c r="G56" s="339">
        <f>G55/H57</f>
        <v>0.17662801070472792</v>
      </c>
      <c r="H56" s="340">
        <f>H55/H57</f>
        <v>0.3479036574487065</v>
      </c>
      <c r="I56" s="339">
        <f>I55/K57</f>
        <v>0.12736842105263158</v>
      </c>
      <c r="J56" s="339">
        <f>J55/K57</f>
        <v>0.1431578947368421</v>
      </c>
      <c r="K56" s="642">
        <f>K55/K57</f>
        <v>0.27052631578947367</v>
      </c>
      <c r="L56" s="339">
        <v>0.20</v>
      </c>
      <c r="M56" s="339">
        <v>0.20</v>
      </c>
      <c r="N56" s="339">
        <v>0.20</v>
      </c>
      <c r="O56" s="843"/>
    </row>
    <row r="57" spans="2:15" ht="21.15" customHeight="1">
      <c r="B57" s="312" t="s">
        <v>21</v>
      </c>
      <c r="C57" s="348">
        <f t="shared" si="5" ref="C57:I57">SUM(C53,C55)</f>
        <v>554</v>
      </c>
      <c r="D57" s="348">
        <f t="shared" si="5"/>
        <v>757</v>
      </c>
      <c r="E57" s="350">
        <f t="shared" si="5"/>
        <v>1311</v>
      </c>
      <c r="F57" s="348">
        <f t="shared" si="5"/>
        <v>478</v>
      </c>
      <c r="G57" s="348">
        <f t="shared" si="5"/>
        <v>643</v>
      </c>
      <c r="H57" s="350">
        <f t="shared" si="5"/>
        <v>1121</v>
      </c>
      <c r="I57" s="336">
        <f t="shared" si="5"/>
        <v>387</v>
      </c>
      <c r="J57" s="336">
        <f>SUM(J53,J55)</f>
        <v>563</v>
      </c>
      <c r="K57" s="643">
        <f>SUM(K53,K55)</f>
        <v>950</v>
      </c>
      <c r="L57" s="336">
        <v>353</v>
      </c>
      <c r="M57" s="336">
        <v>554</v>
      </c>
      <c r="N57" s="336">
        <v>907</v>
      </c>
      <c r="O57" s="843"/>
    </row>
    <row r="58" spans="2:15" ht="21.15" customHeight="1">
      <c r="B58" s="320" t="s">
        <v>169</v>
      </c>
      <c r="C58" s="342">
        <v>1</v>
      </c>
      <c r="D58" s="342">
        <v>1</v>
      </c>
      <c r="E58" s="343">
        <v>1</v>
      </c>
      <c r="F58" s="342">
        <v>1.0011655011655012</v>
      </c>
      <c r="G58" s="342">
        <v>0.9989023051591658</v>
      </c>
      <c r="H58" s="343">
        <v>1</v>
      </c>
      <c r="I58" s="344">
        <v>0.9975579975579976</v>
      </c>
      <c r="J58" s="344">
        <v>1</v>
      </c>
      <c r="K58" s="644">
        <v>0.9952409280190363</v>
      </c>
      <c r="L58" s="344">
        <v>0.40</v>
      </c>
      <c r="M58" s="344">
        <v>0.60</v>
      </c>
      <c r="N58" s="344">
        <v>1</v>
      </c>
      <c r="O58" s="843"/>
    </row>
  </sheetData>
  <mergeCells count="32">
    <mergeCell ref="O21:O30"/>
    <mergeCell ref="O49:O58"/>
    <mergeCell ref="C33:E33"/>
    <mergeCell ref="F33:H33"/>
    <mergeCell ref="I33:K33"/>
    <mergeCell ref="O35:O44"/>
    <mergeCell ref="O33:O34"/>
    <mergeCell ref="O47:O48"/>
    <mergeCell ref="L47:N47"/>
    <mergeCell ref="L33:N33"/>
    <mergeCell ref="C8:E8"/>
    <mergeCell ref="C47:E47"/>
    <mergeCell ref="F47:H47"/>
    <mergeCell ref="I47:K47"/>
    <mergeCell ref="F8:H8"/>
    <mergeCell ref="F19:H19"/>
    <mergeCell ref="C19:E19"/>
    <mergeCell ref="C15:E15"/>
    <mergeCell ref="F15:H15"/>
    <mergeCell ref="I15:K15"/>
    <mergeCell ref="C16:E16"/>
    <mergeCell ref="F16:H16"/>
    <mergeCell ref="I16:K16"/>
    <mergeCell ref="I8:K8"/>
    <mergeCell ref="I19:K19"/>
    <mergeCell ref="O15:O16"/>
    <mergeCell ref="O8:O9"/>
    <mergeCell ref="O10:O14"/>
    <mergeCell ref="L8:N8"/>
    <mergeCell ref="L19:N19"/>
    <mergeCell ref="L15:N15"/>
    <mergeCell ref="L16:N16"/>
  </mergeCells>
  <pageMargins left="0.7" right="0.7" top="0.75" bottom="0.75" header="0.3" footer="0.3"/>
  <pageSetup orientation="portrait" paperSize="9" r:id="rId2"/>
  <headerFooter scaleWithDoc="0"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FECA984-83EE-4DE2-99CE-A88416AD13EB}">
  <dimension ref="A1:S45"/>
  <sheetViews>
    <sheetView showGridLines="0" rightToLeft="1" workbookViewId="0" topLeftCell="A1">
      <selection pane="topLeft" activeCell="K2" sqref="K2"/>
    </sheetView>
  </sheetViews>
  <sheetFormatPr defaultColWidth="9.114285714285714" defaultRowHeight="14.4"/>
  <cols>
    <col min="1" max="1" width="3.7142857142857144" customWidth="1"/>
    <col min="2" max="2" width="15.571428571428571" style="141" customWidth="1"/>
    <col min="3" max="15" width="10.714285714285714" style="141" customWidth="1"/>
  </cols>
  <sheetData>
    <row r="1" spans="2:15" ht="15" customHeight="1">
      <c r="B1" s="64"/>
      <c r="C1" s="64"/>
      <c r="D1" s="64"/>
      <c r="E1" s="64"/>
      <c r="F1" s="64"/>
      <c r="G1" s="64"/>
      <c r="H1" s="64"/>
      <c r="I1" s="64"/>
      <c r="J1" s="64"/>
      <c r="K1" s="64"/>
      <c r="L1"/>
      <c r="M1"/>
      <c r="N1"/>
      <c r="O1"/>
    </row>
    <row r="2" spans="2:15" ht="15" customHeight="1">
      <c r="B2" s="64"/>
      <c r="C2" s="64"/>
      <c r="D2" s="64"/>
      <c r="E2" s="64"/>
      <c r="F2" s="64"/>
      <c r="G2" s="64"/>
      <c r="H2" s="64"/>
      <c r="I2" s="64"/>
      <c r="J2" s="64"/>
      <c r="K2" s="64"/>
      <c r="L2"/>
      <c r="M2"/>
      <c r="N2"/>
      <c r="O2"/>
    </row>
    <row r="3" spans="2:15" ht="15" customHeight="1">
      <c r="B3" s="64"/>
      <c r="C3" s="64"/>
      <c r="D3" s="64"/>
      <c r="E3" s="64"/>
      <c r="F3" s="64"/>
      <c r="G3" s="64"/>
      <c r="H3" s="64"/>
      <c r="I3" s="64"/>
      <c r="J3" s="64"/>
      <c r="K3" s="64"/>
      <c r="L3"/>
      <c r="M3"/>
      <c r="N3"/>
      <c r="O3"/>
    </row>
    <row r="4" spans="2:15" ht="15" customHeight="1">
      <c r="B4" s="64"/>
      <c r="C4" s="64"/>
      <c r="D4" s="64"/>
      <c r="E4" s="64"/>
      <c r="F4" s="64"/>
      <c r="G4" s="64"/>
      <c r="H4" s="64"/>
      <c r="I4" s="64"/>
      <c r="J4" s="64"/>
      <c r="K4" s="64"/>
      <c r="L4"/>
      <c r="M4"/>
      <c r="N4" s="43"/>
      <c r="O4" s="43"/>
    </row>
    <row r="5" spans="2:19" ht="24.9" customHeight="1" thickBot="1">
      <c r="B5" s="65" t="s">
        <v>222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</row>
    <row r="6" spans="2:15" ht="15" customHeight="1" thickTop="1">
      <c r="B6" s="67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</row>
    <row r="7" spans="1:15" ht="24.9" customHeight="1">
      <c r="A7" s="128"/>
      <c r="B7" s="92" t="s">
        <v>159</v>
      </c>
      <c r="C7" s="92"/>
      <c r="D7" s="92"/>
      <c r="E7" s="92"/>
      <c r="F7" s="92"/>
      <c r="G7" s="92"/>
      <c r="H7" s="92"/>
      <c r="I7" s="92"/>
      <c r="J7" s="92"/>
      <c r="K7" s="92"/>
      <c r="L7" s="190"/>
      <c r="M7" s="190"/>
      <c r="N7" s="190"/>
      <c r="O7" s="190"/>
    </row>
    <row r="8" spans="1:19" ht="21.15" customHeight="1">
      <c r="A8" s="128"/>
      <c r="B8" s="160"/>
      <c r="C8" s="21">
        <v>2019</v>
      </c>
      <c r="D8" s="14"/>
      <c r="E8" s="21">
        <v>2020</v>
      </c>
      <c r="F8" s="21"/>
      <c r="G8" s="20">
        <v>2021</v>
      </c>
      <c r="H8" s="14"/>
      <c r="I8" s="20">
        <v>2022</v>
      </c>
      <c r="J8" s="14"/>
      <c r="K8" s="21">
        <v>2023</v>
      </c>
      <c r="L8" s="21"/>
      <c r="M8" s="232"/>
      <c r="N8" s="232"/>
      <c r="O8" s="232"/>
      <c r="P8" s="232"/>
      <c r="Q8" s="232"/>
      <c r="R8" s="232"/>
      <c r="S8" s="3" t="s">
        <v>5</v>
      </c>
    </row>
    <row r="9" spans="1:19" ht="21.15" customHeight="1">
      <c r="A9" s="128"/>
      <c r="B9" s="364"/>
      <c r="C9" s="266" t="s">
        <v>8</v>
      </c>
      <c r="D9" s="267" t="s">
        <v>106</v>
      </c>
      <c r="E9" s="266" t="s">
        <v>8</v>
      </c>
      <c r="F9" s="267" t="s">
        <v>106</v>
      </c>
      <c r="G9" s="266" t="s">
        <v>8</v>
      </c>
      <c r="H9" s="267" t="s">
        <v>106</v>
      </c>
      <c r="I9" s="266" t="s">
        <v>8</v>
      </c>
      <c r="J9" s="267" t="s">
        <v>106</v>
      </c>
      <c r="K9" s="266" t="s">
        <v>8</v>
      </c>
      <c r="L9" s="266" t="s">
        <v>106</v>
      </c>
      <c r="M9" s="266"/>
      <c r="N9" s="266"/>
      <c r="O9" s="266"/>
      <c r="P9" s="266"/>
      <c r="Q9" s="266"/>
      <c r="R9" s="266"/>
      <c r="S9" s="3"/>
    </row>
    <row r="10" spans="1:19" ht="21.15" customHeight="1">
      <c r="A10" s="128"/>
      <c r="B10" s="356" t="s">
        <v>107</v>
      </c>
      <c r="C10" s="359">
        <v>411</v>
      </c>
      <c r="D10" s="869">
        <v>20.10</v>
      </c>
      <c r="E10" s="696">
        <v>1069</v>
      </c>
      <c r="F10" s="889">
        <v>13.50</v>
      </c>
      <c r="G10" s="357">
        <v>1946</v>
      </c>
      <c r="H10" s="888">
        <v>14.60</v>
      </c>
      <c r="I10" s="357">
        <v>1999</v>
      </c>
      <c r="J10" s="888">
        <v>13.99</v>
      </c>
      <c r="K10" s="359">
        <v>1940</v>
      </c>
      <c r="L10" s="890">
        <v>15.40</v>
      </c>
      <c r="M10" s="149"/>
      <c r="N10" s="149"/>
      <c r="O10" s="149"/>
      <c r="P10" s="149"/>
      <c r="Q10" s="149"/>
      <c r="R10" s="149"/>
      <c r="S10" s="779" t="s">
        <v>221</v>
      </c>
    </row>
    <row r="11" spans="1:19" ht="21.15" customHeight="1">
      <c r="A11" s="128"/>
      <c r="B11" s="358" t="s">
        <v>108</v>
      </c>
      <c r="C11" s="359">
        <v>374</v>
      </c>
      <c r="D11" s="869"/>
      <c r="E11" s="697">
        <v>351</v>
      </c>
      <c r="F11" s="889"/>
      <c r="G11" s="359">
        <v>476</v>
      </c>
      <c r="H11" s="888"/>
      <c r="I11" s="359">
        <v>459</v>
      </c>
      <c r="J11" s="888"/>
      <c r="K11" s="359">
        <v>434</v>
      </c>
      <c r="L11" s="890"/>
      <c r="M11" s="149"/>
      <c r="N11" s="149"/>
      <c r="O11" s="149"/>
      <c r="P11" s="149"/>
      <c r="Q11" s="149"/>
      <c r="R11" s="149"/>
      <c r="S11" s="779"/>
    </row>
    <row r="12" spans="1:19" ht="21.15" customHeight="1">
      <c r="A12" s="128"/>
      <c r="B12" s="358" t="s">
        <v>109</v>
      </c>
      <c r="C12" s="359">
        <v>1107</v>
      </c>
      <c r="D12" s="869"/>
      <c r="E12" s="696">
        <v>856</v>
      </c>
      <c r="F12" s="889"/>
      <c r="G12" s="359">
        <v>1031</v>
      </c>
      <c r="H12" s="888"/>
      <c r="I12" s="359">
        <v>989</v>
      </c>
      <c r="J12" s="888"/>
      <c r="K12" s="359">
        <v>943</v>
      </c>
      <c r="L12" s="890"/>
      <c r="M12" s="149"/>
      <c r="N12" s="149"/>
      <c r="O12" s="149"/>
      <c r="P12" s="149"/>
      <c r="Q12" s="149"/>
      <c r="R12" s="149"/>
      <c r="S12" s="779"/>
    </row>
    <row r="13" spans="1:19" ht="21.15" customHeight="1">
      <c r="A13" s="128"/>
      <c r="B13" s="360" t="s">
        <v>161</v>
      </c>
      <c r="C13" s="359">
        <v>1583</v>
      </c>
      <c r="D13" s="869"/>
      <c r="E13" s="696">
        <v>1213</v>
      </c>
      <c r="F13" s="889"/>
      <c r="G13" s="361">
        <v>2103</v>
      </c>
      <c r="H13" s="888"/>
      <c r="I13" s="361">
        <v>2163</v>
      </c>
      <c r="J13" s="888"/>
      <c r="K13" s="359">
        <v>2115</v>
      </c>
      <c r="L13" s="890"/>
      <c r="M13" s="152"/>
      <c r="N13" s="152"/>
      <c r="O13" s="152"/>
      <c r="P13" s="152"/>
      <c r="Q13" s="152"/>
      <c r="R13" s="152"/>
      <c r="S13" s="779"/>
    </row>
    <row r="14" spans="1:19" ht="21.15" customHeight="1">
      <c r="A14" s="128"/>
      <c r="B14" s="358" t="s">
        <v>8</v>
      </c>
      <c r="C14" s="359">
        <f>SUM(C10:C13)</f>
        <v>3475</v>
      </c>
      <c r="D14" s="869"/>
      <c r="E14" s="696">
        <f>SUM(E10:E13)</f>
        <v>3489</v>
      </c>
      <c r="F14" s="889"/>
      <c r="G14" s="359">
        <f>SUM(G10:G13)</f>
        <v>5556</v>
      </c>
      <c r="H14" s="888"/>
      <c r="I14" s="359">
        <f>SUM(I10:I13)</f>
        <v>5610</v>
      </c>
      <c r="J14" s="888"/>
      <c r="K14" s="359">
        <f>SUM(K10:K13)</f>
        <v>5432</v>
      </c>
      <c r="L14" s="890"/>
      <c r="M14" s="152"/>
      <c r="N14" s="152"/>
      <c r="O14" s="152"/>
      <c r="P14" s="152"/>
      <c r="Q14" s="152"/>
      <c r="R14" s="152"/>
      <c r="S14" s="490"/>
    </row>
    <row r="15" spans="1:15" ht="21.15" customHeight="1">
      <c r="A15" s="128"/>
      <c r="B15" s="190"/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1"/>
      <c r="O15" s="190"/>
    </row>
    <row r="16" spans="1:15" ht="24.9" customHeight="1">
      <c r="A16" s="128"/>
      <c r="B16" s="92" t="s">
        <v>172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</row>
    <row r="17" spans="1:19" ht="21.15" customHeight="1">
      <c r="A17" s="128"/>
      <c r="B17" s="160"/>
      <c r="C17" s="21">
        <v>2020</v>
      </c>
      <c r="D17" s="21"/>
      <c r="E17" s="21"/>
      <c r="F17" s="21"/>
      <c r="G17" s="887">
        <v>2021</v>
      </c>
      <c r="H17" s="21"/>
      <c r="I17" s="21"/>
      <c r="J17" s="870"/>
      <c r="K17" s="887">
        <v>2022</v>
      </c>
      <c r="L17" s="21"/>
      <c r="M17" s="21"/>
      <c r="N17" s="870"/>
      <c r="O17" s="887">
        <v>2023</v>
      </c>
      <c r="P17" s="21"/>
      <c r="Q17" s="21"/>
      <c r="R17" s="874"/>
      <c r="S17" s="3" t="s">
        <v>5</v>
      </c>
    </row>
    <row r="18" spans="1:19" ht="21.15" customHeight="1">
      <c r="A18" s="128"/>
      <c r="B18" s="364"/>
      <c r="C18" s="266" t="s">
        <v>6</v>
      </c>
      <c r="D18" s="266" t="s">
        <v>7</v>
      </c>
      <c r="E18" s="266" t="s">
        <v>8</v>
      </c>
      <c r="F18" s="267" t="s">
        <v>106</v>
      </c>
      <c r="G18" s="266" t="s">
        <v>6</v>
      </c>
      <c r="H18" s="266" t="s">
        <v>7</v>
      </c>
      <c r="I18" s="266" t="s">
        <v>8</v>
      </c>
      <c r="J18" s="267" t="s">
        <v>106</v>
      </c>
      <c r="K18" s="266" t="s">
        <v>6</v>
      </c>
      <c r="L18" s="266" t="s">
        <v>7</v>
      </c>
      <c r="M18" s="266" t="s">
        <v>8</v>
      </c>
      <c r="N18" s="698" t="s">
        <v>106</v>
      </c>
      <c r="O18" s="266" t="s">
        <v>6</v>
      </c>
      <c r="P18" s="266" t="s">
        <v>7</v>
      </c>
      <c r="Q18" s="266" t="s">
        <v>8</v>
      </c>
      <c r="R18" s="363" t="s">
        <v>106</v>
      </c>
      <c r="S18" s="3"/>
    </row>
    <row r="19" spans="1:19" ht="21.15" customHeight="1">
      <c r="A19" s="128"/>
      <c r="B19" s="306" t="s">
        <v>107</v>
      </c>
      <c r="C19" s="146">
        <v>307</v>
      </c>
      <c r="D19" s="146">
        <v>295</v>
      </c>
      <c r="E19" s="240">
        <v>602</v>
      </c>
      <c r="F19" s="900">
        <v>8.59</v>
      </c>
      <c r="G19" s="146">
        <v>340</v>
      </c>
      <c r="H19" s="146">
        <v>304</v>
      </c>
      <c r="I19" s="240">
        <v>644</v>
      </c>
      <c r="J19" s="900">
        <v>6.83</v>
      </c>
      <c r="K19" s="146">
        <v>306</v>
      </c>
      <c r="L19" s="146">
        <v>326</v>
      </c>
      <c r="M19" s="240">
        <v>632</v>
      </c>
      <c r="N19" s="881">
        <v>7</v>
      </c>
      <c r="O19" s="146">
        <v>287</v>
      </c>
      <c r="P19" s="146">
        <v>322</v>
      </c>
      <c r="Q19" s="240">
        <f>P19+O19</f>
        <v>609</v>
      </c>
      <c r="R19" s="884">
        <v>6.45</v>
      </c>
      <c r="S19" s="779" t="s">
        <v>221</v>
      </c>
    </row>
    <row r="20" spans="1:19" ht="21.15" customHeight="1">
      <c r="A20" s="128"/>
      <c r="B20" s="312" t="s">
        <v>108</v>
      </c>
      <c r="C20" s="148">
        <v>173</v>
      </c>
      <c r="D20" s="148">
        <v>142</v>
      </c>
      <c r="E20" s="249">
        <v>315</v>
      </c>
      <c r="F20" s="901"/>
      <c r="G20" s="148">
        <v>115</v>
      </c>
      <c r="H20" s="148">
        <v>108</v>
      </c>
      <c r="I20" s="249">
        <v>223</v>
      </c>
      <c r="J20" s="901"/>
      <c r="K20" s="148">
        <v>115</v>
      </c>
      <c r="L20" s="148">
        <v>89</v>
      </c>
      <c r="M20" s="249">
        <v>204</v>
      </c>
      <c r="N20" s="882"/>
      <c r="O20" s="148">
        <v>121</v>
      </c>
      <c r="P20" s="148">
        <v>102</v>
      </c>
      <c r="Q20" s="249">
        <f>P20+O20</f>
        <v>223</v>
      </c>
      <c r="R20" s="885"/>
      <c r="S20" s="779"/>
    </row>
    <row r="21" spans="1:19" ht="21.15" customHeight="1">
      <c r="A21" s="128"/>
      <c r="B21" s="312" t="s">
        <v>109</v>
      </c>
      <c r="C21" s="148">
        <v>121</v>
      </c>
      <c r="D21" s="148">
        <v>172</v>
      </c>
      <c r="E21" s="249">
        <v>293</v>
      </c>
      <c r="F21" s="901"/>
      <c r="G21" s="148">
        <v>86</v>
      </c>
      <c r="H21" s="148">
        <v>157</v>
      </c>
      <c r="I21" s="249">
        <v>243</v>
      </c>
      <c r="J21" s="901"/>
      <c r="K21" s="148">
        <v>80</v>
      </c>
      <c r="L21" s="148">
        <v>142</v>
      </c>
      <c r="M21" s="249">
        <v>222</v>
      </c>
      <c r="N21" s="882"/>
      <c r="O21" s="148">
        <v>95</v>
      </c>
      <c r="P21" s="148">
        <v>154</v>
      </c>
      <c r="Q21" s="249">
        <f>P21+O21</f>
        <v>249</v>
      </c>
      <c r="R21" s="885"/>
      <c r="S21" s="779"/>
    </row>
    <row r="22" spans="1:19" ht="21.15" customHeight="1">
      <c r="A22" s="128"/>
      <c r="B22" s="312" t="s">
        <v>110</v>
      </c>
      <c r="C22" s="148">
        <v>35</v>
      </c>
      <c r="D22" s="148">
        <v>45</v>
      </c>
      <c r="E22" s="249">
        <v>80</v>
      </c>
      <c r="F22" s="901"/>
      <c r="G22" s="148">
        <v>14</v>
      </c>
      <c r="H22" s="148">
        <v>14</v>
      </c>
      <c r="I22" s="249">
        <v>28</v>
      </c>
      <c r="J22" s="901"/>
      <c r="K22" s="148">
        <v>25</v>
      </c>
      <c r="L22" s="148">
        <v>32</v>
      </c>
      <c r="M22" s="249">
        <v>57</v>
      </c>
      <c r="N22" s="882"/>
      <c r="O22" s="148">
        <v>30</v>
      </c>
      <c r="P22" s="148">
        <v>44</v>
      </c>
      <c r="Q22" s="249">
        <f>P22+O22</f>
        <v>74</v>
      </c>
      <c r="R22" s="885"/>
      <c r="S22" s="779"/>
    </row>
    <row r="23" spans="1:19" ht="21.15" customHeight="1">
      <c r="A23" s="128"/>
      <c r="B23" s="320" t="s">
        <v>8</v>
      </c>
      <c r="C23" s="362">
        <v>636</v>
      </c>
      <c r="D23" s="362">
        <v>654</v>
      </c>
      <c r="E23" s="362">
        <v>1290</v>
      </c>
      <c r="F23" s="902"/>
      <c r="G23" s="362">
        <f>SUM(G19:G22)</f>
        <v>555</v>
      </c>
      <c r="H23" s="362">
        <f>SUM(H19:H22)</f>
        <v>583</v>
      </c>
      <c r="I23" s="362">
        <f>SUM(I19:I22)</f>
        <v>1138</v>
      </c>
      <c r="J23" s="902"/>
      <c r="K23" s="362">
        <f>SUM(K19:K22)</f>
        <v>526</v>
      </c>
      <c r="L23" s="362">
        <f>SUM(L19:L22)</f>
        <v>589</v>
      </c>
      <c r="M23" s="362">
        <f>SUM(M19:M22)</f>
        <v>1115</v>
      </c>
      <c r="N23" s="883"/>
      <c r="O23" s="362">
        <f>SUM(O19:O22)</f>
        <v>533</v>
      </c>
      <c r="P23" s="362">
        <f>SUM(P19:P22)</f>
        <v>622</v>
      </c>
      <c r="Q23" s="362">
        <f>SUM(Q19:Q22)</f>
        <v>1155</v>
      </c>
      <c r="R23" s="886"/>
      <c r="S23" s="490"/>
    </row>
    <row r="24" spans="1:15" ht="21.15" customHeight="1">
      <c r="A24" s="128"/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</row>
    <row r="25" spans="1:15" ht="24.9" customHeight="1">
      <c r="A25" s="128"/>
      <c r="B25" s="92" t="s">
        <v>174</v>
      </c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</row>
    <row r="26" spans="1:19" ht="21.15" customHeight="1">
      <c r="A26" s="128"/>
      <c r="B26" s="160"/>
      <c r="C26" s="21">
        <v>2020</v>
      </c>
      <c r="D26" s="21"/>
      <c r="E26" s="21"/>
      <c r="F26" s="14"/>
      <c r="G26" s="21">
        <v>2021</v>
      </c>
      <c r="H26" s="21"/>
      <c r="I26" s="21"/>
      <c r="J26" s="14"/>
      <c r="K26" s="21">
        <v>2022</v>
      </c>
      <c r="L26" s="21"/>
      <c r="M26" s="21"/>
      <c r="N26" s="870"/>
      <c r="O26" s="21">
        <v>2023</v>
      </c>
      <c r="P26" s="21"/>
      <c r="Q26" s="21"/>
      <c r="R26" s="874"/>
      <c r="S26" s="3" t="s">
        <v>5</v>
      </c>
    </row>
    <row r="27" spans="1:19" ht="21.15" customHeight="1">
      <c r="A27" s="128"/>
      <c r="B27" s="364"/>
      <c r="C27" s="266" t="s">
        <v>6</v>
      </c>
      <c r="D27" s="266" t="s">
        <v>7</v>
      </c>
      <c r="E27" s="266" t="s">
        <v>8</v>
      </c>
      <c r="F27" s="267" t="s">
        <v>106</v>
      </c>
      <c r="G27" s="266" t="s">
        <v>6</v>
      </c>
      <c r="H27" s="266" t="s">
        <v>7</v>
      </c>
      <c r="I27" s="266" t="s">
        <v>8</v>
      </c>
      <c r="J27" s="267" t="s">
        <v>106</v>
      </c>
      <c r="K27" s="266" t="s">
        <v>6</v>
      </c>
      <c r="L27" s="266" t="s">
        <v>7</v>
      </c>
      <c r="M27" s="266" t="s">
        <v>8</v>
      </c>
      <c r="N27" s="698" t="s">
        <v>106</v>
      </c>
      <c r="O27" s="266" t="s">
        <v>6</v>
      </c>
      <c r="P27" s="266" t="s">
        <v>7</v>
      </c>
      <c r="Q27" s="266" t="s">
        <v>8</v>
      </c>
      <c r="R27" s="363" t="s">
        <v>106</v>
      </c>
      <c r="S27" s="3"/>
    </row>
    <row r="28" spans="1:19" ht="21.15" customHeight="1">
      <c r="A28" s="128"/>
      <c r="B28" s="306" t="s">
        <v>107</v>
      </c>
      <c r="C28" s="53">
        <v>294</v>
      </c>
      <c r="D28" s="53">
        <v>318</v>
      </c>
      <c r="E28" s="53">
        <f>D28+C28</f>
        <v>612</v>
      </c>
      <c r="F28" s="894">
        <v>10.40</v>
      </c>
      <c r="G28" s="608">
        <v>277</v>
      </c>
      <c r="H28" s="608">
        <v>290</v>
      </c>
      <c r="I28" s="273">
        <f>G28+H28</f>
        <v>567</v>
      </c>
      <c r="J28" s="897">
        <v>11</v>
      </c>
      <c r="K28" s="608">
        <v>271</v>
      </c>
      <c r="L28" s="608">
        <v>279</v>
      </c>
      <c r="M28" s="273">
        <f>SUM(K28:L28)</f>
        <v>550</v>
      </c>
      <c r="N28" s="891">
        <v>11.40</v>
      </c>
      <c r="O28" s="608">
        <v>265</v>
      </c>
      <c r="P28" s="608">
        <v>285</v>
      </c>
      <c r="Q28" s="273">
        <f>P28+O28</f>
        <v>550</v>
      </c>
      <c r="R28" s="875">
        <v>11.60</v>
      </c>
      <c r="S28" s="779" t="s">
        <v>221</v>
      </c>
    </row>
    <row r="29" spans="1:19" ht="21.15" customHeight="1">
      <c r="A29" s="128"/>
      <c r="B29" s="312" t="s">
        <v>108</v>
      </c>
      <c r="C29" s="56">
        <v>227</v>
      </c>
      <c r="D29" s="56">
        <v>156</v>
      </c>
      <c r="E29" s="56">
        <f>D29+C29</f>
        <v>383</v>
      </c>
      <c r="F29" s="895"/>
      <c r="G29" s="609">
        <v>194</v>
      </c>
      <c r="H29" s="609">
        <v>135</v>
      </c>
      <c r="I29" s="278">
        <f>G29+H29</f>
        <v>329</v>
      </c>
      <c r="J29" s="898"/>
      <c r="K29" s="609">
        <v>168</v>
      </c>
      <c r="L29" s="609">
        <v>108</v>
      </c>
      <c r="M29" s="278">
        <f>SUM(K29:L29)</f>
        <v>276</v>
      </c>
      <c r="N29" s="892"/>
      <c r="O29" s="609">
        <v>145</v>
      </c>
      <c r="P29" s="609">
        <v>115</v>
      </c>
      <c r="Q29" s="273">
        <f t="shared" si="0" ref="Q29:Q31">P29+O29</f>
        <v>260</v>
      </c>
      <c r="R29" s="876"/>
      <c r="S29" s="779"/>
    </row>
    <row r="30" spans="1:19" ht="21.15" customHeight="1">
      <c r="A30" s="128"/>
      <c r="B30" s="312" t="s">
        <v>109</v>
      </c>
      <c r="C30" s="56">
        <v>336</v>
      </c>
      <c r="D30" s="56">
        <v>382</v>
      </c>
      <c r="E30" s="56">
        <f>D30+C30</f>
        <v>718</v>
      </c>
      <c r="F30" s="895"/>
      <c r="G30" s="609">
        <v>306</v>
      </c>
      <c r="H30" s="609">
        <v>357</v>
      </c>
      <c r="I30" s="278">
        <f>G30+H30</f>
        <v>663</v>
      </c>
      <c r="J30" s="898"/>
      <c r="K30" s="609">
        <v>298</v>
      </c>
      <c r="L30" s="609">
        <v>333</v>
      </c>
      <c r="M30" s="278">
        <f>SUM(K30:L30)</f>
        <v>631</v>
      </c>
      <c r="N30" s="892"/>
      <c r="O30" s="609">
        <v>284</v>
      </c>
      <c r="P30" s="609">
        <v>267</v>
      </c>
      <c r="Q30" s="273">
        <f t="shared" si="0"/>
        <v>551</v>
      </c>
      <c r="R30" s="876"/>
      <c r="S30" s="779"/>
    </row>
    <row r="31" spans="1:19" ht="21.15" customHeight="1">
      <c r="A31" s="128"/>
      <c r="B31" s="312" t="s">
        <v>110</v>
      </c>
      <c r="C31" s="56">
        <v>72</v>
      </c>
      <c r="D31" s="56">
        <v>115</v>
      </c>
      <c r="E31" s="56">
        <f>D31+C31</f>
        <v>187</v>
      </c>
      <c r="F31" s="895"/>
      <c r="G31" s="609">
        <v>80</v>
      </c>
      <c r="H31" s="609">
        <v>129</v>
      </c>
      <c r="I31" s="278">
        <f>G31+H31</f>
        <v>209</v>
      </c>
      <c r="J31" s="898"/>
      <c r="K31" s="609">
        <v>95</v>
      </c>
      <c r="L31" s="609">
        <v>152</v>
      </c>
      <c r="M31" s="278">
        <f>SUM(K31:L31)</f>
        <v>247</v>
      </c>
      <c r="N31" s="892"/>
      <c r="O31" s="609">
        <v>114</v>
      </c>
      <c r="P31" s="609">
        <v>209</v>
      </c>
      <c r="Q31" s="273">
        <f t="shared" si="0"/>
        <v>323</v>
      </c>
      <c r="R31" s="876"/>
      <c r="S31" s="779"/>
    </row>
    <row r="32" spans="1:19" ht="21.15" customHeight="1">
      <c r="A32" s="128"/>
      <c r="B32" s="320" t="s">
        <v>8</v>
      </c>
      <c r="C32" s="58">
        <f>C28+C29+C30+C31</f>
        <v>929</v>
      </c>
      <c r="D32" s="58">
        <f>D28+D29+D30+D31</f>
        <v>971</v>
      </c>
      <c r="E32" s="597">
        <f>D32+C32</f>
        <v>1900</v>
      </c>
      <c r="F32" s="896"/>
      <c r="G32" s="610">
        <f>SUM(G28:G31)</f>
        <v>857</v>
      </c>
      <c r="H32" s="610">
        <f>SUM(H28:H31)</f>
        <v>911</v>
      </c>
      <c r="I32" s="610">
        <f>SUM(I28:I31)</f>
        <v>1768</v>
      </c>
      <c r="J32" s="899"/>
      <c r="K32" s="610">
        <f>SUM(K28:K31)</f>
        <v>832</v>
      </c>
      <c r="L32" s="610">
        <f>SUM(L28:L31)</f>
        <v>872</v>
      </c>
      <c r="M32" s="610">
        <f>SUM(M28:M31)</f>
        <v>1704</v>
      </c>
      <c r="N32" s="893"/>
      <c r="O32" s="610">
        <f>SUM(O28:O31)</f>
        <v>808</v>
      </c>
      <c r="P32" s="610">
        <f>SUM(P28:P31)</f>
        <v>876</v>
      </c>
      <c r="Q32" s="273">
        <f>P32+O32</f>
        <v>1684</v>
      </c>
      <c r="R32" s="877"/>
      <c r="S32" s="490"/>
    </row>
    <row r="33" spans="1:15" ht="21.15" customHeight="1">
      <c r="A33" s="128"/>
      <c r="B33" s="190"/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</row>
    <row r="34" spans="1:15" ht="24.9" customHeight="1">
      <c r="A34" s="128"/>
      <c r="B34" s="92" t="s">
        <v>176</v>
      </c>
      <c r="C34" s="92"/>
      <c r="D34" s="92"/>
      <c r="E34" s="92"/>
      <c r="F34" s="585"/>
      <c r="G34" s="585"/>
      <c r="H34" s="585"/>
      <c r="I34" s="585"/>
      <c r="J34" s="585"/>
      <c r="K34" s="585"/>
      <c r="L34" s="585"/>
      <c r="M34" s="92"/>
      <c r="N34" s="585"/>
      <c r="O34"/>
    </row>
    <row r="35" spans="1:19" ht="21.15" customHeight="1">
      <c r="A35" s="128"/>
      <c r="B35" s="160"/>
      <c r="C35" s="21">
        <v>2020</v>
      </c>
      <c r="D35" s="21"/>
      <c r="E35" s="21"/>
      <c r="F35" s="21"/>
      <c r="G35" s="20">
        <v>2021</v>
      </c>
      <c r="H35" s="21"/>
      <c r="I35" s="21"/>
      <c r="J35" s="14"/>
      <c r="K35" s="21">
        <v>2022</v>
      </c>
      <c r="L35" s="21"/>
      <c r="M35" s="21"/>
      <c r="N35" s="870"/>
      <c r="O35" s="21">
        <v>2023</v>
      </c>
      <c r="P35" s="21"/>
      <c r="Q35" s="21"/>
      <c r="R35" s="874"/>
      <c r="S35" s="3" t="s">
        <v>5</v>
      </c>
    </row>
    <row r="36" spans="1:19" ht="21.15" customHeight="1">
      <c r="A36" s="128"/>
      <c r="B36" s="365"/>
      <c r="C36" s="266" t="s">
        <v>6</v>
      </c>
      <c r="D36" s="266" t="s">
        <v>7</v>
      </c>
      <c r="E36" s="266" t="s">
        <v>8</v>
      </c>
      <c r="F36" s="267" t="s">
        <v>106</v>
      </c>
      <c r="G36" s="266" t="s">
        <v>6</v>
      </c>
      <c r="H36" s="266" t="s">
        <v>7</v>
      </c>
      <c r="I36" s="266" t="s">
        <v>8</v>
      </c>
      <c r="J36" s="267" t="s">
        <v>106</v>
      </c>
      <c r="K36" s="266" t="s">
        <v>6</v>
      </c>
      <c r="L36" s="266" t="s">
        <v>7</v>
      </c>
      <c r="M36" s="266" t="s">
        <v>8</v>
      </c>
      <c r="N36" s="698" t="s">
        <v>106</v>
      </c>
      <c r="O36" s="266" t="s">
        <v>6</v>
      </c>
      <c r="P36" s="266" t="s">
        <v>7</v>
      </c>
      <c r="Q36" s="266" t="s">
        <v>8</v>
      </c>
      <c r="R36" s="363" t="s">
        <v>106</v>
      </c>
      <c r="S36" s="3"/>
    </row>
    <row r="37" spans="1:19" ht="21.15" customHeight="1">
      <c r="A37" s="128"/>
      <c r="B37" s="306" t="s">
        <v>107</v>
      </c>
      <c r="C37" s="240" t="s">
        <v>125</v>
      </c>
      <c r="D37" s="240" t="s">
        <v>125</v>
      </c>
      <c r="E37" s="240" t="s">
        <v>125</v>
      </c>
      <c r="F37" s="866" t="s">
        <v>125</v>
      </c>
      <c r="G37" s="240" t="s">
        <v>125</v>
      </c>
      <c r="H37" s="240" t="s">
        <v>125</v>
      </c>
      <c r="I37" s="240" t="s">
        <v>125</v>
      </c>
      <c r="J37" s="866" t="s">
        <v>125</v>
      </c>
      <c r="K37" s="146">
        <v>142</v>
      </c>
      <c r="L37" s="146">
        <v>210</v>
      </c>
      <c r="M37" s="240">
        <v>352</v>
      </c>
      <c r="N37" s="871" t="s">
        <v>125</v>
      </c>
      <c r="O37" s="146">
        <v>84</v>
      </c>
      <c r="P37" s="146">
        <v>164</v>
      </c>
      <c r="Q37" s="240">
        <v>248</v>
      </c>
      <c r="R37" s="878">
        <v>10.50</v>
      </c>
      <c r="S37" s="779" t="s">
        <v>221</v>
      </c>
    </row>
    <row r="38" spans="1:19" ht="21.15" customHeight="1">
      <c r="A38" s="128"/>
      <c r="B38" s="312" t="s">
        <v>108</v>
      </c>
      <c r="C38" s="240" t="s">
        <v>125</v>
      </c>
      <c r="D38" s="240" t="s">
        <v>125</v>
      </c>
      <c r="E38" s="240" t="s">
        <v>125</v>
      </c>
      <c r="F38" s="867"/>
      <c r="G38" s="240" t="s">
        <v>125</v>
      </c>
      <c r="H38" s="240" t="s">
        <v>125</v>
      </c>
      <c r="I38" s="240" t="s">
        <v>125</v>
      </c>
      <c r="J38" s="867"/>
      <c r="K38" s="148">
        <v>95</v>
      </c>
      <c r="L38" s="148">
        <v>120</v>
      </c>
      <c r="M38" s="249">
        <v>215</v>
      </c>
      <c r="N38" s="872"/>
      <c r="O38" s="148">
        <v>50</v>
      </c>
      <c r="P38" s="148">
        <v>101</v>
      </c>
      <c r="Q38" s="249">
        <v>151</v>
      </c>
      <c r="R38" s="879"/>
      <c r="S38" s="779"/>
    </row>
    <row r="39" spans="1:19" ht="21.15" customHeight="1">
      <c r="A39" s="128"/>
      <c r="B39" s="312" t="s">
        <v>109</v>
      </c>
      <c r="C39" s="240" t="s">
        <v>125</v>
      </c>
      <c r="D39" s="240" t="s">
        <v>125</v>
      </c>
      <c r="E39" s="240" t="s">
        <v>125</v>
      </c>
      <c r="F39" s="867"/>
      <c r="G39" s="240" t="s">
        <v>125</v>
      </c>
      <c r="H39" s="240" t="s">
        <v>125</v>
      </c>
      <c r="I39" s="240" t="s">
        <v>125</v>
      </c>
      <c r="J39" s="867"/>
      <c r="K39" s="148">
        <v>123</v>
      </c>
      <c r="L39" s="148">
        <v>173</v>
      </c>
      <c r="M39" s="249">
        <v>296</v>
      </c>
      <c r="N39" s="872"/>
      <c r="O39" s="148">
        <v>93</v>
      </c>
      <c r="P39" s="148">
        <v>119</v>
      </c>
      <c r="Q39" s="249">
        <v>212</v>
      </c>
      <c r="R39" s="879"/>
      <c r="S39" s="779"/>
    </row>
    <row r="40" spans="1:19" ht="21.15" customHeight="1">
      <c r="A40" s="128"/>
      <c r="B40" s="312" t="s">
        <v>110</v>
      </c>
      <c r="C40" s="240" t="s">
        <v>125</v>
      </c>
      <c r="D40" s="240" t="s">
        <v>125</v>
      </c>
      <c r="E40" s="240" t="s">
        <v>125</v>
      </c>
      <c r="F40" s="867"/>
      <c r="G40" s="240" t="s">
        <v>125</v>
      </c>
      <c r="H40" s="240" t="s">
        <v>125</v>
      </c>
      <c r="I40" s="240" t="s">
        <v>125</v>
      </c>
      <c r="J40" s="867"/>
      <c r="K40" s="148">
        <v>29</v>
      </c>
      <c r="L40" s="148">
        <v>58</v>
      </c>
      <c r="M40" s="249">
        <v>87</v>
      </c>
      <c r="N40" s="872"/>
      <c r="O40" s="148">
        <v>30</v>
      </c>
      <c r="P40" s="148">
        <v>62</v>
      </c>
      <c r="Q40" s="249">
        <v>92</v>
      </c>
      <c r="R40" s="879"/>
      <c r="S40" s="779"/>
    </row>
    <row r="41" spans="1:19" ht="21.15" customHeight="1">
      <c r="A41" s="128"/>
      <c r="B41" s="320" t="s">
        <v>8</v>
      </c>
      <c r="C41" s="240" t="s">
        <v>125</v>
      </c>
      <c r="D41" s="240" t="s">
        <v>125</v>
      </c>
      <c r="E41" s="240" t="s">
        <v>125</v>
      </c>
      <c r="F41" s="868"/>
      <c r="G41" s="240" t="s">
        <v>125</v>
      </c>
      <c r="H41" s="240" t="s">
        <v>125</v>
      </c>
      <c r="I41" s="240" t="s">
        <v>125</v>
      </c>
      <c r="J41" s="868"/>
      <c r="K41" s="362">
        <v>389</v>
      </c>
      <c r="L41" s="362">
        <v>561</v>
      </c>
      <c r="M41" s="362">
        <v>950</v>
      </c>
      <c r="N41" s="873"/>
      <c r="O41" s="362">
        <v>257</v>
      </c>
      <c r="P41" s="362">
        <v>446</v>
      </c>
      <c r="Q41" s="362">
        <v>703</v>
      </c>
      <c r="R41" s="880"/>
      <c r="S41" s="490"/>
    </row>
    <row r="42" spans="3:9" ht="14.4">
      <c r="C42" s="240" t="s">
        <v>125</v>
      </c>
      <c r="D42" s="240" t="s">
        <v>125</v>
      </c>
      <c r="E42" s="240" t="s">
        <v>125</v>
      </c>
      <c r="G42" s="240" t="s">
        <v>125</v>
      </c>
      <c r="H42" s="240" t="s">
        <v>125</v>
      </c>
      <c r="I42" s="240" t="s">
        <v>125</v>
      </c>
    </row>
    <row r="44" spans="13:15" ht="14.4">
      <c r="M44"/>
      <c r="N44"/>
      <c r="O44"/>
    </row>
    <row r="45" spans="13:15" ht="14.4">
      <c r="M45"/>
      <c r="N45"/>
      <c r="O45"/>
    </row>
  </sheetData>
  <mergeCells count="42">
    <mergeCell ref="C8:D8"/>
    <mergeCell ref="C17:F17"/>
    <mergeCell ref="N28:N32"/>
    <mergeCell ref="C26:F26"/>
    <mergeCell ref="G26:J26"/>
    <mergeCell ref="F28:F32"/>
    <mergeCell ref="J28:J32"/>
    <mergeCell ref="G8:H8"/>
    <mergeCell ref="F19:F23"/>
    <mergeCell ref="K17:N17"/>
    <mergeCell ref="K26:N26"/>
    <mergeCell ref="J19:J23"/>
    <mergeCell ref="G17:J17"/>
    <mergeCell ref="S8:S9"/>
    <mergeCell ref="S10:S13"/>
    <mergeCell ref="I8:J8"/>
    <mergeCell ref="K8:L8"/>
    <mergeCell ref="E8:F8"/>
    <mergeCell ref="S17:S18"/>
    <mergeCell ref="O17:R17"/>
    <mergeCell ref="H10:H14"/>
    <mergeCell ref="J10:J14"/>
    <mergeCell ref="F10:F14"/>
    <mergeCell ref="L10:L14"/>
    <mergeCell ref="O26:R26"/>
    <mergeCell ref="S26:S27"/>
    <mergeCell ref="N19:N23"/>
    <mergeCell ref="S19:S22"/>
    <mergeCell ref="R19:R23"/>
    <mergeCell ref="S28:S31"/>
    <mergeCell ref="O35:R35"/>
    <mergeCell ref="R28:R32"/>
    <mergeCell ref="R37:R41"/>
    <mergeCell ref="S35:S36"/>
    <mergeCell ref="S37:S40"/>
    <mergeCell ref="C35:F35"/>
    <mergeCell ref="F37:F41"/>
    <mergeCell ref="G35:J35"/>
    <mergeCell ref="D10:D14"/>
    <mergeCell ref="K35:N35"/>
    <mergeCell ref="J37:J41"/>
    <mergeCell ref="N37:N41"/>
  </mergeCells>
  <pageMargins left="0.7" right="0.7" top="0.75" bottom="0.75" header="0.3" footer="0.3"/>
  <pageSetup orientation="portrait" paperSize="9" r:id="rId2"/>
  <headerFooter scaleWithDoc="0"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94C829E-FBC0-47DF-834C-8D01157CEFBD}">
  <dimension ref="B1:P65"/>
  <sheetViews>
    <sheetView showGridLines="0" rightToLeft="1" zoomScale="76" zoomScaleNormal="76" workbookViewId="0" topLeftCell="A1">
      <selection pane="topLeft" activeCell="H13" sqref="H13"/>
    </sheetView>
  </sheetViews>
  <sheetFormatPr defaultColWidth="9.114285714285714" defaultRowHeight="14.4"/>
  <cols>
    <col min="1" max="1" width="3.7142857142857144" customWidth="1"/>
    <col min="2" max="4" width="12.714285714285714" customWidth="1"/>
    <col min="5" max="5" width="18.285714285714285" customWidth="1"/>
    <col min="6" max="16" width="12.714285714285714" customWidth="1"/>
    <col min="18" max="18" width="11.714285714285714" customWidth="1"/>
    <col min="24" max="24" width="12" customWidth="1"/>
  </cols>
  <sheetData>
    <row r="1" spans="2:11" ht="15" customHeight="1"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2:11" ht="15" customHeight="1"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2:11" ht="15" customHeight="1"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2:15" ht="15" customHeight="1">
      <c r="B4" s="64"/>
      <c r="C4" s="64"/>
      <c r="D4" s="64"/>
      <c r="E4" s="64"/>
      <c r="F4" s="64"/>
      <c r="G4" s="64"/>
      <c r="H4" s="64"/>
      <c r="I4" s="64"/>
      <c r="J4" s="64"/>
      <c r="K4" s="64"/>
      <c r="N4" s="43"/>
      <c r="O4" s="43"/>
    </row>
    <row r="5" spans="2:16" ht="24.9" customHeight="1" thickBot="1">
      <c r="B5" s="65" t="s">
        <v>220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2:16" ht="15" customHeight="1" thickTop="1">
      <c r="B6" s="67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2:16" ht="24.9" customHeight="1">
      <c r="B7" s="92" t="s">
        <v>160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</row>
    <row r="8" spans="2:16" s="77" customFormat="1" ht="22.95" customHeight="1">
      <c r="B8" s="170"/>
      <c r="C8" s="143">
        <v>2021</v>
      </c>
      <c r="D8" s="143"/>
      <c r="E8" s="589"/>
      <c r="F8" s="922" t="s">
        <v>28</v>
      </c>
      <c r="G8" s="143">
        <v>2022</v>
      </c>
      <c r="H8" s="143"/>
      <c r="I8" s="589"/>
      <c r="J8" s="922" t="s">
        <v>28</v>
      </c>
      <c r="K8" s="790">
        <v>2023</v>
      </c>
      <c r="L8" s="790"/>
      <c r="M8" s="811"/>
      <c r="N8" s="6" t="s">
        <v>28</v>
      </c>
      <c r="O8" s="6"/>
      <c r="P8" s="844" t="s">
        <v>5</v>
      </c>
    </row>
    <row r="9" spans="2:16" s="77" customFormat="1" ht="22.95" customHeight="1">
      <c r="B9" s="170"/>
      <c r="C9" s="171" t="s">
        <v>7</v>
      </c>
      <c r="D9" s="171" t="s">
        <v>119</v>
      </c>
      <c r="E9" s="172" t="s">
        <v>8</v>
      </c>
      <c r="F9" s="922"/>
      <c r="G9" s="171" t="s">
        <v>7</v>
      </c>
      <c r="H9" s="171" t="s">
        <v>6</v>
      </c>
      <c r="I9" s="172" t="s">
        <v>8</v>
      </c>
      <c r="J9" s="922"/>
      <c r="K9" s="171" t="s">
        <v>7</v>
      </c>
      <c r="L9" s="171" t="s">
        <v>6</v>
      </c>
      <c r="M9" s="172" t="s">
        <v>8</v>
      </c>
      <c r="N9" s="6"/>
      <c r="O9" s="6"/>
      <c r="P9" s="844"/>
    </row>
    <row r="10" spans="2:16" ht="38.1" customHeight="1">
      <c r="B10" s="604" t="s">
        <v>111</v>
      </c>
      <c r="C10" s="173">
        <v>857</v>
      </c>
      <c r="D10" s="173">
        <v>525</v>
      </c>
      <c r="E10" s="173">
        <f>SUM(C10:D10)</f>
        <v>1382</v>
      </c>
      <c r="F10" s="906">
        <f>(E10)/('כוח אדם'!H36+'כוח אדם'!E36)/2</f>
        <v>0.39942196531791907</v>
      </c>
      <c r="G10" s="161">
        <v>773</v>
      </c>
      <c r="H10" s="161">
        <v>662</v>
      </c>
      <c r="I10" s="161">
        <v>1435</v>
      </c>
      <c r="J10" s="906">
        <f>(I10)/('כוח אדם'!K36+'כוח אדם'!H6)/2</f>
        <v>0.8181299885974914</v>
      </c>
      <c r="K10" s="161">
        <v>494</v>
      </c>
      <c r="L10" s="161">
        <v>306</v>
      </c>
      <c r="M10" s="161">
        <v>800</v>
      </c>
      <c r="N10" s="903">
        <f>(M10)/('כוח אדם'!N36+'כוח אדם'!K36)/2</f>
        <v>0.21798365122615804</v>
      </c>
      <c r="O10" s="903"/>
      <c r="P10" s="791" t="s">
        <v>29</v>
      </c>
    </row>
    <row r="11" spans="2:16" ht="38.1" customHeight="1">
      <c r="B11" s="590" t="s">
        <v>113</v>
      </c>
      <c r="C11" s="174">
        <v>722</v>
      </c>
      <c r="D11" s="174">
        <v>568</v>
      </c>
      <c r="E11" s="174">
        <f>SUM(C11:D11)</f>
        <v>1290</v>
      </c>
      <c r="F11" s="907"/>
      <c r="G11" s="163">
        <v>716</v>
      </c>
      <c r="H11" s="163">
        <v>557</v>
      </c>
      <c r="I11" s="163">
        <v>1273</v>
      </c>
      <c r="J11" s="907"/>
      <c r="K11" s="163">
        <v>516</v>
      </c>
      <c r="L11" s="163">
        <v>420</v>
      </c>
      <c r="M11" s="163">
        <v>936</v>
      </c>
      <c r="N11" s="904"/>
      <c r="O11" s="904"/>
      <c r="P11" s="791"/>
    </row>
    <row r="12" spans="2:16" ht="38.1" customHeight="1">
      <c r="B12" s="590" t="s">
        <v>112</v>
      </c>
      <c r="C12" s="174">
        <v>3</v>
      </c>
      <c r="D12" s="174">
        <v>4</v>
      </c>
      <c r="E12" s="174">
        <v>7</v>
      </c>
      <c r="F12" s="905">
        <f>(E12)/('כוח אדם'!H37+'כוח אדם'!E37)/2</f>
        <v>3.8238828799300775E-4</v>
      </c>
      <c r="G12" s="163">
        <v>3</v>
      </c>
      <c r="H12" s="163">
        <v>8</v>
      </c>
      <c r="I12" s="163">
        <v>11</v>
      </c>
      <c r="J12" s="905">
        <f>(I12)/('כוח אדם'!H37+'כוח אדם'!K37)/2</f>
        <v>5.90508911316298E-4</v>
      </c>
      <c r="K12" s="163">
        <v>6</v>
      </c>
      <c r="L12" s="163">
        <v>8</v>
      </c>
      <c r="M12" s="163">
        <v>14</v>
      </c>
      <c r="N12" s="903">
        <f>(M12)/('כוח אדם'!N37+'כוח אדם'!K37)/2</f>
        <v>7.612833061446438E-4</v>
      </c>
      <c r="O12" s="903"/>
      <c r="P12" s="791"/>
    </row>
    <row r="13" spans="2:16" ht="38.1" customHeight="1">
      <c r="B13" s="591" t="s">
        <v>114</v>
      </c>
      <c r="C13" s="175">
        <v>49</v>
      </c>
      <c r="D13" s="175">
        <v>22</v>
      </c>
      <c r="E13" s="175">
        <f>SUM(C13:D13)</f>
        <v>71</v>
      </c>
      <c r="F13" s="906"/>
      <c r="G13" s="169">
        <v>39</v>
      </c>
      <c r="H13" s="169">
        <v>26</v>
      </c>
      <c r="I13" s="169">
        <v>65</v>
      </c>
      <c r="J13" s="906"/>
      <c r="K13" s="169">
        <v>16</v>
      </c>
      <c r="L13" s="169">
        <v>26</v>
      </c>
      <c r="M13" s="169">
        <v>42</v>
      </c>
      <c r="N13" s="903"/>
      <c r="O13" s="903"/>
      <c r="P13" s="807"/>
    </row>
    <row r="14" ht="21.15" customHeight="1"/>
    <row r="15" spans="2:12" ht="24.9" customHeight="1">
      <c r="B15" s="92" t="s">
        <v>173</v>
      </c>
      <c r="C15" s="92"/>
      <c r="D15" s="92"/>
      <c r="E15" s="92"/>
      <c r="F15" s="92"/>
      <c r="G15" s="92"/>
      <c r="H15" s="92"/>
      <c r="I15" s="92"/>
      <c r="J15" s="92"/>
      <c r="K15" s="92"/>
      <c r="L15" s="92"/>
    </row>
    <row r="16" spans="2:16" ht="30.15" customHeight="1">
      <c r="B16" s="140"/>
      <c r="C16" s="153" t="s">
        <v>25</v>
      </c>
      <c r="D16" s="790">
        <v>2020</v>
      </c>
      <c r="E16" s="790"/>
      <c r="F16" s="811"/>
      <c r="G16" s="830">
        <v>2021</v>
      </c>
      <c r="H16" s="790"/>
      <c r="I16" s="811"/>
      <c r="J16" s="790">
        <v>2022</v>
      </c>
      <c r="K16" s="790"/>
      <c r="L16" s="790"/>
      <c r="M16" s="790">
        <v>2023</v>
      </c>
      <c r="N16" s="790"/>
      <c r="O16" s="790"/>
      <c r="P16" s="69" t="s">
        <v>5</v>
      </c>
    </row>
    <row r="17" spans="2:16" ht="53.4" customHeight="1">
      <c r="B17" s="144"/>
      <c r="C17" s="155"/>
      <c r="D17" s="145" t="s">
        <v>26</v>
      </c>
      <c r="E17" s="145" t="s">
        <v>27</v>
      </c>
      <c r="F17" s="157" t="s">
        <v>28</v>
      </c>
      <c r="G17" s="145" t="s">
        <v>26</v>
      </c>
      <c r="H17" s="145" t="s">
        <v>27</v>
      </c>
      <c r="I17" s="157" t="s">
        <v>28</v>
      </c>
      <c r="J17" s="145" t="s">
        <v>26</v>
      </c>
      <c r="K17" s="145" t="s">
        <v>27</v>
      </c>
      <c r="L17" s="145" t="s">
        <v>28</v>
      </c>
      <c r="M17" s="145" t="s">
        <v>26</v>
      </c>
      <c r="N17" s="145" t="s">
        <v>27</v>
      </c>
      <c r="O17" s="145" t="s">
        <v>28</v>
      </c>
      <c r="P17" s="791" t="s">
        <v>29</v>
      </c>
    </row>
    <row r="18" spans="2:16" ht="21.15" customHeight="1">
      <c r="B18" s="910" t="s">
        <v>7</v>
      </c>
      <c r="C18" s="156" t="s">
        <v>15</v>
      </c>
      <c r="D18" s="161">
        <v>166</v>
      </c>
      <c r="E18" s="161">
        <v>188</v>
      </c>
      <c r="F18" s="926" t="s">
        <v>125</v>
      </c>
      <c r="G18" s="161">
        <v>120</v>
      </c>
      <c r="H18" s="161">
        <v>140</v>
      </c>
      <c r="I18" s="919">
        <f>(H29)/('כוח אדם'!C11+'כוח אדם'!D11)/2</f>
        <v>0.10073181231166595</v>
      </c>
      <c r="J18" s="161">
        <v>164</v>
      </c>
      <c r="K18" s="161">
        <v>140</v>
      </c>
      <c r="L18" s="919">
        <f>(K29)/('כוח אדם'!D11+'כוח אדם'!E11)/2</f>
        <v>0.10352014821676703</v>
      </c>
      <c r="M18" s="161">
        <v>249</v>
      </c>
      <c r="N18" s="161">
        <v>209</v>
      </c>
      <c r="O18" s="916">
        <f>(N29)/('כוח אדם'!E11+'כוח אדם'!F11)/2</f>
        <v>0.13783783783783785</v>
      </c>
      <c r="P18" s="791"/>
    </row>
    <row r="19" spans="2:16" ht="21.15" customHeight="1">
      <c r="B19" s="911"/>
      <c r="C19" s="154" t="s">
        <v>16</v>
      </c>
      <c r="D19" s="163">
        <v>38</v>
      </c>
      <c r="E19" s="163">
        <v>71</v>
      </c>
      <c r="F19" s="926"/>
      <c r="G19" s="163">
        <v>43</v>
      </c>
      <c r="H19" s="163">
        <v>76</v>
      </c>
      <c r="I19" s="919"/>
      <c r="J19" s="163">
        <v>63</v>
      </c>
      <c r="K19" s="163">
        <v>76</v>
      </c>
      <c r="L19" s="919"/>
      <c r="M19" s="163">
        <v>73</v>
      </c>
      <c r="N19" s="163">
        <v>75</v>
      </c>
      <c r="O19" s="916"/>
      <c r="P19" s="791"/>
    </row>
    <row r="20" spans="2:16" ht="21.15" customHeight="1">
      <c r="B20" s="911"/>
      <c r="C20" s="154" t="s">
        <v>30</v>
      </c>
      <c r="D20" s="163">
        <v>7</v>
      </c>
      <c r="E20" s="163">
        <v>8</v>
      </c>
      <c r="F20" s="926"/>
      <c r="G20" s="163">
        <v>2</v>
      </c>
      <c r="H20" s="163">
        <v>6</v>
      </c>
      <c r="I20" s="919"/>
      <c r="J20" s="163">
        <v>5</v>
      </c>
      <c r="K20" s="163">
        <v>6</v>
      </c>
      <c r="L20" s="919"/>
      <c r="M20" s="163">
        <v>3</v>
      </c>
      <c r="N20" s="163">
        <v>11</v>
      </c>
      <c r="O20" s="916"/>
      <c r="P20" s="791"/>
    </row>
    <row r="21" spans="2:16" ht="21.15" customHeight="1">
      <c r="B21" s="912" t="s">
        <v>31</v>
      </c>
      <c r="C21" s="913"/>
      <c r="D21" s="165">
        <v>211</v>
      </c>
      <c r="E21" s="165">
        <v>267</v>
      </c>
      <c r="F21" s="926"/>
      <c r="G21" s="165">
        <v>165</v>
      </c>
      <c r="H21" s="165">
        <v>222</v>
      </c>
      <c r="I21" s="919"/>
      <c r="J21" s="165">
        <v>232</v>
      </c>
      <c r="K21" s="165">
        <v>222</v>
      </c>
      <c r="L21" s="919"/>
      <c r="M21" s="165">
        <v>325</v>
      </c>
      <c r="N21" s="165">
        <v>295</v>
      </c>
      <c r="O21" s="916"/>
      <c r="P21" s="791"/>
    </row>
    <row r="22" spans="2:16" ht="21.15" customHeight="1">
      <c r="B22" s="910" t="s">
        <v>6</v>
      </c>
      <c r="C22" s="156" t="s">
        <v>15</v>
      </c>
      <c r="D22" s="161">
        <v>172</v>
      </c>
      <c r="E22" s="161">
        <v>187</v>
      </c>
      <c r="F22" s="926"/>
      <c r="G22" s="161">
        <v>129</v>
      </c>
      <c r="H22" s="161">
        <v>164</v>
      </c>
      <c r="I22" s="919"/>
      <c r="J22" s="161">
        <v>143</v>
      </c>
      <c r="K22" s="161">
        <v>140</v>
      </c>
      <c r="L22" s="919"/>
      <c r="M22" s="161">
        <v>261</v>
      </c>
      <c r="N22" s="161">
        <v>220</v>
      </c>
      <c r="O22" s="916"/>
      <c r="P22" s="791"/>
    </row>
    <row r="23" spans="2:16" ht="21.15" customHeight="1">
      <c r="B23" s="911"/>
      <c r="C23" s="154" t="s">
        <v>16</v>
      </c>
      <c r="D23" s="163">
        <v>46</v>
      </c>
      <c r="E23" s="163">
        <v>66</v>
      </c>
      <c r="F23" s="926"/>
      <c r="G23" s="163">
        <v>36</v>
      </c>
      <c r="H23" s="163">
        <v>75</v>
      </c>
      <c r="I23" s="919"/>
      <c r="J23" s="163">
        <v>61</v>
      </c>
      <c r="K23" s="163">
        <v>77</v>
      </c>
      <c r="L23" s="919"/>
      <c r="M23" s="163">
        <v>56</v>
      </c>
      <c r="N23" s="163">
        <v>88</v>
      </c>
      <c r="O23" s="916"/>
      <c r="P23" s="791"/>
    </row>
    <row r="24" spans="2:16" ht="21.15" customHeight="1">
      <c r="B24" s="911"/>
      <c r="C24" s="154" t="s">
        <v>30</v>
      </c>
      <c r="D24" s="163">
        <v>3</v>
      </c>
      <c r="E24" s="163">
        <v>4</v>
      </c>
      <c r="F24" s="926"/>
      <c r="G24" s="163">
        <v>2</v>
      </c>
      <c r="H24" s="163">
        <v>7</v>
      </c>
      <c r="I24" s="919"/>
      <c r="J24" s="163">
        <v>7</v>
      </c>
      <c r="K24" s="163">
        <v>8</v>
      </c>
      <c r="L24" s="919"/>
      <c r="M24" s="163">
        <v>3</v>
      </c>
      <c r="N24" s="163">
        <v>9</v>
      </c>
      <c r="O24" s="916"/>
      <c r="P24" s="791"/>
    </row>
    <row r="25" spans="2:16" ht="21.15" customHeight="1">
      <c r="B25" s="912" t="s">
        <v>32</v>
      </c>
      <c r="C25" s="913"/>
      <c r="D25" s="165">
        <v>221</v>
      </c>
      <c r="E25" s="165">
        <v>257</v>
      </c>
      <c r="F25" s="926"/>
      <c r="G25" s="165">
        <v>167</v>
      </c>
      <c r="H25" s="165">
        <v>246</v>
      </c>
      <c r="I25" s="919"/>
      <c r="J25" s="165">
        <v>211</v>
      </c>
      <c r="K25" s="165">
        <v>225</v>
      </c>
      <c r="L25" s="919"/>
      <c r="M25" s="165">
        <v>320</v>
      </c>
      <c r="N25" s="165">
        <v>317</v>
      </c>
      <c r="O25" s="916"/>
      <c r="P25" s="791"/>
    </row>
    <row r="26" spans="2:16" ht="21.15" customHeight="1">
      <c r="B26" s="924" t="s">
        <v>33</v>
      </c>
      <c r="C26" s="925"/>
      <c r="D26" s="161">
        <v>338</v>
      </c>
      <c r="E26" s="161">
        <v>375</v>
      </c>
      <c r="F26" s="926"/>
      <c r="G26" s="161">
        <v>249</v>
      </c>
      <c r="H26" s="161">
        <v>304</v>
      </c>
      <c r="I26" s="919"/>
      <c r="J26" s="161">
        <v>307</v>
      </c>
      <c r="K26" s="161">
        <v>280</v>
      </c>
      <c r="L26" s="919"/>
      <c r="M26" s="161">
        <v>510</v>
      </c>
      <c r="N26" s="161">
        <v>429</v>
      </c>
      <c r="O26" s="916"/>
      <c r="P26" s="791"/>
    </row>
    <row r="27" spans="2:16" ht="21.15" customHeight="1">
      <c r="B27" s="908" t="s">
        <v>35</v>
      </c>
      <c r="C27" s="909"/>
      <c r="D27" s="163">
        <v>84</v>
      </c>
      <c r="E27" s="163">
        <v>137</v>
      </c>
      <c r="F27" s="926"/>
      <c r="G27" s="163">
        <v>79</v>
      </c>
      <c r="H27" s="163">
        <v>151</v>
      </c>
      <c r="I27" s="919"/>
      <c r="J27" s="163">
        <v>124</v>
      </c>
      <c r="K27" s="163">
        <v>153</v>
      </c>
      <c r="L27" s="919"/>
      <c r="M27" s="163">
        <v>129</v>
      </c>
      <c r="N27" s="163">
        <v>163</v>
      </c>
      <c r="O27" s="916"/>
      <c r="P27" s="791"/>
    </row>
    <row r="28" spans="2:16" ht="21.15" customHeight="1">
      <c r="B28" s="908" t="s">
        <v>36</v>
      </c>
      <c r="C28" s="909"/>
      <c r="D28" s="163">
        <v>10</v>
      </c>
      <c r="E28" s="163">
        <v>12</v>
      </c>
      <c r="F28" s="926"/>
      <c r="G28" s="163">
        <v>4</v>
      </c>
      <c r="H28" s="163">
        <v>13</v>
      </c>
      <c r="I28" s="919"/>
      <c r="J28" s="163">
        <v>12</v>
      </c>
      <c r="K28" s="163">
        <v>14</v>
      </c>
      <c r="L28" s="919"/>
      <c r="M28" s="163">
        <v>6</v>
      </c>
      <c r="N28" s="163">
        <v>20</v>
      </c>
      <c r="O28" s="916"/>
      <c r="P28" s="791"/>
    </row>
    <row r="29" spans="2:16" ht="21.15" customHeight="1">
      <c r="B29" s="914" t="s">
        <v>8</v>
      </c>
      <c r="C29" s="915"/>
      <c r="D29" s="169">
        <v>432</v>
      </c>
      <c r="E29" s="169">
        <v>524</v>
      </c>
      <c r="F29" s="926"/>
      <c r="G29" s="169">
        <v>332</v>
      </c>
      <c r="H29" s="169">
        <v>468</v>
      </c>
      <c r="I29" s="919"/>
      <c r="J29" s="169">
        <v>443</v>
      </c>
      <c r="K29" s="169">
        <v>447</v>
      </c>
      <c r="L29" s="919"/>
      <c r="M29" s="169">
        <v>645</v>
      </c>
      <c r="N29" s="169">
        <v>612</v>
      </c>
      <c r="O29" s="916"/>
      <c r="P29" s="807"/>
    </row>
    <row r="30" ht="21.15" customHeight="1"/>
    <row r="31" spans="2:12" ht="24.9" customHeight="1">
      <c r="B31" s="92" t="s">
        <v>175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</row>
    <row r="32" spans="2:16" ht="30.15" customHeight="1">
      <c r="B32" s="140" t="s">
        <v>143</v>
      </c>
      <c r="C32" s="153" t="s">
        <v>25</v>
      </c>
      <c r="D32" s="790">
        <v>2020</v>
      </c>
      <c r="E32" s="790"/>
      <c r="F32" s="811"/>
      <c r="G32" s="830">
        <v>2021</v>
      </c>
      <c r="H32" s="790"/>
      <c r="I32" s="811"/>
      <c r="J32" s="790">
        <v>2022</v>
      </c>
      <c r="K32" s="790"/>
      <c r="L32" s="790"/>
      <c r="M32" s="790">
        <v>2023</v>
      </c>
      <c r="N32" s="790"/>
      <c r="O32" s="790"/>
      <c r="P32" s="69" t="s">
        <v>5</v>
      </c>
    </row>
    <row r="33" spans="2:16" ht="53.4" customHeight="1">
      <c r="B33" s="144"/>
      <c r="C33" s="155"/>
      <c r="D33" s="145" t="s">
        <v>26</v>
      </c>
      <c r="E33" s="145" t="s">
        <v>27</v>
      </c>
      <c r="F33" s="157" t="s">
        <v>28</v>
      </c>
      <c r="G33" s="145" t="s">
        <v>26</v>
      </c>
      <c r="H33" s="145" t="s">
        <v>27</v>
      </c>
      <c r="I33" s="157" t="s">
        <v>28</v>
      </c>
      <c r="J33" s="145" t="s">
        <v>26</v>
      </c>
      <c r="K33" s="145" t="s">
        <v>27</v>
      </c>
      <c r="L33" s="145" t="s">
        <v>28</v>
      </c>
      <c r="M33" s="145" t="s">
        <v>26</v>
      </c>
      <c r="N33" s="145" t="s">
        <v>27</v>
      </c>
      <c r="O33" s="145" t="s">
        <v>28</v>
      </c>
      <c r="P33" s="799" t="s">
        <v>29</v>
      </c>
    </row>
    <row r="34" spans="2:16" ht="21.15" customHeight="1">
      <c r="B34" s="920" t="s">
        <v>7</v>
      </c>
      <c r="C34" s="156" t="s">
        <v>15</v>
      </c>
      <c r="D34" s="146">
        <v>169</v>
      </c>
      <c r="E34" s="146">
        <v>214</v>
      </c>
      <c r="F34" s="917" t="s">
        <v>125</v>
      </c>
      <c r="G34" s="146">
        <v>196</v>
      </c>
      <c r="H34" s="146">
        <v>160</v>
      </c>
      <c r="I34" s="917">
        <f>(H45)/('כוח אדם'!C12+'כוח אדם'!D12)/2</f>
        <v>0.045665212649945476</v>
      </c>
      <c r="J34" s="146">
        <v>209</v>
      </c>
      <c r="K34" s="146">
        <v>134</v>
      </c>
      <c r="L34" s="918">
        <f>(K45)/('כוח אדם'!D12+'כוח אדם'!E12)/2</f>
        <v>0.046370967741935484</v>
      </c>
      <c r="M34" s="146">
        <v>216</v>
      </c>
      <c r="N34" s="146">
        <v>192</v>
      </c>
      <c r="O34" s="903">
        <f>(N45)/('כוח אדם'!E12+'כוח אדם'!F12)/2</f>
        <v>0.07851239669421488</v>
      </c>
      <c r="P34" s="799"/>
    </row>
    <row r="35" spans="2:16" ht="21.15" customHeight="1">
      <c r="B35" s="921"/>
      <c r="C35" s="154" t="s">
        <v>16</v>
      </c>
      <c r="D35" s="148">
        <v>35</v>
      </c>
      <c r="E35" s="148">
        <v>87</v>
      </c>
      <c r="F35" s="917"/>
      <c r="G35" s="148">
        <v>25</v>
      </c>
      <c r="H35" s="148">
        <v>17</v>
      </c>
      <c r="I35" s="917"/>
      <c r="J35" s="148">
        <v>41</v>
      </c>
      <c r="K35" s="148">
        <v>14</v>
      </c>
      <c r="L35" s="918"/>
      <c r="M35" s="148">
        <v>47</v>
      </c>
      <c r="N35" s="148">
        <v>57</v>
      </c>
      <c r="O35" s="903"/>
      <c r="P35" s="799"/>
    </row>
    <row r="36" spans="2:16" ht="21.15" customHeight="1">
      <c r="B36" s="921"/>
      <c r="C36" s="154" t="s">
        <v>30</v>
      </c>
      <c r="D36" s="148">
        <v>2</v>
      </c>
      <c r="E36" s="148">
        <v>23</v>
      </c>
      <c r="F36" s="917"/>
      <c r="G36" s="148">
        <v>3</v>
      </c>
      <c r="H36" s="148">
        <v>1</v>
      </c>
      <c r="I36" s="917"/>
      <c r="J36" s="148">
        <v>3</v>
      </c>
      <c r="K36" s="148">
        <v>0</v>
      </c>
      <c r="L36" s="918"/>
      <c r="M36" s="148">
        <v>6</v>
      </c>
      <c r="N36" s="148">
        <v>5</v>
      </c>
      <c r="O36" s="903"/>
      <c r="P36" s="799"/>
    </row>
    <row r="37" spans="2:16" ht="21.15" customHeight="1">
      <c r="B37" s="912" t="s">
        <v>31</v>
      </c>
      <c r="C37" s="913"/>
      <c r="D37" s="158">
        <f>SUM(D34:D36)</f>
        <v>206</v>
      </c>
      <c r="E37" s="158">
        <f>SUM(E34:E36)</f>
        <v>324</v>
      </c>
      <c r="F37" s="917"/>
      <c r="G37" s="158">
        <f>SUM(G34:G36)</f>
        <v>224</v>
      </c>
      <c r="H37" s="158">
        <f>SUM(H34:H36)</f>
        <v>178</v>
      </c>
      <c r="I37" s="917"/>
      <c r="J37" s="158">
        <f>SUM(J34:J36)</f>
        <v>253</v>
      </c>
      <c r="K37" s="158">
        <f>SUM(K34:K36)</f>
        <v>148</v>
      </c>
      <c r="L37" s="918"/>
      <c r="M37" s="158">
        <v>269</v>
      </c>
      <c r="N37" s="158">
        <v>254</v>
      </c>
      <c r="O37" s="903"/>
      <c r="P37" s="799"/>
    </row>
    <row r="38" spans="2:16" ht="21.15" customHeight="1">
      <c r="B38" s="920" t="s">
        <v>6</v>
      </c>
      <c r="C38" s="156" t="s">
        <v>15</v>
      </c>
      <c r="D38" s="146">
        <v>158</v>
      </c>
      <c r="E38" s="146">
        <v>192</v>
      </c>
      <c r="F38" s="917"/>
      <c r="G38" s="146">
        <v>175</v>
      </c>
      <c r="H38" s="146">
        <v>141</v>
      </c>
      <c r="I38" s="917"/>
      <c r="J38" s="146">
        <v>235</v>
      </c>
      <c r="K38" s="146">
        <v>153</v>
      </c>
      <c r="L38" s="918"/>
      <c r="M38" s="146">
        <v>214</v>
      </c>
      <c r="N38" s="146">
        <v>197</v>
      </c>
      <c r="O38" s="903"/>
      <c r="P38" s="799"/>
    </row>
    <row r="39" spans="2:16" ht="21.15" customHeight="1">
      <c r="B39" s="921"/>
      <c r="C39" s="154" t="s">
        <v>16</v>
      </c>
      <c r="D39" s="148">
        <v>12</v>
      </c>
      <c r="E39" s="148">
        <v>103</v>
      </c>
      <c r="F39" s="917"/>
      <c r="G39" s="148">
        <v>27</v>
      </c>
      <c r="H39" s="148">
        <v>16</v>
      </c>
      <c r="I39" s="917"/>
      <c r="J39" s="148">
        <v>46</v>
      </c>
      <c r="K39" s="148">
        <v>20</v>
      </c>
      <c r="L39" s="918"/>
      <c r="M39" s="148">
        <v>49</v>
      </c>
      <c r="N39" s="148">
        <v>76</v>
      </c>
      <c r="O39" s="903"/>
      <c r="P39" s="799"/>
    </row>
    <row r="40" spans="2:16" ht="21.15" customHeight="1">
      <c r="B40" s="921"/>
      <c r="C40" s="154" t="s">
        <v>30</v>
      </c>
      <c r="D40" s="148">
        <v>2</v>
      </c>
      <c r="E40" s="148">
        <v>11</v>
      </c>
      <c r="F40" s="917"/>
      <c r="G40" s="148">
        <v>0</v>
      </c>
      <c r="H40" s="148">
        <v>0</v>
      </c>
      <c r="I40" s="917"/>
      <c r="J40" s="148">
        <v>6</v>
      </c>
      <c r="K40" s="148">
        <v>1</v>
      </c>
      <c r="L40" s="918"/>
      <c r="M40" s="148">
        <v>3</v>
      </c>
      <c r="N40" s="148">
        <v>5</v>
      </c>
      <c r="O40" s="903"/>
      <c r="P40" s="799"/>
    </row>
    <row r="41" spans="2:16" ht="21.15" customHeight="1">
      <c r="B41" s="912" t="s">
        <v>32</v>
      </c>
      <c r="C41" s="913"/>
      <c r="D41" s="158">
        <f>SUM(D38:D40)</f>
        <v>172</v>
      </c>
      <c r="E41" s="158">
        <f>SUM(E38:E40)</f>
        <v>306</v>
      </c>
      <c r="F41" s="917"/>
      <c r="G41" s="158">
        <f>SUM(G38:G40)</f>
        <v>202</v>
      </c>
      <c r="H41" s="158">
        <f>SUM(H38:H40)</f>
        <v>157</v>
      </c>
      <c r="I41" s="917"/>
      <c r="J41" s="158">
        <f>SUM(J38:J40)</f>
        <v>287</v>
      </c>
      <c r="K41" s="158">
        <f>SUM(K38:K40)</f>
        <v>174</v>
      </c>
      <c r="L41" s="918"/>
      <c r="M41" s="158">
        <v>266</v>
      </c>
      <c r="N41" s="158">
        <v>278</v>
      </c>
      <c r="O41" s="903"/>
      <c r="P41" s="799"/>
    </row>
    <row r="42" spans="2:16" ht="21.15" customHeight="1">
      <c r="B42" s="924" t="s">
        <v>33</v>
      </c>
      <c r="C42" s="925"/>
      <c r="D42" s="159">
        <f>D34+D38</f>
        <v>327</v>
      </c>
      <c r="E42" s="159">
        <f>E38+E34</f>
        <v>406</v>
      </c>
      <c r="F42" s="917"/>
      <c r="G42" s="159">
        <f t="shared" si="0" ref="G42:H45">SUM(G34,G38)</f>
        <v>371</v>
      </c>
      <c r="H42" s="159">
        <f t="shared" si="0"/>
        <v>301</v>
      </c>
      <c r="I42" s="917"/>
      <c r="J42" s="159">
        <f t="shared" si="1" ref="J42:K44">SUM(J34,J38)</f>
        <v>444</v>
      </c>
      <c r="K42" s="159">
        <f t="shared" si="1"/>
        <v>287</v>
      </c>
      <c r="L42" s="918"/>
      <c r="M42" s="159">
        <v>430</v>
      </c>
      <c r="N42" s="159">
        <v>389</v>
      </c>
      <c r="O42" s="903"/>
      <c r="P42" s="799"/>
    </row>
    <row r="43" spans="2:16" ht="21.15" customHeight="1">
      <c r="B43" s="908" t="s">
        <v>35</v>
      </c>
      <c r="C43" s="909"/>
      <c r="D43" s="150">
        <f>D35+D39</f>
        <v>47</v>
      </c>
      <c r="E43" s="150">
        <f>E39+E35</f>
        <v>190</v>
      </c>
      <c r="F43" s="917"/>
      <c r="G43" s="150">
        <f t="shared" si="0"/>
        <v>52</v>
      </c>
      <c r="H43" s="150">
        <f t="shared" si="0"/>
        <v>33</v>
      </c>
      <c r="I43" s="917"/>
      <c r="J43" s="150">
        <f t="shared" si="1"/>
        <v>87</v>
      </c>
      <c r="K43" s="150">
        <f t="shared" si="1"/>
        <v>34</v>
      </c>
      <c r="L43" s="918"/>
      <c r="M43" s="150">
        <v>96</v>
      </c>
      <c r="N43" s="150">
        <v>133</v>
      </c>
      <c r="O43" s="903"/>
      <c r="P43" s="799"/>
    </row>
    <row r="44" spans="2:16" ht="21.15" customHeight="1">
      <c r="B44" s="908" t="s">
        <v>36</v>
      </c>
      <c r="C44" s="909"/>
      <c r="D44" s="150">
        <f>D40+D36</f>
        <v>4</v>
      </c>
      <c r="E44" s="150">
        <f>E40+E36</f>
        <v>34</v>
      </c>
      <c r="F44" s="917"/>
      <c r="G44" s="150">
        <f t="shared" si="0"/>
        <v>3</v>
      </c>
      <c r="H44" s="150">
        <f t="shared" si="0"/>
        <v>1</v>
      </c>
      <c r="I44" s="917"/>
      <c r="J44" s="150">
        <f t="shared" si="1"/>
        <v>9</v>
      </c>
      <c r="K44" s="150">
        <f t="shared" si="1"/>
        <v>1</v>
      </c>
      <c r="L44" s="918"/>
      <c r="M44" s="150">
        <v>9</v>
      </c>
      <c r="N44" s="150">
        <v>10</v>
      </c>
      <c r="O44" s="903"/>
      <c r="P44" s="799"/>
    </row>
    <row r="45" spans="2:16" ht="21.15" customHeight="1">
      <c r="B45" s="914" t="s">
        <v>8</v>
      </c>
      <c r="C45" s="915"/>
      <c r="D45" s="151">
        <f>D44+D43+D42</f>
        <v>378</v>
      </c>
      <c r="E45" s="151">
        <f>SUM(E42:E44)</f>
        <v>630</v>
      </c>
      <c r="F45" s="917"/>
      <c r="G45" s="151">
        <f t="shared" si="0"/>
        <v>426</v>
      </c>
      <c r="H45" s="151">
        <f t="shared" si="0"/>
        <v>335</v>
      </c>
      <c r="I45" s="917"/>
      <c r="J45" s="151">
        <f>SUM(J42:J44)</f>
        <v>540</v>
      </c>
      <c r="K45" s="151">
        <f>SUM(K42:K44)</f>
        <v>322</v>
      </c>
      <c r="L45" s="918"/>
      <c r="M45" s="141">
        <v>535</v>
      </c>
      <c r="N45" s="141">
        <v>532</v>
      </c>
      <c r="O45" s="903"/>
      <c r="P45" s="923"/>
    </row>
    <row r="46" ht="21.15" customHeight="1"/>
    <row r="47" spans="2:12" ht="24.9" customHeight="1">
      <c r="B47" s="92" t="s">
        <v>237</v>
      </c>
      <c r="C47" s="92"/>
      <c r="D47" s="92"/>
      <c r="E47" s="92"/>
      <c r="F47" s="92"/>
      <c r="G47" s="92"/>
      <c r="H47" s="92"/>
      <c r="I47" s="92"/>
      <c r="J47" s="92"/>
      <c r="K47" s="92"/>
      <c r="L47" s="92"/>
    </row>
    <row r="48" spans="2:16" ht="30.15" customHeight="1">
      <c r="B48" s="140"/>
      <c r="C48" s="153" t="s">
        <v>25</v>
      </c>
      <c r="D48" s="830">
        <v>2020</v>
      </c>
      <c r="E48" s="790"/>
      <c r="F48" s="811"/>
      <c r="G48" s="830">
        <v>2021</v>
      </c>
      <c r="H48" s="790"/>
      <c r="I48" s="811"/>
      <c r="J48" s="830">
        <v>2022</v>
      </c>
      <c r="K48" s="790"/>
      <c r="L48" s="811"/>
      <c r="M48" s="790">
        <v>2023</v>
      </c>
      <c r="N48" s="790"/>
      <c r="O48" s="790"/>
      <c r="P48" s="69" t="s">
        <v>5</v>
      </c>
    </row>
    <row r="49" spans="2:16" ht="68.25" customHeight="1">
      <c r="B49" s="144"/>
      <c r="C49" s="155"/>
      <c r="D49" s="145" t="s">
        <v>26</v>
      </c>
      <c r="E49" s="145" t="s">
        <v>27</v>
      </c>
      <c r="F49" s="157" t="s">
        <v>28</v>
      </c>
      <c r="G49" s="145" t="s">
        <v>26</v>
      </c>
      <c r="H49" s="145" t="s">
        <v>27</v>
      </c>
      <c r="I49" s="157" t="s">
        <v>28</v>
      </c>
      <c r="J49" s="145" t="s">
        <v>26</v>
      </c>
      <c r="K49" s="145" t="s">
        <v>27</v>
      </c>
      <c r="L49" s="157" t="s">
        <v>28</v>
      </c>
      <c r="M49" s="145" t="s">
        <v>26</v>
      </c>
      <c r="N49" s="145" t="s">
        <v>27</v>
      </c>
      <c r="O49" s="145" t="s">
        <v>28</v>
      </c>
      <c r="P49" s="799" t="s">
        <v>29</v>
      </c>
    </row>
    <row r="50" spans="2:16" ht="21.15" customHeight="1">
      <c r="B50" s="920" t="s">
        <v>7</v>
      </c>
      <c r="C50" s="156" t="s">
        <v>15</v>
      </c>
      <c r="D50" s="173">
        <v>116</v>
      </c>
      <c r="E50" s="173">
        <v>151</v>
      </c>
      <c r="F50" s="917" t="s">
        <v>125</v>
      </c>
      <c r="G50" s="173">
        <v>133</v>
      </c>
      <c r="H50" s="173">
        <v>173</v>
      </c>
      <c r="I50" s="917">
        <f>(H61)/('כוח אדם'!C13+'כוח אדם'!D13)/2</f>
        <v>0.10731907894736842</v>
      </c>
      <c r="J50" s="146">
        <v>93</v>
      </c>
      <c r="K50" s="146">
        <v>129</v>
      </c>
      <c r="L50" s="917">
        <f>(K61)/('כוח אדם'!D13+'כוח אדם'!E13)/2</f>
        <v>0.11878319652341864</v>
      </c>
      <c r="M50" s="146">
        <v>29</v>
      </c>
      <c r="N50" s="146">
        <v>41</v>
      </c>
      <c r="O50" s="933">
        <f>(N61)/('כוח אדם'!E13+'כוח אדם'!F13)/2</f>
        <v>0.06654567453115548</v>
      </c>
      <c r="P50" s="799"/>
    </row>
    <row r="51" spans="2:16" ht="21.15" customHeight="1">
      <c r="B51" s="921"/>
      <c r="C51" s="154" t="s">
        <v>16</v>
      </c>
      <c r="D51" s="174">
        <v>34</v>
      </c>
      <c r="E51" s="174">
        <v>71</v>
      </c>
      <c r="F51" s="917"/>
      <c r="G51" s="174">
        <v>38</v>
      </c>
      <c r="H51" s="174">
        <v>101</v>
      </c>
      <c r="I51" s="917"/>
      <c r="J51" s="148">
        <v>32</v>
      </c>
      <c r="K51" s="148">
        <v>120</v>
      </c>
      <c r="L51" s="917"/>
      <c r="M51" s="148">
        <v>17</v>
      </c>
      <c r="N51" s="148">
        <v>63</v>
      </c>
      <c r="O51" s="933"/>
      <c r="P51" s="799"/>
    </row>
    <row r="52" spans="2:16" ht="21.15" customHeight="1">
      <c r="B52" s="921"/>
      <c r="C52" s="154" t="s">
        <v>30</v>
      </c>
      <c r="D52" s="174">
        <v>4</v>
      </c>
      <c r="E52" s="174">
        <v>10</v>
      </c>
      <c r="F52" s="917"/>
      <c r="G52" s="174">
        <v>5</v>
      </c>
      <c r="H52" s="174">
        <v>14</v>
      </c>
      <c r="I52" s="917"/>
      <c r="J52" s="148">
        <v>5</v>
      </c>
      <c r="K52" s="148">
        <v>15</v>
      </c>
      <c r="L52" s="917"/>
      <c r="M52" s="148">
        <v>5</v>
      </c>
      <c r="N52" s="148">
        <v>14</v>
      </c>
      <c r="O52" s="933"/>
      <c r="P52" s="799"/>
    </row>
    <row r="53" spans="2:16" ht="21.15" customHeight="1">
      <c r="B53" s="912" t="s">
        <v>31</v>
      </c>
      <c r="C53" s="913"/>
      <c r="D53" s="353">
        <f>D52+D51+D50</f>
        <v>154</v>
      </c>
      <c r="E53" s="353">
        <f>E52+E51+E50</f>
        <v>232</v>
      </c>
      <c r="F53" s="917"/>
      <c r="G53" s="353">
        <f>G52+G51+G50</f>
        <v>176</v>
      </c>
      <c r="H53" s="353">
        <f>H52+H51+H50</f>
        <v>288</v>
      </c>
      <c r="I53" s="917"/>
      <c r="J53" s="158">
        <f>SUM(J50:J52)</f>
        <v>130</v>
      </c>
      <c r="K53" s="158">
        <f>SUM(K50:K52)</f>
        <v>264</v>
      </c>
      <c r="L53" s="917"/>
      <c r="M53" s="158">
        <v>51</v>
      </c>
      <c r="N53" s="158">
        <v>118</v>
      </c>
      <c r="O53" s="933"/>
      <c r="P53" s="799"/>
    </row>
    <row r="54" spans="2:16" ht="21.15" customHeight="1">
      <c r="B54" s="920" t="s">
        <v>6</v>
      </c>
      <c r="C54" s="156" t="s">
        <v>15</v>
      </c>
      <c r="D54" s="173">
        <v>145</v>
      </c>
      <c r="E54" s="173">
        <v>148</v>
      </c>
      <c r="F54" s="917"/>
      <c r="G54" s="173">
        <v>120</v>
      </c>
      <c r="H54" s="173">
        <v>171</v>
      </c>
      <c r="I54" s="917"/>
      <c r="J54" s="146">
        <v>66</v>
      </c>
      <c r="K54" s="146">
        <v>151</v>
      </c>
      <c r="L54" s="917"/>
      <c r="M54" s="146">
        <v>16</v>
      </c>
      <c r="N54" s="146">
        <v>28</v>
      </c>
      <c r="O54" s="933"/>
      <c r="P54" s="799"/>
    </row>
    <row r="55" spans="2:16" ht="21.15" customHeight="1">
      <c r="B55" s="921"/>
      <c r="C55" s="154" t="s">
        <v>16</v>
      </c>
      <c r="D55" s="174">
        <v>27</v>
      </c>
      <c r="E55" s="174">
        <v>44</v>
      </c>
      <c r="F55" s="917"/>
      <c r="G55" s="174">
        <v>35</v>
      </c>
      <c r="H55" s="174">
        <v>60</v>
      </c>
      <c r="I55" s="917"/>
      <c r="J55" s="148">
        <v>13</v>
      </c>
      <c r="K55" s="148">
        <v>73</v>
      </c>
      <c r="L55" s="917"/>
      <c r="M55" s="148">
        <v>13</v>
      </c>
      <c r="N55" s="148">
        <v>66</v>
      </c>
      <c r="O55" s="933"/>
      <c r="P55" s="799"/>
    </row>
    <row r="56" spans="2:16" ht="21.15" customHeight="1">
      <c r="B56" s="921"/>
      <c r="C56" s="154" t="s">
        <v>30</v>
      </c>
      <c r="D56" s="174">
        <v>0</v>
      </c>
      <c r="E56" s="174">
        <v>7</v>
      </c>
      <c r="F56" s="917"/>
      <c r="G56" s="174">
        <v>0</v>
      </c>
      <c r="H56" s="174">
        <v>3</v>
      </c>
      <c r="I56" s="917"/>
      <c r="J56" s="148">
        <v>0</v>
      </c>
      <c r="K56" s="148">
        <v>4</v>
      </c>
      <c r="L56" s="917"/>
      <c r="M56" s="148">
        <v>2</v>
      </c>
      <c r="N56" s="148">
        <v>8</v>
      </c>
      <c r="O56" s="933"/>
      <c r="P56" s="799"/>
    </row>
    <row r="57" spans="2:16" ht="21.15" customHeight="1">
      <c r="B57" s="912" t="s">
        <v>32</v>
      </c>
      <c r="C57" s="913"/>
      <c r="D57" s="353">
        <f>D56+D55+D54</f>
        <v>172</v>
      </c>
      <c r="E57" s="353">
        <f>E56+E55+E54</f>
        <v>199</v>
      </c>
      <c r="F57" s="917"/>
      <c r="G57" s="353">
        <f>G56+G55+G54</f>
        <v>155</v>
      </c>
      <c r="H57" s="353">
        <f>H56+H55+H54</f>
        <v>234</v>
      </c>
      <c r="I57" s="917"/>
      <c r="J57" s="158">
        <f>SUM(J54:J56)</f>
        <v>79</v>
      </c>
      <c r="K57" s="158">
        <f>SUM(K54:K56)</f>
        <v>228</v>
      </c>
      <c r="L57" s="917"/>
      <c r="M57" s="158">
        <v>31</v>
      </c>
      <c r="N57" s="158">
        <v>102</v>
      </c>
      <c r="O57" s="933"/>
      <c r="P57" s="799"/>
    </row>
    <row r="58" spans="2:16" ht="21.15" customHeight="1">
      <c r="B58" s="929" t="s">
        <v>33</v>
      </c>
      <c r="C58" s="930"/>
      <c r="D58" s="173">
        <f t="shared" si="2" ref="D58:E60">D54+D50</f>
        <v>261</v>
      </c>
      <c r="E58" s="173">
        <f t="shared" si="2"/>
        <v>299</v>
      </c>
      <c r="F58" s="917"/>
      <c r="G58" s="173">
        <f>G54+G50</f>
        <v>253</v>
      </c>
      <c r="H58" s="173">
        <f>H50+H54</f>
        <v>344</v>
      </c>
      <c r="I58" s="917"/>
      <c r="J58" s="159">
        <f t="shared" si="3" ref="J58:K60">SUM(J50,J54)</f>
        <v>159</v>
      </c>
      <c r="K58" s="159">
        <f t="shared" si="3"/>
        <v>280</v>
      </c>
      <c r="L58" s="917"/>
      <c r="M58" s="159">
        <v>45</v>
      </c>
      <c r="N58" s="159">
        <v>69</v>
      </c>
      <c r="O58" s="933"/>
      <c r="P58" s="799"/>
    </row>
    <row r="59" spans="2:16" ht="21.15" customHeight="1">
      <c r="B59" s="931" t="s">
        <v>35</v>
      </c>
      <c r="C59" s="932"/>
      <c r="D59" s="174">
        <f t="shared" si="2"/>
        <v>61</v>
      </c>
      <c r="E59" s="174">
        <f t="shared" si="2"/>
        <v>115</v>
      </c>
      <c r="F59" s="917"/>
      <c r="G59" s="174">
        <f>G55+G51</f>
        <v>73</v>
      </c>
      <c r="H59" s="174">
        <f>H55+H51</f>
        <v>161</v>
      </c>
      <c r="I59" s="917"/>
      <c r="J59" s="150">
        <f>SUM(J51,J55)</f>
        <v>45</v>
      </c>
      <c r="K59" s="150">
        <f t="shared" si="3"/>
        <v>193</v>
      </c>
      <c r="L59" s="917"/>
      <c r="M59" s="150">
        <v>30</v>
      </c>
      <c r="N59" s="150">
        <v>129</v>
      </c>
      <c r="O59" s="933"/>
      <c r="P59" s="799"/>
    </row>
    <row r="60" spans="2:16" ht="21.15" customHeight="1">
      <c r="B60" s="931" t="s">
        <v>36</v>
      </c>
      <c r="C60" s="932"/>
      <c r="D60" s="174">
        <f t="shared" si="2"/>
        <v>4</v>
      </c>
      <c r="E60" s="174">
        <f t="shared" si="2"/>
        <v>17</v>
      </c>
      <c r="F60" s="917"/>
      <c r="G60" s="174">
        <f>G56+G52</f>
        <v>5</v>
      </c>
      <c r="H60" s="174">
        <f>H56+H52</f>
        <v>17</v>
      </c>
      <c r="I60" s="917"/>
      <c r="J60" s="150">
        <f t="shared" si="3"/>
        <v>5</v>
      </c>
      <c r="K60" s="150">
        <f t="shared" si="3"/>
        <v>19</v>
      </c>
      <c r="L60" s="917"/>
      <c r="M60" s="150">
        <v>7</v>
      </c>
      <c r="N60" s="150">
        <v>22</v>
      </c>
      <c r="O60" s="933"/>
      <c r="P60" s="799"/>
    </row>
    <row r="61" spans="2:16" ht="21.15" customHeight="1">
      <c r="B61" s="927" t="s">
        <v>8</v>
      </c>
      <c r="C61" s="928"/>
      <c r="D61" s="175">
        <v>326</v>
      </c>
      <c r="E61" s="175">
        <v>431</v>
      </c>
      <c r="F61" s="917"/>
      <c r="G61" s="175">
        <v>331</v>
      </c>
      <c r="H61" s="175">
        <v>522</v>
      </c>
      <c r="I61" s="917"/>
      <c r="J61" s="151">
        <v>209</v>
      </c>
      <c r="K61" s="151">
        <v>492</v>
      </c>
      <c r="L61" s="917"/>
      <c r="M61" s="151">
        <v>82</v>
      </c>
      <c r="N61" s="151">
        <v>220</v>
      </c>
      <c r="O61" s="933"/>
      <c r="P61" s="923"/>
    </row>
    <row r="62" ht="21.15" customHeight="1"/>
    <row r="64" ht="14.4" customHeight="1"/>
    <row r="65" spans="3:4" ht="14.4">
      <c r="C65" s="497"/>
      <c r="D65" s="497"/>
    </row>
  </sheetData>
  <mergeCells count="66">
    <mergeCell ref="P10:P13"/>
    <mergeCell ref="F8:F9"/>
    <mergeCell ref="P8:P9"/>
    <mergeCell ref="N8:N9"/>
    <mergeCell ref="K8:M8"/>
    <mergeCell ref="O50:O61"/>
    <mergeCell ref="I50:I61"/>
    <mergeCell ref="L50:L61"/>
    <mergeCell ref="O8:O9"/>
    <mergeCell ref="O10:O11"/>
    <mergeCell ref="O12:O13"/>
    <mergeCell ref="B61:C61"/>
    <mergeCell ref="B58:C58"/>
    <mergeCell ref="B59:C59"/>
    <mergeCell ref="B60:C60"/>
    <mergeCell ref="F50:F61"/>
    <mergeCell ref="B54:B56"/>
    <mergeCell ref="B57:C57"/>
    <mergeCell ref="P33:P45"/>
    <mergeCell ref="P17:P29"/>
    <mergeCell ref="B50:B52"/>
    <mergeCell ref="B53:C53"/>
    <mergeCell ref="D32:F32"/>
    <mergeCell ref="B34:B36"/>
    <mergeCell ref="D48:F48"/>
    <mergeCell ref="G48:I48"/>
    <mergeCell ref="B22:B24"/>
    <mergeCell ref="B25:C25"/>
    <mergeCell ref="B26:C26"/>
    <mergeCell ref="F18:F29"/>
    <mergeCell ref="I18:I29"/>
    <mergeCell ref="G32:I32"/>
    <mergeCell ref="B42:C42"/>
    <mergeCell ref="P49:P61"/>
    <mergeCell ref="B43:C43"/>
    <mergeCell ref="B44:C44"/>
    <mergeCell ref="B38:B40"/>
    <mergeCell ref="B41:C41"/>
    <mergeCell ref="J8:J9"/>
    <mergeCell ref="D16:F16"/>
    <mergeCell ref="G16:I16"/>
    <mergeCell ref="J16:L16"/>
    <mergeCell ref="B37:C37"/>
    <mergeCell ref="M32:O32"/>
    <mergeCell ref="M48:O48"/>
    <mergeCell ref="J32:L32"/>
    <mergeCell ref="B27:C27"/>
    <mergeCell ref="B18:B20"/>
    <mergeCell ref="B21:C21"/>
    <mergeCell ref="B28:C28"/>
    <mergeCell ref="B29:C29"/>
    <mergeCell ref="B45:C45"/>
    <mergeCell ref="J48:L48"/>
    <mergeCell ref="O18:O29"/>
    <mergeCell ref="F34:F45"/>
    <mergeCell ref="I34:I45"/>
    <mergeCell ref="L34:L45"/>
    <mergeCell ref="O34:O45"/>
    <mergeCell ref="L18:L29"/>
    <mergeCell ref="M16:O16"/>
    <mergeCell ref="N10:N11"/>
    <mergeCell ref="N12:N13"/>
    <mergeCell ref="J12:J13"/>
    <mergeCell ref="F12:F13"/>
    <mergeCell ref="J10:J11"/>
    <mergeCell ref="F10:F11"/>
  </mergeCells>
  <pageMargins left="0.7" right="0.7" top="0.75" bottom="0.75" header="0.3" footer="0.3"/>
  <pageSetup orientation="portrait" paperSize="9" r:id="rId4"/>
  <headerFooter scaleWithDoc="0" alignWithMargins="0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D7A2F37-4D48-4AB0-9C23-C465B660E8F9}">
  <dimension ref="B1:AA18"/>
  <sheetViews>
    <sheetView showGridLines="0" rightToLeft="1" zoomScale="69" zoomScaleNormal="69" workbookViewId="0" topLeftCell="A2">
      <selection pane="topLeft" activeCell="U22" sqref="U22"/>
    </sheetView>
  </sheetViews>
  <sheetFormatPr defaultColWidth="9.114285714285714" defaultRowHeight="14.4"/>
  <cols>
    <col min="1" max="1" width="3.7142857142857144" customWidth="1"/>
    <col min="2" max="2" width="15.285714285714286" customWidth="1"/>
    <col min="3" max="24" width="10.714285714285714" customWidth="1"/>
  </cols>
  <sheetData>
    <row r="1" spans="2:15" ht="15" customHeight="1"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2:15" ht="15" customHeight="1"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2:15" ht="15" customHeight="1"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2:21" ht="15" customHeight="1"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R4" s="43"/>
      <c r="S4" s="43"/>
      <c r="T4" s="43"/>
      <c r="U4" s="43"/>
    </row>
    <row r="5" spans="2:27" ht="24.9" customHeight="1" thickBot="1">
      <c r="B5" s="65" t="s">
        <v>272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</row>
    <row r="6" spans="2:21" ht="15" customHeight="1" thickTop="1">
      <c r="B6" s="67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</row>
    <row r="7" spans="2:24" s="162" customFormat="1" ht="21.15" customHeight="1">
      <c r="B7" s="92" t="s">
        <v>120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</row>
    <row r="8" spans="2:27" s="162" customFormat="1" ht="30.15" customHeight="1">
      <c r="B8" s="33"/>
      <c r="C8" s="13" t="s">
        <v>121</v>
      </c>
      <c r="D8" s="13"/>
      <c r="E8" s="13"/>
      <c r="F8" s="13"/>
      <c r="G8" s="13"/>
      <c r="H8" s="13"/>
      <c r="I8" s="942" t="s">
        <v>122</v>
      </c>
      <c r="J8" s="13"/>
      <c r="K8" s="13"/>
      <c r="L8" s="13"/>
      <c r="M8" s="13"/>
      <c r="N8" s="940"/>
      <c r="O8" s="13" t="s">
        <v>123</v>
      </c>
      <c r="P8" s="13"/>
      <c r="Q8" s="13"/>
      <c r="R8" s="13"/>
      <c r="S8" s="13"/>
      <c r="T8" s="940"/>
      <c r="U8" s="13" t="s">
        <v>124</v>
      </c>
      <c r="V8" s="13"/>
      <c r="W8" s="13"/>
      <c r="X8" s="13"/>
      <c r="Y8" s="13"/>
      <c r="Z8" s="937"/>
      <c r="AA8" s="13" t="s">
        <v>5</v>
      </c>
    </row>
    <row r="9" spans="2:27" s="162" customFormat="1" ht="21.15" customHeight="1">
      <c r="B9" s="266"/>
      <c r="C9" s="935">
        <v>2021</v>
      </c>
      <c r="D9" s="935"/>
      <c r="E9" s="938">
        <v>2022</v>
      </c>
      <c r="F9" s="941"/>
      <c r="G9" s="938">
        <v>2023</v>
      </c>
      <c r="H9" s="935"/>
      <c r="I9" s="943">
        <v>2021</v>
      </c>
      <c r="J9" s="941"/>
      <c r="K9" s="938">
        <v>2022</v>
      </c>
      <c r="L9" s="941"/>
      <c r="M9" s="935">
        <v>2023</v>
      </c>
      <c r="N9" s="939"/>
      <c r="O9" s="935">
        <v>2021</v>
      </c>
      <c r="P9" s="941"/>
      <c r="Q9" s="935">
        <v>2022</v>
      </c>
      <c r="R9" s="935"/>
      <c r="S9" s="938">
        <v>2023</v>
      </c>
      <c r="T9" s="939"/>
      <c r="U9" s="702">
        <v>2021</v>
      </c>
      <c r="V9" s="703"/>
      <c r="W9" s="935">
        <v>2022</v>
      </c>
      <c r="X9" s="941"/>
      <c r="Y9" s="935">
        <v>2023</v>
      </c>
      <c r="Z9" s="936"/>
      <c r="AA9" s="13"/>
    </row>
    <row r="10" spans="2:27" s="162" customFormat="1" ht="38.25" customHeight="1">
      <c r="B10" s="366"/>
      <c r="C10" s="366" t="s">
        <v>103</v>
      </c>
      <c r="D10" s="704" t="s">
        <v>104</v>
      </c>
      <c r="E10" s="366" t="s">
        <v>103</v>
      </c>
      <c r="F10" s="704" t="s">
        <v>104</v>
      </c>
      <c r="G10" s="366" t="s">
        <v>103</v>
      </c>
      <c r="H10" s="711" t="s">
        <v>104</v>
      </c>
      <c r="I10" s="366" t="s">
        <v>103</v>
      </c>
      <c r="J10" s="704" t="s">
        <v>104</v>
      </c>
      <c r="K10" s="366" t="s">
        <v>103</v>
      </c>
      <c r="L10" s="704" t="s">
        <v>104</v>
      </c>
      <c r="M10" s="366" t="s">
        <v>103</v>
      </c>
      <c r="N10" s="711" t="s">
        <v>104</v>
      </c>
      <c r="O10" s="366" t="s">
        <v>103</v>
      </c>
      <c r="P10" s="704" t="s">
        <v>104</v>
      </c>
      <c r="Q10" s="366" t="s">
        <v>103</v>
      </c>
      <c r="R10" s="704" t="s">
        <v>104</v>
      </c>
      <c r="S10" s="366" t="s">
        <v>103</v>
      </c>
      <c r="T10" s="711" t="s">
        <v>104</v>
      </c>
      <c r="U10" s="366" t="s">
        <v>103</v>
      </c>
      <c r="V10" s="704" t="s">
        <v>104</v>
      </c>
      <c r="W10" s="366" t="s">
        <v>103</v>
      </c>
      <c r="X10" s="704" t="s">
        <v>104</v>
      </c>
      <c r="Y10" s="366" t="s">
        <v>103</v>
      </c>
      <c r="Z10" s="699" t="s">
        <v>104</v>
      </c>
      <c r="AA10" s="934" t="s">
        <v>14</v>
      </c>
    </row>
    <row r="11" spans="2:27" s="162" customFormat="1" ht="21.15" customHeight="1">
      <c r="B11" s="239" t="s">
        <v>0</v>
      </c>
      <c r="C11" s="565">
        <v>278</v>
      </c>
      <c r="D11" s="705">
        <f>278/5556</f>
        <v>0.05003599712023038</v>
      </c>
      <c r="E11" s="565">
        <v>282</v>
      </c>
      <c r="F11" s="705">
        <f>282/5610</f>
        <v>0.05026737967914439</v>
      </c>
      <c r="G11" s="595">
        <f>5432*H11</f>
        <v>255.304</v>
      </c>
      <c r="H11" s="710">
        <v>0.047</v>
      </c>
      <c r="I11" s="565">
        <v>61</v>
      </c>
      <c r="J11" s="705">
        <f>61/5556</f>
        <v>0.010979121670266379</v>
      </c>
      <c r="K11" s="565">
        <v>62</v>
      </c>
      <c r="L11" s="705">
        <f>62/5610</f>
        <v>0.01105169340463458</v>
      </c>
      <c r="M11" s="595">
        <f>N11*5432</f>
        <v>54.32</v>
      </c>
      <c r="N11" s="710">
        <v>0.01</v>
      </c>
      <c r="O11" s="565" t="s">
        <v>125</v>
      </c>
      <c r="P11" s="709" t="s">
        <v>125</v>
      </c>
      <c r="Q11" s="565" t="s">
        <v>125</v>
      </c>
      <c r="R11" s="709" t="s">
        <v>125</v>
      </c>
      <c r="S11" s="595">
        <f>5432*T11</f>
        <v>81.48</v>
      </c>
      <c r="T11" s="713">
        <v>0.015</v>
      </c>
      <c r="U11" s="565">
        <v>241</v>
      </c>
      <c r="V11" s="705">
        <f>241/5556</f>
        <v>0.043376529877609794</v>
      </c>
      <c r="W11" s="565">
        <v>282</v>
      </c>
      <c r="X11" s="705">
        <v>0.052</v>
      </c>
      <c r="Y11" s="595">
        <f>5432*Z11</f>
        <v>450.85600000000005</v>
      </c>
      <c r="Z11" s="700">
        <v>0.083</v>
      </c>
      <c r="AA11" s="934"/>
    </row>
    <row r="12" spans="2:27" s="162" customFormat="1" ht="21.15" customHeight="1">
      <c r="B12" s="245" t="s">
        <v>37</v>
      </c>
      <c r="C12" s="163" t="s">
        <v>125</v>
      </c>
      <c r="D12" s="706" t="s">
        <v>125</v>
      </c>
      <c r="E12" s="163">
        <v>28</v>
      </c>
      <c r="F12" s="706">
        <v>0.025</v>
      </c>
      <c r="G12" s="163">
        <v>20</v>
      </c>
      <c r="H12" s="710">
        <f>G12/5432</f>
        <v>0.003681885125184094</v>
      </c>
      <c r="I12" s="163" t="s">
        <v>125</v>
      </c>
      <c r="J12" s="707" t="s">
        <v>125</v>
      </c>
      <c r="K12" s="163" t="s">
        <v>125</v>
      </c>
      <c r="L12" s="707" t="s">
        <v>125</v>
      </c>
      <c r="M12" s="163">
        <v>19</v>
      </c>
      <c r="N12" s="710">
        <f>M12/'כוח אדם'!F11</f>
        <v>0.01645021645021645</v>
      </c>
      <c r="O12" s="163" t="s">
        <v>125</v>
      </c>
      <c r="P12" s="707" t="s">
        <v>125</v>
      </c>
      <c r="Q12" s="163" t="s">
        <v>125</v>
      </c>
      <c r="R12" s="707" t="s">
        <v>125</v>
      </c>
      <c r="S12" s="163">
        <v>8</v>
      </c>
      <c r="T12" s="713">
        <f>S12/'כוח אדם'!F11</f>
        <v>0.006926406926406926</v>
      </c>
      <c r="U12" s="163">
        <v>85</v>
      </c>
      <c r="V12" s="706">
        <v>0.075</v>
      </c>
      <c r="W12" s="163">
        <v>97</v>
      </c>
      <c r="X12" s="708">
        <f>97/1115</f>
        <v>0.08699551569506726</v>
      </c>
      <c r="Y12" s="163">
        <v>158</v>
      </c>
      <c r="Z12" s="701">
        <v>0.15</v>
      </c>
      <c r="AA12" s="934"/>
    </row>
    <row r="13" spans="2:27" s="162" customFormat="1" ht="21.15" customHeight="1">
      <c r="B13" s="245" t="s">
        <v>2</v>
      </c>
      <c r="C13" s="163" t="s">
        <v>125</v>
      </c>
      <c r="D13" s="707" t="s">
        <v>125</v>
      </c>
      <c r="E13" s="163" t="s">
        <v>125</v>
      </c>
      <c r="F13" s="707" t="s">
        <v>125</v>
      </c>
      <c r="G13" s="163">
        <v>68</v>
      </c>
      <c r="H13" s="710">
        <v>0.04033214709371293</v>
      </c>
      <c r="I13" s="163" t="s">
        <v>125</v>
      </c>
      <c r="J13" s="707" t="s">
        <v>125</v>
      </c>
      <c r="K13" s="163" t="s">
        <v>125</v>
      </c>
      <c r="L13" s="707" t="s">
        <v>125</v>
      </c>
      <c r="M13" s="163">
        <v>21</v>
      </c>
      <c r="N13" s="712">
        <v>0.01</v>
      </c>
      <c r="O13" s="163" t="s">
        <v>125</v>
      </c>
      <c r="P13" s="707" t="s">
        <v>125</v>
      </c>
      <c r="Q13" s="163" t="s">
        <v>125</v>
      </c>
      <c r="R13" s="707" t="s">
        <v>125</v>
      </c>
      <c r="S13" s="163">
        <v>107</v>
      </c>
      <c r="T13" s="712">
        <v>0.06</v>
      </c>
      <c r="U13" s="163" t="s">
        <v>125</v>
      </c>
      <c r="V13" s="707" t="s">
        <v>125</v>
      </c>
      <c r="W13" s="163" t="s">
        <v>125</v>
      </c>
      <c r="X13" s="707" t="s">
        <v>125</v>
      </c>
      <c r="Y13" s="163">
        <v>41</v>
      </c>
      <c r="Z13" s="701">
        <v>0.02</v>
      </c>
      <c r="AA13" s="934"/>
    </row>
    <row r="14" spans="2:27" s="162" customFormat="1" ht="21.15" customHeight="1">
      <c r="B14" s="188" t="s">
        <v>177</v>
      </c>
      <c r="C14" s="163" t="s">
        <v>125</v>
      </c>
      <c r="D14" s="707" t="s">
        <v>125</v>
      </c>
      <c r="E14" s="163">
        <v>30</v>
      </c>
      <c r="F14" s="706">
        <v>0.032</v>
      </c>
      <c r="G14" s="163">
        <v>18</v>
      </c>
      <c r="H14" s="710">
        <v>0.0256</v>
      </c>
      <c r="I14" s="367" t="s">
        <v>125</v>
      </c>
      <c r="J14" s="707" t="s">
        <v>125</v>
      </c>
      <c r="K14" s="163" t="s">
        <v>125</v>
      </c>
      <c r="L14" s="707" t="s">
        <v>125</v>
      </c>
      <c r="M14" s="163">
        <v>10</v>
      </c>
      <c r="N14" s="713">
        <v>0.0142</v>
      </c>
      <c r="O14" s="163" t="s">
        <v>125</v>
      </c>
      <c r="P14" s="707" t="s">
        <v>125</v>
      </c>
      <c r="Q14" s="163" t="s">
        <v>125</v>
      </c>
      <c r="R14" s="707" t="s">
        <v>125</v>
      </c>
      <c r="S14" s="163">
        <v>10</v>
      </c>
      <c r="T14" s="713">
        <v>0.0142</v>
      </c>
      <c r="U14" s="163" t="s">
        <v>125</v>
      </c>
      <c r="V14" s="707" t="s">
        <v>125</v>
      </c>
      <c r="W14" s="163" t="s">
        <v>125</v>
      </c>
      <c r="X14" s="707" t="s">
        <v>125</v>
      </c>
      <c r="Y14" s="163">
        <v>21</v>
      </c>
      <c r="Z14" s="701">
        <v>0.02999</v>
      </c>
      <c r="AA14" s="934"/>
    </row>
    <row r="15" spans="18:20" ht="14.4">
      <c r="R15" s="190"/>
      <c r="T15" s="714"/>
    </row>
    <row r="17" spans="4:5" ht="14.4">
      <c r="D17" s="500"/>
      <c r="E17" s="500"/>
    </row>
    <row r="18" spans="4:5" ht="14.4">
      <c r="D18" s="50"/>
      <c r="E18" s="50"/>
    </row>
  </sheetData>
  <mergeCells count="17">
    <mergeCell ref="G9:H9"/>
    <mergeCell ref="C8:H8"/>
    <mergeCell ref="M9:N9"/>
    <mergeCell ref="I8:N8"/>
    <mergeCell ref="Q9:R9"/>
    <mergeCell ref="C9:D9"/>
    <mergeCell ref="E9:F9"/>
    <mergeCell ref="I9:J9"/>
    <mergeCell ref="K9:L9"/>
    <mergeCell ref="O9:P9"/>
    <mergeCell ref="AA8:AA9"/>
    <mergeCell ref="AA10:AA14"/>
    <mergeCell ref="Y9:Z9"/>
    <mergeCell ref="U8:Z8"/>
    <mergeCell ref="S9:T9"/>
    <mergeCell ref="O8:T8"/>
    <mergeCell ref="W9:X9"/>
  </mergeCells>
  <pageMargins left="0.7" right="0.7" top="0.75" bottom="0.75" header="0.3" footer="0.3"/>
  <pageSetup orientation="portrait" paperSize="9" r:id="rId2"/>
  <headerFooter scaleWithDoc="0"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1ED221A-876E-410E-A952-BDA102413FCB}">
  <dimension ref="B1:S50"/>
  <sheetViews>
    <sheetView showGridLines="0" rightToLeft="1" workbookViewId="0" topLeftCell="A8">
      <selection pane="topLeft" activeCell="O5" sqref="O5:S5"/>
    </sheetView>
  </sheetViews>
  <sheetFormatPr defaultColWidth="9.114285714285714" defaultRowHeight="14.4"/>
  <cols>
    <col min="1" max="1" width="3.7142857142857144" customWidth="1"/>
    <col min="2" max="2" width="24.571428571428573" style="162" customWidth="1"/>
    <col min="3" max="15" width="10.714285714285714" style="162" customWidth="1"/>
  </cols>
  <sheetData>
    <row r="1" spans="2:15" ht="15" customHeight="1">
      <c r="B1" s="64"/>
      <c r="C1" s="64"/>
      <c r="D1" s="64"/>
      <c r="E1" s="64"/>
      <c r="F1" s="64"/>
      <c r="G1" s="64"/>
      <c r="H1" s="64"/>
      <c r="I1" s="64"/>
      <c r="J1" s="64"/>
      <c r="K1" s="64"/>
      <c r="L1"/>
      <c r="M1"/>
      <c r="N1"/>
      <c r="O1"/>
    </row>
    <row r="2" spans="2:15" ht="15" customHeight="1">
      <c r="B2" s="64"/>
      <c r="C2" s="64"/>
      <c r="D2" s="64"/>
      <c r="E2" s="64"/>
      <c r="F2" s="64"/>
      <c r="G2" s="64"/>
      <c r="H2" s="64"/>
      <c r="I2" s="64"/>
      <c r="J2" s="64"/>
      <c r="K2" s="64"/>
      <c r="L2"/>
      <c r="M2"/>
      <c r="N2"/>
      <c r="O2"/>
    </row>
    <row r="3" spans="2:15" ht="15" customHeight="1">
      <c r="B3" s="64"/>
      <c r="C3" s="64"/>
      <c r="D3" s="64"/>
      <c r="E3" s="64"/>
      <c r="F3" s="64"/>
      <c r="G3" s="64"/>
      <c r="H3" s="64"/>
      <c r="I3" s="64"/>
      <c r="J3" s="64"/>
      <c r="K3" s="64"/>
      <c r="L3"/>
      <c r="M3"/>
      <c r="N3"/>
      <c r="O3"/>
    </row>
    <row r="4" spans="2:15" ht="15" customHeight="1">
      <c r="B4" s="64"/>
      <c r="C4" s="64"/>
      <c r="D4" s="64"/>
      <c r="E4" s="64"/>
      <c r="F4" s="64"/>
      <c r="G4" s="64"/>
      <c r="H4" s="64"/>
      <c r="I4" s="64"/>
      <c r="J4" s="64"/>
      <c r="K4" s="64"/>
      <c r="L4"/>
      <c r="M4"/>
      <c r="N4" s="43"/>
      <c r="O4" s="43"/>
    </row>
    <row r="5" spans="2:19" ht="24.9" customHeight="1" thickBot="1">
      <c r="B5" s="65" t="s">
        <v>227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</row>
    <row r="6" spans="2:15" ht="15" customHeight="1" thickTop="1">
      <c r="B6" s="67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</row>
    <row r="7" spans="2:15" ht="24.9" customHeight="1">
      <c r="B7" s="92" t="s">
        <v>234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</row>
    <row r="8" spans="2:19" ht="21.15" customHeight="1">
      <c r="B8" s="201"/>
      <c r="C8" s="21">
        <v>2020</v>
      </c>
      <c r="D8" s="21"/>
      <c r="E8" s="21"/>
      <c r="F8" s="14"/>
      <c r="G8" s="20">
        <v>2021</v>
      </c>
      <c r="H8" s="21"/>
      <c r="I8" s="21"/>
      <c r="J8" s="14"/>
      <c r="K8" s="20">
        <v>2022</v>
      </c>
      <c r="L8" s="21"/>
      <c r="M8" s="21"/>
      <c r="N8" s="21"/>
      <c r="O8" s="887">
        <v>2023</v>
      </c>
      <c r="P8" s="21"/>
      <c r="Q8" s="21"/>
      <c r="R8" s="874"/>
      <c r="S8" s="69" t="s">
        <v>5</v>
      </c>
    </row>
    <row r="9" spans="2:19" ht="30.15" customHeight="1">
      <c r="B9" s="294"/>
      <c r="C9" s="144" t="s">
        <v>0</v>
      </c>
      <c r="D9" s="144" t="s">
        <v>37</v>
      </c>
      <c r="E9" s="144" t="s">
        <v>2</v>
      </c>
      <c r="F9" s="391" t="s">
        <v>177</v>
      </c>
      <c r="G9" s="144" t="s">
        <v>0</v>
      </c>
      <c r="H9" s="144" t="s">
        <v>37</v>
      </c>
      <c r="I9" s="144" t="s">
        <v>2</v>
      </c>
      <c r="J9" s="391" t="s">
        <v>177</v>
      </c>
      <c r="K9" s="144" t="s">
        <v>0</v>
      </c>
      <c r="L9" s="144" t="s">
        <v>37</v>
      </c>
      <c r="M9" s="144" t="s">
        <v>2</v>
      </c>
      <c r="N9" s="715" t="s">
        <v>177</v>
      </c>
      <c r="O9" s="144" t="s">
        <v>0</v>
      </c>
      <c r="P9" s="144" t="s">
        <v>37</v>
      </c>
      <c r="Q9" s="144" t="s">
        <v>2</v>
      </c>
      <c r="R9" s="386" t="s">
        <v>177</v>
      </c>
      <c r="S9" s="69"/>
    </row>
    <row r="10" spans="2:19" ht="39.9" customHeight="1">
      <c r="B10" s="388" t="s">
        <v>178</v>
      </c>
      <c r="C10" s="173" t="s">
        <v>125</v>
      </c>
      <c r="D10" s="351">
        <v>548</v>
      </c>
      <c r="E10" s="351">
        <v>27</v>
      </c>
      <c r="F10" s="392">
        <v>1074</v>
      </c>
      <c r="G10" s="357">
        <v>5556</v>
      </c>
      <c r="H10" s="357">
        <v>1123</v>
      </c>
      <c r="I10" s="351">
        <v>102</v>
      </c>
      <c r="J10" s="392">
        <v>693</v>
      </c>
      <c r="K10" s="351">
        <f>3641+1969</f>
        <v>5610</v>
      </c>
      <c r="L10" s="282">
        <v>1115</v>
      </c>
      <c r="M10" s="351">
        <v>127</v>
      </c>
      <c r="N10" s="716">
        <v>950</v>
      </c>
      <c r="O10" s="181">
        <v>5454</v>
      </c>
      <c r="P10" s="282">
        <v>870</v>
      </c>
      <c r="Q10" s="351">
        <v>323</v>
      </c>
      <c r="R10" s="392">
        <v>885</v>
      </c>
      <c r="S10" s="944" t="s">
        <v>39</v>
      </c>
    </row>
    <row r="11" spans="2:19" ht="39.75" customHeight="1">
      <c r="B11" s="389" t="s">
        <v>40</v>
      </c>
      <c r="C11" s="175" t="s">
        <v>125</v>
      </c>
      <c r="D11" s="480">
        <v>4.05</v>
      </c>
      <c r="E11" s="352">
        <v>5.50</v>
      </c>
      <c r="F11" s="393">
        <v>13</v>
      </c>
      <c r="G11" s="390" t="s">
        <v>115</v>
      </c>
      <c r="H11" s="480">
        <v>6.927943760984183</v>
      </c>
      <c r="I11" s="352">
        <v>7</v>
      </c>
      <c r="J11" s="393">
        <v>15</v>
      </c>
      <c r="K11" s="390" t="s">
        <v>148</v>
      </c>
      <c r="L11" s="480">
        <v>5.50134529147982</v>
      </c>
      <c r="M11" s="352">
        <v>7</v>
      </c>
      <c r="N11" s="717">
        <v>20.10</v>
      </c>
      <c r="O11" s="59" t="s">
        <v>385</v>
      </c>
      <c r="P11" s="480">
        <v>10.40</v>
      </c>
      <c r="Q11" s="352">
        <v>8.90</v>
      </c>
      <c r="R11" s="393">
        <v>8</v>
      </c>
      <c r="S11" s="944"/>
    </row>
    <row r="12" ht="21.15" customHeight="1"/>
    <row r="13" spans="2:6" ht="24.9" customHeight="1">
      <c r="B13" s="92" t="s">
        <v>228</v>
      </c>
      <c r="C13" s="92"/>
      <c r="D13" s="92"/>
      <c r="E13" s="92"/>
      <c r="F13" s="92"/>
    </row>
    <row r="14" spans="2:19" ht="30.15" customHeight="1">
      <c r="B14" s="36" t="s">
        <v>117</v>
      </c>
      <c r="C14" s="394">
        <v>2021</v>
      </c>
      <c r="D14" s="394">
        <v>2022</v>
      </c>
      <c r="E14" s="394">
        <v>2023</v>
      </c>
      <c r="F14" s="394"/>
      <c r="G14" s="394"/>
      <c r="H14" s="394"/>
      <c r="I14" s="394"/>
      <c r="J14" s="394"/>
      <c r="K14" s="394"/>
      <c r="L14" s="394"/>
      <c r="M14" s="394"/>
      <c r="N14" s="394"/>
      <c r="O14" s="394"/>
      <c r="P14" s="394"/>
      <c r="Q14" s="394"/>
      <c r="R14" s="394"/>
      <c r="S14" s="397" t="s">
        <v>5</v>
      </c>
    </row>
    <row r="15" spans="2:19" ht="124.2">
      <c r="B15" s="398" t="s">
        <v>179</v>
      </c>
      <c r="C15" s="396" t="s">
        <v>116</v>
      </c>
      <c r="D15" s="396" t="s">
        <v>141</v>
      </c>
      <c r="E15" s="725">
        <v>0.94</v>
      </c>
      <c r="S15" s="724" t="s">
        <v>41</v>
      </c>
    </row>
    <row r="16" spans="19:19" ht="21.15" customHeight="1">
      <c r="S16" s="724"/>
    </row>
    <row r="17" spans="2:5" ht="24.9" customHeight="1">
      <c r="B17" s="92" t="s">
        <v>358</v>
      </c>
      <c r="C17" s="92"/>
      <c r="D17" s="92"/>
      <c r="E17" s="92"/>
    </row>
    <row r="18" spans="2:19" ht="21.15" customHeight="1">
      <c r="B18" s="36" t="s">
        <v>137</v>
      </c>
      <c r="C18" s="32" t="s">
        <v>138</v>
      </c>
      <c r="D18" s="32" t="s">
        <v>139</v>
      </c>
      <c r="E18" s="32" t="s">
        <v>140</v>
      </c>
      <c r="F18" s="394"/>
      <c r="G18" s="394"/>
      <c r="H18" s="394"/>
      <c r="I18" s="394"/>
      <c r="J18" s="394"/>
      <c r="K18" s="394"/>
      <c r="L18" s="394"/>
      <c r="M18" s="394"/>
      <c r="N18" s="394"/>
      <c r="O18" s="394"/>
      <c r="P18" s="394"/>
      <c r="Q18" s="394"/>
      <c r="R18" s="394"/>
      <c r="S18" s="394"/>
    </row>
    <row r="19" spans="2:19" ht="21.15" customHeight="1">
      <c r="B19" s="516" t="s">
        <v>130</v>
      </c>
      <c r="C19" s="511" t="s">
        <v>131</v>
      </c>
      <c r="D19" s="566">
        <v>91</v>
      </c>
      <c r="E19" s="566">
        <v>91</v>
      </c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</row>
    <row r="20" spans="2:19" ht="21.15" customHeight="1">
      <c r="B20" s="517" t="s">
        <v>132</v>
      </c>
      <c r="C20" s="513" t="s">
        <v>133</v>
      </c>
      <c r="D20" s="567">
        <v>773</v>
      </c>
      <c r="E20" s="567">
        <v>386</v>
      </c>
      <c r="F20" s="567"/>
      <c r="G20" s="567"/>
      <c r="H20" s="567"/>
      <c r="I20" s="567"/>
      <c r="J20" s="567"/>
      <c r="K20" s="567"/>
      <c r="L20" s="567"/>
      <c r="M20" s="567"/>
      <c r="N20" s="567"/>
      <c r="O20" s="567"/>
      <c r="P20" s="567"/>
      <c r="Q20" s="567"/>
      <c r="R20" s="567"/>
      <c r="S20" s="567"/>
    </row>
    <row r="21" spans="2:19" ht="21.15" customHeight="1">
      <c r="B21" s="517" t="s">
        <v>134</v>
      </c>
      <c r="C21" s="513" t="s">
        <v>131</v>
      </c>
      <c r="D21" s="567">
        <v>43</v>
      </c>
      <c r="E21" s="567">
        <v>86</v>
      </c>
      <c r="F21" s="567"/>
      <c r="G21" s="567"/>
      <c r="H21" s="567"/>
      <c r="I21" s="567"/>
      <c r="J21" s="567"/>
      <c r="K21" s="567"/>
      <c r="L21" s="567"/>
      <c r="M21" s="567"/>
      <c r="N21" s="567"/>
      <c r="O21" s="567"/>
      <c r="P21" s="567"/>
      <c r="Q21" s="567"/>
      <c r="R21" s="567"/>
      <c r="S21" s="567"/>
    </row>
    <row r="22" spans="2:19" ht="21.15" customHeight="1">
      <c r="B22" s="517" t="s">
        <v>135</v>
      </c>
      <c r="C22" s="513" t="s">
        <v>133</v>
      </c>
      <c r="D22" s="568">
        <v>4745</v>
      </c>
      <c r="E22" s="568">
        <v>237</v>
      </c>
      <c r="F22" s="568"/>
      <c r="G22" s="568"/>
      <c r="H22" s="568"/>
      <c r="I22" s="568"/>
      <c r="J22" s="568"/>
      <c r="K22" s="568"/>
      <c r="L22" s="568"/>
      <c r="M22" s="568"/>
      <c r="N22" s="568"/>
      <c r="O22" s="568"/>
      <c r="P22" s="568"/>
      <c r="Q22" s="568"/>
      <c r="R22" s="568"/>
      <c r="S22" s="568"/>
    </row>
    <row r="23" spans="2:19" ht="21.15" customHeight="1">
      <c r="B23" s="947" t="s">
        <v>136</v>
      </c>
      <c r="C23" s="947"/>
      <c r="D23" s="947"/>
      <c r="E23" s="569">
        <v>800</v>
      </c>
      <c r="F23" s="569"/>
      <c r="G23" s="569"/>
      <c r="H23" s="569"/>
      <c r="I23" s="569"/>
      <c r="J23" s="569"/>
      <c r="K23" s="569"/>
      <c r="L23" s="569"/>
      <c r="M23" s="569"/>
      <c r="N23" s="569"/>
      <c r="O23" s="569"/>
      <c r="P23" s="569"/>
      <c r="Q23" s="569"/>
      <c r="R23" s="569"/>
      <c r="S23" s="569"/>
    </row>
    <row r="24" spans="2:5" ht="21.15" customHeight="1">
      <c r="B24" s="370"/>
      <c r="C24" s="370"/>
      <c r="D24" s="370"/>
      <c r="E24" s="371"/>
    </row>
    <row r="25" spans="2:2" ht="24.9" customHeight="1">
      <c r="B25" s="92" t="s">
        <v>229</v>
      </c>
    </row>
    <row r="26" spans="2:19" ht="21.15" customHeight="1">
      <c r="B26" s="201"/>
      <c r="C26" s="415"/>
      <c r="D26" s="790">
        <v>2020</v>
      </c>
      <c r="E26" s="811"/>
      <c r="F26" s="790">
        <v>2021</v>
      </c>
      <c r="G26" s="790"/>
      <c r="H26" s="830">
        <v>2022</v>
      </c>
      <c r="I26" s="953"/>
      <c r="J26" s="790">
        <v>2023</v>
      </c>
      <c r="K26" s="790"/>
      <c r="L26" s="790"/>
      <c r="M26" s="790"/>
      <c r="N26" s="790"/>
      <c r="O26" s="790"/>
      <c r="P26" s="140"/>
      <c r="Q26" s="140"/>
      <c r="R26" s="140"/>
      <c r="S26" s="946" t="s">
        <v>5</v>
      </c>
    </row>
    <row r="27" spans="2:19" ht="21.15" customHeight="1">
      <c r="B27" s="295"/>
      <c r="C27" s="296"/>
      <c r="D27" s="268" t="s">
        <v>7</v>
      </c>
      <c r="E27" s="409" t="s">
        <v>6</v>
      </c>
      <c r="F27" s="268" t="s">
        <v>7</v>
      </c>
      <c r="G27" s="409" t="s">
        <v>6</v>
      </c>
      <c r="H27" s="268" t="s">
        <v>7</v>
      </c>
      <c r="I27" s="718" t="s">
        <v>6</v>
      </c>
      <c r="J27" s="268" t="s">
        <v>7</v>
      </c>
      <c r="K27" s="268" t="s">
        <v>6</v>
      </c>
      <c r="L27" s="268"/>
      <c r="M27" s="268"/>
      <c r="N27" s="268"/>
      <c r="O27" s="268"/>
      <c r="P27" s="268"/>
      <c r="Q27" s="268"/>
      <c r="R27" s="268"/>
      <c r="S27" s="946"/>
    </row>
    <row r="28" spans="2:19" ht="21.15" customHeight="1">
      <c r="B28" s="948" t="s">
        <v>179</v>
      </c>
      <c r="C28" s="416" t="s">
        <v>10</v>
      </c>
      <c r="D28" s="400">
        <v>0.59</v>
      </c>
      <c r="E28" s="410">
        <v>0.57</v>
      </c>
      <c r="F28" s="400">
        <v>0.87</v>
      </c>
      <c r="G28" s="410">
        <v>0.85</v>
      </c>
      <c r="H28" s="400">
        <v>0.78</v>
      </c>
      <c r="I28" s="719">
        <v>0.74</v>
      </c>
      <c r="J28" s="620">
        <v>0.8314606741573034</v>
      </c>
      <c r="K28" s="620">
        <v>0.9041095890410958</v>
      </c>
      <c r="L28" s="620"/>
      <c r="M28" s="620"/>
      <c r="N28" s="620"/>
      <c r="O28" s="620"/>
      <c r="P28" s="620"/>
      <c r="Q28" s="620"/>
      <c r="R28" s="620"/>
      <c r="S28" s="945" t="s">
        <v>41</v>
      </c>
    </row>
    <row r="29" spans="2:19" ht="21.15" customHeight="1">
      <c r="B29" s="949"/>
      <c r="C29" s="417" t="s">
        <v>11</v>
      </c>
      <c r="D29" s="401">
        <v>0.92</v>
      </c>
      <c r="E29" s="407">
        <v>0.79</v>
      </c>
      <c r="F29" s="401">
        <v>0.79</v>
      </c>
      <c r="G29" s="407">
        <v>0.77</v>
      </c>
      <c r="H29" s="401">
        <v>0.85</v>
      </c>
      <c r="I29" s="720">
        <v>0.79</v>
      </c>
      <c r="J29" s="620">
        <v>0.8010610079575596</v>
      </c>
      <c r="K29" s="620">
        <v>0.768976897689769</v>
      </c>
      <c r="L29" s="620"/>
      <c r="M29" s="620"/>
      <c r="N29" s="620"/>
      <c r="O29" s="620"/>
      <c r="P29" s="620"/>
      <c r="Q29" s="620"/>
      <c r="R29" s="620"/>
      <c r="S29" s="945"/>
    </row>
    <row r="30" spans="2:19" ht="21.15" customHeight="1">
      <c r="B30" s="949"/>
      <c r="C30" s="417" t="s">
        <v>42</v>
      </c>
      <c r="D30" s="401">
        <v>0.86</v>
      </c>
      <c r="E30" s="407">
        <v>0.75</v>
      </c>
      <c r="F30" s="401">
        <v>0.81</v>
      </c>
      <c r="G30" s="407">
        <v>0.78</v>
      </c>
      <c r="H30" s="401">
        <v>0.84</v>
      </c>
      <c r="I30" s="720">
        <v>0.78</v>
      </c>
      <c r="J30" s="620">
        <v>0.8068669527896996</v>
      </c>
      <c r="K30" s="620">
        <v>0.7952127659574468</v>
      </c>
      <c r="L30" s="620"/>
      <c r="M30" s="620"/>
      <c r="N30" s="620"/>
      <c r="O30" s="620"/>
      <c r="P30" s="620"/>
      <c r="Q30" s="620"/>
      <c r="R30" s="620"/>
      <c r="S30" s="945"/>
    </row>
    <row r="31" spans="2:19" ht="21.15" customHeight="1">
      <c r="B31" s="949"/>
      <c r="C31" s="417" t="s">
        <v>43</v>
      </c>
      <c r="D31" s="401">
        <v>0.89</v>
      </c>
      <c r="E31" s="407">
        <v>0.72</v>
      </c>
      <c r="F31" s="401">
        <v>0.74</v>
      </c>
      <c r="G31" s="407">
        <v>0.69</v>
      </c>
      <c r="H31" s="401">
        <v>0.81</v>
      </c>
      <c r="I31" s="720">
        <v>0.72</v>
      </c>
      <c r="J31" s="620">
        <v>0.6962025316455697</v>
      </c>
      <c r="K31" s="620">
        <v>0.6688311688311688</v>
      </c>
      <c r="L31" s="620"/>
      <c r="M31" s="620"/>
      <c r="N31" s="620"/>
      <c r="O31" s="620"/>
      <c r="P31" s="620"/>
      <c r="Q31" s="620"/>
      <c r="R31" s="620"/>
      <c r="S31" s="945"/>
    </row>
    <row r="32" spans="2:19" ht="21.15" customHeight="1">
      <c r="B32" s="950"/>
      <c r="C32" s="418" t="s">
        <v>44</v>
      </c>
      <c r="D32" s="402">
        <v>0.81</v>
      </c>
      <c r="E32" s="408">
        <v>0.80</v>
      </c>
      <c r="F32" s="402">
        <v>0.93</v>
      </c>
      <c r="G32" s="408">
        <v>0.90</v>
      </c>
      <c r="H32" s="402">
        <v>0.90</v>
      </c>
      <c r="I32" s="721">
        <v>0.88</v>
      </c>
      <c r="J32" s="620">
        <v>0.9213973799126638</v>
      </c>
      <c r="K32" s="620">
        <v>0.8828828828828829</v>
      </c>
      <c r="L32" s="620"/>
      <c r="M32" s="620"/>
      <c r="N32" s="620"/>
      <c r="O32" s="620"/>
      <c r="P32" s="620"/>
      <c r="Q32" s="620"/>
      <c r="R32" s="620"/>
      <c r="S32" s="945"/>
    </row>
    <row r="33" spans="2:10" ht="21.15" customHeight="1">
      <c r="B33" s="354"/>
      <c r="C33" s="387"/>
      <c r="D33" s="399"/>
      <c r="E33" s="399"/>
      <c r="F33" s="399"/>
      <c r="G33" s="399"/>
      <c r="H33" s="399"/>
      <c r="I33" s="399"/>
      <c r="J33" s="395"/>
    </row>
    <row r="34" spans="2:2" ht="24.9" customHeight="1">
      <c r="B34" s="92" t="s">
        <v>230</v>
      </c>
    </row>
    <row r="35" spans="2:19" ht="21.15" customHeight="1">
      <c r="B35" s="201"/>
      <c r="C35" s="415"/>
      <c r="D35" s="790">
        <v>2020</v>
      </c>
      <c r="E35" s="811"/>
      <c r="F35" s="830">
        <v>2021</v>
      </c>
      <c r="G35" s="811"/>
      <c r="H35" s="790">
        <v>2022</v>
      </c>
      <c r="I35" s="790"/>
      <c r="J35" s="830">
        <v>2023</v>
      </c>
      <c r="K35" s="790"/>
      <c r="L35" s="140"/>
      <c r="M35" s="140"/>
      <c r="N35" s="140"/>
      <c r="O35" s="140"/>
      <c r="P35" s="140"/>
      <c r="Q35" s="140"/>
      <c r="R35" s="140"/>
      <c r="S35" s="946" t="s">
        <v>5</v>
      </c>
    </row>
    <row r="36" spans="2:19" ht="21.15" customHeight="1">
      <c r="B36" s="295"/>
      <c r="C36" s="296"/>
      <c r="D36" s="268" t="s">
        <v>7</v>
      </c>
      <c r="E36" s="409" t="s">
        <v>6</v>
      </c>
      <c r="F36" s="268" t="s">
        <v>7</v>
      </c>
      <c r="G36" s="409" t="s">
        <v>6</v>
      </c>
      <c r="H36" s="268" t="s">
        <v>7</v>
      </c>
      <c r="I36" s="718" t="s">
        <v>6</v>
      </c>
      <c r="J36" s="268" t="s">
        <v>7</v>
      </c>
      <c r="K36" s="268" t="s">
        <v>6</v>
      </c>
      <c r="L36" s="268"/>
      <c r="M36" s="268"/>
      <c r="N36" s="268"/>
      <c r="O36" s="268"/>
      <c r="P36" s="268"/>
      <c r="Q36" s="268"/>
      <c r="R36" s="268"/>
      <c r="S36" s="946"/>
    </row>
    <row r="37" spans="2:19" ht="21.15" customHeight="1">
      <c r="B37" s="948" t="s">
        <v>179</v>
      </c>
      <c r="C37" s="416" t="s">
        <v>10</v>
      </c>
      <c r="D37" s="403">
        <v>0.83</v>
      </c>
      <c r="E37" s="411">
        <v>0.80</v>
      </c>
      <c r="F37" s="404">
        <v>0.83</v>
      </c>
      <c r="G37" s="413">
        <v>0.91</v>
      </c>
      <c r="H37" s="403">
        <v>0.84</v>
      </c>
      <c r="I37" s="722">
        <v>0.82</v>
      </c>
      <c r="J37" s="620">
        <v>0.92</v>
      </c>
      <c r="K37" s="620">
        <v>0.92</v>
      </c>
      <c r="L37" s="620"/>
      <c r="M37" s="620"/>
      <c r="N37" s="620"/>
      <c r="O37" s="620"/>
      <c r="P37" s="620"/>
      <c r="Q37" s="620"/>
      <c r="R37" s="620"/>
      <c r="S37" s="945" t="s">
        <v>41</v>
      </c>
    </row>
    <row r="38" spans="2:19" ht="21.15" customHeight="1">
      <c r="B38" s="949"/>
      <c r="C38" s="417" t="s">
        <v>11</v>
      </c>
      <c r="D38" s="405">
        <v>0.91</v>
      </c>
      <c r="E38" s="412">
        <v>0.95</v>
      </c>
      <c r="F38" s="406">
        <v>0.94</v>
      </c>
      <c r="G38" s="414">
        <v>0.91</v>
      </c>
      <c r="H38" s="405">
        <v>0.93</v>
      </c>
      <c r="I38" s="723">
        <v>0.84</v>
      </c>
      <c r="J38" s="620">
        <v>0.73</v>
      </c>
      <c r="K38" s="620">
        <v>0.74</v>
      </c>
      <c r="L38" s="620"/>
      <c r="M38" s="620"/>
      <c r="N38" s="620"/>
      <c r="O38" s="620"/>
      <c r="P38" s="620"/>
      <c r="Q38" s="620"/>
      <c r="R38" s="620"/>
      <c r="S38" s="945"/>
    </row>
    <row r="39" spans="2:19" ht="21.15" customHeight="1">
      <c r="B39" s="949"/>
      <c r="C39" s="417" t="s">
        <v>42</v>
      </c>
      <c r="D39" s="401" t="s">
        <v>125</v>
      </c>
      <c r="E39" s="407" t="s">
        <v>125</v>
      </c>
      <c r="F39" s="401" t="s">
        <v>125</v>
      </c>
      <c r="G39" s="407" t="s">
        <v>125</v>
      </c>
      <c r="H39" s="401" t="s">
        <v>125</v>
      </c>
      <c r="I39" s="720" t="s">
        <v>125</v>
      </c>
      <c r="J39" s="620" t="s">
        <v>125</v>
      </c>
      <c r="K39" s="620" t="s">
        <v>125</v>
      </c>
      <c r="L39" s="620"/>
      <c r="M39" s="620"/>
      <c r="N39" s="620"/>
      <c r="O39" s="620"/>
      <c r="P39" s="620"/>
      <c r="Q39" s="620"/>
      <c r="R39" s="620"/>
      <c r="S39" s="945"/>
    </row>
    <row r="40" spans="2:19" ht="21.15" customHeight="1">
      <c r="B40" s="949"/>
      <c r="C40" s="417" t="s">
        <v>43</v>
      </c>
      <c r="D40" s="401" t="s">
        <v>125</v>
      </c>
      <c r="E40" s="407" t="s">
        <v>125</v>
      </c>
      <c r="F40" s="401" t="s">
        <v>125</v>
      </c>
      <c r="G40" s="407" t="s">
        <v>125</v>
      </c>
      <c r="H40" s="401" t="s">
        <v>125</v>
      </c>
      <c r="I40" s="720" t="s">
        <v>125</v>
      </c>
      <c r="J40" s="620" t="s">
        <v>125</v>
      </c>
      <c r="K40" s="620" t="s">
        <v>125</v>
      </c>
      <c r="L40" s="620"/>
      <c r="M40" s="620"/>
      <c r="N40" s="620"/>
      <c r="O40" s="620"/>
      <c r="P40" s="620"/>
      <c r="Q40" s="620"/>
      <c r="R40" s="620"/>
      <c r="S40" s="945"/>
    </row>
    <row r="41" spans="2:19" ht="21.15" customHeight="1">
      <c r="B41" s="950"/>
      <c r="C41" s="418" t="s">
        <v>44</v>
      </c>
      <c r="D41" s="402" t="s">
        <v>125</v>
      </c>
      <c r="E41" s="408" t="s">
        <v>125</v>
      </c>
      <c r="F41" s="402" t="s">
        <v>125</v>
      </c>
      <c r="G41" s="408" t="s">
        <v>125</v>
      </c>
      <c r="H41" s="402" t="s">
        <v>125</v>
      </c>
      <c r="I41" s="721" t="s">
        <v>125</v>
      </c>
      <c r="J41" s="620" t="s">
        <v>125</v>
      </c>
      <c r="K41" s="620" t="s">
        <v>125</v>
      </c>
      <c r="L41" s="620"/>
      <c r="M41" s="620"/>
      <c r="N41" s="620"/>
      <c r="O41" s="620"/>
      <c r="P41" s="620"/>
      <c r="Q41" s="620"/>
      <c r="R41" s="620"/>
      <c r="S41" s="945"/>
    </row>
    <row r="42" spans="2:10" ht="21.15" customHeight="1">
      <c r="B42" s="354"/>
      <c r="C42" s="387"/>
      <c r="D42" s="399"/>
      <c r="E42" s="399"/>
      <c r="F42" s="399"/>
      <c r="G42" s="399"/>
      <c r="H42" s="399"/>
      <c r="I42" s="399"/>
      <c r="J42" s="395"/>
    </row>
    <row r="43" spans="2:2" ht="24.9" customHeight="1">
      <c r="B43" s="92" t="s">
        <v>231</v>
      </c>
    </row>
    <row r="44" spans="2:19" ht="21.15" customHeight="1">
      <c r="B44" s="201"/>
      <c r="C44" s="415"/>
      <c r="D44" s="790">
        <v>2021</v>
      </c>
      <c r="E44" s="790"/>
      <c r="F44" s="830">
        <v>2022</v>
      </c>
      <c r="G44" s="790"/>
      <c r="H44" s="830">
        <v>2023</v>
      </c>
      <c r="I44" s="790"/>
      <c r="J44" s="140"/>
      <c r="K44" s="140"/>
      <c r="L44" s="140"/>
      <c r="M44" s="140"/>
      <c r="N44" s="140"/>
      <c r="O44" s="140"/>
      <c r="P44" s="140"/>
      <c r="Q44" s="140"/>
      <c r="R44" s="140"/>
      <c r="S44" s="946" t="s">
        <v>5</v>
      </c>
    </row>
    <row r="45" spans="2:19" ht="21.15" customHeight="1">
      <c r="B45" s="295"/>
      <c r="C45" s="296"/>
      <c r="D45" s="268" t="s">
        <v>7</v>
      </c>
      <c r="E45" s="409" t="s">
        <v>6</v>
      </c>
      <c r="F45" s="268" t="s">
        <v>7</v>
      </c>
      <c r="G45" s="409" t="s">
        <v>6</v>
      </c>
      <c r="H45" s="268" t="s">
        <v>7</v>
      </c>
      <c r="I45" s="268" t="s">
        <v>6</v>
      </c>
      <c r="J45" s="268"/>
      <c r="K45" s="268"/>
      <c r="L45" s="268"/>
      <c r="M45" s="268"/>
      <c r="N45" s="268"/>
      <c r="O45" s="268"/>
      <c r="P45" s="268"/>
      <c r="Q45" s="268"/>
      <c r="R45" s="268"/>
      <c r="S45" s="946"/>
    </row>
    <row r="46" spans="2:19" ht="21.15" customHeight="1">
      <c r="B46" s="948" t="s">
        <v>179</v>
      </c>
      <c r="C46" s="416" t="s">
        <v>10</v>
      </c>
      <c r="D46" s="400">
        <v>0.59</v>
      </c>
      <c r="E46" s="410">
        <v>0.41</v>
      </c>
      <c r="F46" s="400">
        <v>0</v>
      </c>
      <c r="G46" s="410">
        <v>0</v>
      </c>
      <c r="H46" s="400">
        <v>0.5125</v>
      </c>
      <c r="I46" s="400">
        <v>0.4875</v>
      </c>
      <c r="J46" s="620"/>
      <c r="K46" s="620"/>
      <c r="L46" s="620"/>
      <c r="M46" s="620"/>
      <c r="N46" s="620"/>
      <c r="O46" s="620"/>
      <c r="P46" s="620"/>
      <c r="Q46" s="620"/>
      <c r="R46" s="620"/>
      <c r="S46" s="945" t="s">
        <v>41</v>
      </c>
    </row>
    <row r="47" spans="2:19" ht="21.15" customHeight="1">
      <c r="B47" s="949"/>
      <c r="C47" s="417" t="s">
        <v>11</v>
      </c>
      <c r="D47" s="401">
        <v>0.60</v>
      </c>
      <c r="E47" s="407">
        <v>0.40</v>
      </c>
      <c r="F47" s="401">
        <v>0</v>
      </c>
      <c r="G47" s="410">
        <v>0</v>
      </c>
      <c r="H47" s="401">
        <v>0.6299019607843137</v>
      </c>
      <c r="I47" s="401">
        <v>0.3700980392156863</v>
      </c>
      <c r="J47" s="620"/>
      <c r="K47" s="620"/>
      <c r="L47" s="620"/>
      <c r="M47" s="620"/>
      <c r="N47" s="620"/>
      <c r="O47" s="620"/>
      <c r="P47" s="620"/>
      <c r="Q47" s="620"/>
      <c r="R47" s="620"/>
      <c r="S47" s="945"/>
    </row>
    <row r="48" spans="2:19" ht="21.15" customHeight="1">
      <c r="B48" s="949"/>
      <c r="C48" s="417" t="s">
        <v>42</v>
      </c>
      <c r="D48" s="951">
        <v>0.81</v>
      </c>
      <c r="E48" s="952"/>
      <c r="F48" s="401">
        <v>0</v>
      </c>
      <c r="G48" s="410">
        <v>0</v>
      </c>
      <c r="H48" s="401">
        <v>0.610655737704918</v>
      </c>
      <c r="I48" s="401">
        <v>0.38934426229508196</v>
      </c>
      <c r="J48" s="620"/>
      <c r="K48" s="620"/>
      <c r="L48" s="620"/>
      <c r="M48" s="620"/>
      <c r="N48" s="620"/>
      <c r="O48" s="620"/>
      <c r="P48" s="620"/>
      <c r="Q48" s="620"/>
      <c r="R48" s="620"/>
      <c r="S48" s="945"/>
    </row>
    <row r="49" spans="2:19" ht="21.15" customHeight="1">
      <c r="B49" s="949"/>
      <c r="C49" s="417" t="s">
        <v>43</v>
      </c>
      <c r="D49" s="401">
        <v>0</v>
      </c>
      <c r="E49" s="407">
        <v>0</v>
      </c>
      <c r="F49" s="401">
        <v>0</v>
      </c>
      <c r="G49" s="410">
        <v>0</v>
      </c>
      <c r="H49" s="401">
        <v>0</v>
      </c>
      <c r="I49" s="401">
        <v>0</v>
      </c>
      <c r="J49" s="620"/>
      <c r="K49" s="620"/>
      <c r="L49" s="620"/>
      <c r="M49" s="620"/>
      <c r="N49" s="620"/>
      <c r="O49" s="620"/>
      <c r="P49" s="620"/>
      <c r="Q49" s="620"/>
      <c r="R49" s="620"/>
      <c r="S49" s="945"/>
    </row>
    <row r="50" spans="2:19" ht="21.15" customHeight="1">
      <c r="B50" s="950"/>
      <c r="C50" s="418" t="s">
        <v>44</v>
      </c>
      <c r="D50" s="402">
        <v>0</v>
      </c>
      <c r="E50" s="408">
        <v>0</v>
      </c>
      <c r="F50" s="402">
        <v>0</v>
      </c>
      <c r="G50" s="408">
        <v>0</v>
      </c>
      <c r="H50" s="402">
        <v>0</v>
      </c>
      <c r="I50" s="402">
        <v>0</v>
      </c>
      <c r="J50" s="726"/>
      <c r="K50" s="726"/>
      <c r="L50" s="726"/>
      <c r="M50" s="726"/>
      <c r="N50" s="726"/>
      <c r="O50" s="726"/>
      <c r="P50" s="726"/>
      <c r="Q50" s="726"/>
      <c r="R50" s="727"/>
      <c r="S50" s="945"/>
    </row>
  </sheetData>
  <mergeCells count="29">
    <mergeCell ref="K8:N8"/>
    <mergeCell ref="O8:R8"/>
    <mergeCell ref="B46:B50"/>
    <mergeCell ref="D44:E44"/>
    <mergeCell ref="B28:B32"/>
    <mergeCell ref="H35:I35"/>
    <mergeCell ref="D48:E48"/>
    <mergeCell ref="F44:G44"/>
    <mergeCell ref="D35:E35"/>
    <mergeCell ref="F35:G35"/>
    <mergeCell ref="H26:I26"/>
    <mergeCell ref="B37:B41"/>
    <mergeCell ref="C8:F8"/>
    <mergeCell ref="G8:J8"/>
    <mergeCell ref="D26:E26"/>
    <mergeCell ref="F26:G26"/>
    <mergeCell ref="B23:D23"/>
    <mergeCell ref="S37:S41"/>
    <mergeCell ref="H44:I44"/>
    <mergeCell ref="S44:S45"/>
    <mergeCell ref="S46:S50"/>
    <mergeCell ref="L26:M26"/>
    <mergeCell ref="S10:S11"/>
    <mergeCell ref="J26:K26"/>
    <mergeCell ref="S28:S32"/>
    <mergeCell ref="S26:S27"/>
    <mergeCell ref="J35:K35"/>
    <mergeCell ref="S35:S36"/>
    <mergeCell ref="N26:O26"/>
  </mergeCells>
  <pageMargins left="0.7" right="0.7" top="0.75" bottom="0.75" header="0.3" footer="0.3"/>
  <headerFooter scaleWithDoc="0"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0D5D933-6ECC-4C12-A9DF-F4C26EF05E37}">
  <dimension ref="B1:S76"/>
  <sheetViews>
    <sheetView showGridLines="0" rightToLeft="1" zoomScale="85" zoomScaleNormal="85" workbookViewId="0" topLeftCell="A1">
      <selection pane="topLeft" activeCell="H77" sqref="H77"/>
    </sheetView>
  </sheetViews>
  <sheetFormatPr defaultColWidth="9.114285714285714" defaultRowHeight="14.4"/>
  <cols>
    <col min="1" max="1" width="3.7142857142857144" customWidth="1"/>
    <col min="2" max="2" width="24.285714285714285" style="141" customWidth="1"/>
    <col min="3" max="17" width="12.714285714285714" style="141" customWidth="1"/>
    <col min="18" max="18" width="19.428571428571427" style="141" customWidth="1"/>
    <col min="19" max="19" width="12.714285714285714" style="141" customWidth="1"/>
  </cols>
  <sheetData>
    <row r="1" spans="2:19" ht="15" customHeight="1"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/>
      <c r="P1"/>
      <c r="Q1"/>
      <c r="R1"/>
      <c r="S1"/>
    </row>
    <row r="2" spans="2:19" ht="15" customHeight="1"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/>
      <c r="P2"/>
      <c r="Q2"/>
      <c r="R2"/>
      <c r="S2"/>
    </row>
    <row r="3" spans="2:19" ht="15" customHeight="1"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/>
      <c r="P3"/>
      <c r="Q3"/>
      <c r="R3"/>
      <c r="S3"/>
    </row>
    <row r="4" spans="2:19" ht="15" customHeight="1"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/>
      <c r="P4"/>
      <c r="Q4"/>
      <c r="R4" s="43"/>
      <c r="S4" s="43"/>
    </row>
    <row r="5" spans="2:19" ht="24.9" customHeight="1" thickBot="1">
      <c r="B5" s="65" t="s">
        <v>226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4"/>
    </row>
    <row r="6" spans="2:19" ht="15" customHeight="1" thickTop="1">
      <c r="B6" s="67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</row>
    <row r="7" spans="2:19" ht="15" customHeight="1">
      <c r="B7" s="509" t="s">
        <v>370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</row>
    <row r="8" spans="2:19" ht="26.4" customHeight="1">
      <c r="B8" s="369" t="s">
        <v>61</v>
      </c>
      <c r="C8" s="369"/>
      <c r="D8" s="594" t="s">
        <v>0</v>
      </c>
      <c r="E8" s="594" t="s">
        <v>2</v>
      </c>
      <c r="F8" s="594" t="s">
        <v>37</v>
      </c>
      <c r="G8" s="369" t="s">
        <v>177</v>
      </c>
      <c r="H8" s="369"/>
      <c r="I8" s="369"/>
      <c r="J8" s="369"/>
      <c r="K8" s="369"/>
      <c r="L8" s="369"/>
      <c r="M8" s="369"/>
      <c r="N8" s="369"/>
      <c r="O8" s="369"/>
      <c r="P8" s="369"/>
      <c r="Q8" s="369"/>
      <c r="R8" s="229" t="s">
        <v>5</v>
      </c>
      <c r="S8" s="64"/>
    </row>
    <row r="9" spans="2:19" ht="29.4" customHeight="1">
      <c r="B9" s="954" t="s">
        <v>371</v>
      </c>
      <c r="C9" s="954"/>
      <c r="D9" s="592">
        <v>1</v>
      </c>
      <c r="E9" s="592">
        <v>1</v>
      </c>
      <c r="F9" s="592">
        <v>1</v>
      </c>
      <c r="G9" s="510">
        <v>1</v>
      </c>
      <c r="H9" s="511"/>
      <c r="I9" s="511"/>
      <c r="J9" s="511"/>
      <c r="K9" s="511"/>
      <c r="L9" s="511"/>
      <c r="M9" s="511"/>
      <c r="N9" s="511"/>
      <c r="O9" s="511"/>
      <c r="P9" s="511"/>
      <c r="Q9" s="511"/>
      <c r="R9" s="782" t="s">
        <v>457</v>
      </c>
      <c r="S9" s="64"/>
    </row>
    <row r="10" spans="2:19" ht="27" customHeight="1">
      <c r="B10" s="955" t="s">
        <v>372</v>
      </c>
      <c r="C10" s="955"/>
      <c r="D10" s="593">
        <v>0.97</v>
      </c>
      <c r="E10" s="593">
        <v>0.86</v>
      </c>
      <c r="F10" s="661" t="s">
        <v>125</v>
      </c>
      <c r="G10" s="512">
        <v>1</v>
      </c>
      <c r="H10" s="513"/>
      <c r="I10" s="513"/>
      <c r="J10" s="513"/>
      <c r="K10" s="513"/>
      <c r="L10" s="513"/>
      <c r="M10" s="513"/>
      <c r="N10" s="513"/>
      <c r="O10" s="513"/>
      <c r="P10" s="513"/>
      <c r="Q10" s="513"/>
      <c r="R10" s="782"/>
      <c r="S10" s="64"/>
    </row>
    <row r="11" spans="2:19" ht="15" customHeight="1">
      <c r="B11" s="67"/>
      <c r="C11" s="64"/>
      <c r="D11" s="64"/>
      <c r="E11" s="64"/>
      <c r="F11" s="64"/>
      <c r="G11" s="64"/>
      <c r="H11" s="64"/>
      <c r="J11" s="64"/>
      <c r="K11" s="64"/>
      <c r="L11" s="64"/>
      <c r="M11" s="64"/>
      <c r="N11" s="64"/>
      <c r="O11" s="64"/>
      <c r="P11" s="64"/>
      <c r="Q11" s="64"/>
      <c r="R11"/>
      <c r="S11"/>
    </row>
    <row r="12" spans="2:19" ht="21.15" customHeight="1"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</row>
    <row r="13" spans="2:19" ht="21.15" customHeight="1">
      <c r="B13" s="575" t="s">
        <v>437</v>
      </c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</row>
    <row r="14" spans="2:19" ht="35.25" customHeight="1">
      <c r="B14" s="369"/>
      <c r="C14" s="369" t="s">
        <v>0</v>
      </c>
      <c r="D14" s="594" t="s">
        <v>2</v>
      </c>
      <c r="E14" s="594" t="s">
        <v>37</v>
      </c>
      <c r="F14" s="594" t="s">
        <v>177</v>
      </c>
      <c r="G14" s="594"/>
      <c r="H14" s="594"/>
      <c r="I14" s="594"/>
      <c r="J14" s="594"/>
      <c r="K14" s="594"/>
      <c r="L14" s="594"/>
      <c r="M14" s="594"/>
      <c r="N14" s="594"/>
      <c r="O14" s="594"/>
      <c r="P14" s="594"/>
      <c r="Q14" s="594"/>
      <c r="R14" s="229" t="s">
        <v>5</v>
      </c>
      <c r="S14"/>
    </row>
    <row r="15" spans="2:19" ht="21.15" customHeight="1">
      <c r="B15" s="728">
        <v>2021</v>
      </c>
      <c r="C15" s="956">
        <v>237</v>
      </c>
      <c r="D15" s="956"/>
      <c r="E15" s="956"/>
      <c r="F15" s="673"/>
      <c r="G15" s="673"/>
      <c r="H15" s="673"/>
      <c r="I15" s="673"/>
      <c r="J15" s="673"/>
      <c r="K15" s="673"/>
      <c r="L15" s="673"/>
      <c r="M15" s="673"/>
      <c r="N15" s="673"/>
      <c r="O15" s="673"/>
      <c r="P15" s="673"/>
      <c r="Q15" s="673"/>
      <c r="R15" s="782" t="s">
        <v>460</v>
      </c>
      <c r="S15"/>
    </row>
    <row r="16" spans="2:19" ht="21.15" customHeight="1">
      <c r="B16" s="729">
        <v>2022</v>
      </c>
      <c r="C16" s="957">
        <v>437</v>
      </c>
      <c r="D16" s="957"/>
      <c r="E16" s="957"/>
      <c r="F16" s="674"/>
      <c r="G16" s="674"/>
      <c r="H16" s="674"/>
      <c r="I16" s="674"/>
      <c r="J16" s="674"/>
      <c r="K16" s="674"/>
      <c r="L16" s="674"/>
      <c r="M16" s="674"/>
      <c r="N16" s="674"/>
      <c r="O16" s="674"/>
      <c r="P16" s="674"/>
      <c r="Q16" s="674"/>
      <c r="R16" s="782"/>
      <c r="S16"/>
    </row>
    <row r="17" spans="2:19" ht="21.15" customHeight="1">
      <c r="B17" s="588">
        <v>2023</v>
      </c>
      <c r="C17" s="518">
        <v>375</v>
      </c>
      <c r="D17" s="518">
        <v>20</v>
      </c>
      <c r="E17" s="518">
        <v>57</v>
      </c>
      <c r="F17" s="518">
        <v>160</v>
      </c>
      <c r="G17" s="518"/>
      <c r="H17" s="518"/>
      <c r="I17" s="518"/>
      <c r="J17" s="518"/>
      <c r="K17" s="518"/>
      <c r="L17" s="518"/>
      <c r="M17" s="518"/>
      <c r="N17" s="518"/>
      <c r="O17" s="518"/>
      <c r="P17" s="518"/>
      <c r="Q17" s="518"/>
      <c r="R17" s="782"/>
      <c r="S17"/>
    </row>
    <row r="18" spans="2:19" ht="21.15" customHeight="1">
      <c r="B18" s="58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</row>
    <row r="19" spans="2:17" ht="21.15" customHeight="1">
      <c r="B19" s="92" t="s">
        <v>225</v>
      </c>
      <c r="C19" s="92"/>
      <c r="D19" s="92"/>
      <c r="E19" s="92"/>
      <c r="F19" s="92"/>
      <c r="I19"/>
      <c r="J19"/>
      <c r="K19" s="92"/>
      <c r="L19" s="92"/>
      <c r="M19" s="92"/>
      <c r="N19" s="92"/>
      <c r="O19" s="92"/>
      <c r="P19" s="92"/>
      <c r="Q19" s="92"/>
    </row>
    <row r="20" spans="2:19" ht="57" customHeight="1">
      <c r="B20" s="369" t="s">
        <v>61</v>
      </c>
      <c r="C20" s="369" t="s">
        <v>184</v>
      </c>
      <c r="D20" s="369" t="s">
        <v>73</v>
      </c>
      <c r="E20" s="369" t="s">
        <v>74</v>
      </c>
      <c r="F20" s="369" t="s">
        <v>62</v>
      </c>
      <c r="G20" s="369" t="s">
        <v>63</v>
      </c>
      <c r="H20" s="369" t="s">
        <v>75</v>
      </c>
      <c r="I20" s="369" t="s">
        <v>183</v>
      </c>
      <c r="J20" s="369"/>
      <c r="K20" s="369"/>
      <c r="L20" s="369"/>
      <c r="M20" s="369"/>
      <c r="N20" s="369"/>
      <c r="O20" s="369"/>
      <c r="P20" s="369"/>
      <c r="Q20" s="369"/>
      <c r="R20" s="229" t="s">
        <v>5</v>
      </c>
      <c r="S20"/>
    </row>
    <row r="21" spans="2:19" ht="21.15" customHeight="1">
      <c r="B21" s="372" t="s">
        <v>64</v>
      </c>
      <c r="C21" s="373" t="s">
        <v>65</v>
      </c>
      <c r="D21" s="373" t="s">
        <v>76</v>
      </c>
      <c r="E21" s="373" t="s">
        <v>77</v>
      </c>
      <c r="F21" s="373" t="s">
        <v>66</v>
      </c>
      <c r="G21" s="373" t="s">
        <v>67</v>
      </c>
      <c r="H21" s="373" t="s">
        <v>78</v>
      </c>
      <c r="I21" s="373" t="s">
        <v>79</v>
      </c>
      <c r="J21" s="373"/>
      <c r="K21" s="373"/>
      <c r="L21" s="373"/>
      <c r="M21" s="373"/>
      <c r="N21" s="373"/>
      <c r="O21" s="373"/>
      <c r="P21" s="373"/>
      <c r="Q21" s="373"/>
      <c r="R21" s="782" t="s">
        <v>224</v>
      </c>
      <c r="S21"/>
    </row>
    <row r="22" spans="2:19" ht="21.15" customHeight="1">
      <c r="B22" s="374" t="s">
        <v>59</v>
      </c>
      <c r="C22" s="375" t="s">
        <v>68</v>
      </c>
      <c r="D22" s="375" t="s">
        <v>80</v>
      </c>
      <c r="E22" s="375" t="s">
        <v>81</v>
      </c>
      <c r="F22" s="375" t="s">
        <v>69</v>
      </c>
      <c r="G22" s="375" t="s">
        <v>70</v>
      </c>
      <c r="H22" s="375" t="s">
        <v>82</v>
      </c>
      <c r="I22" s="375" t="s">
        <v>83</v>
      </c>
      <c r="J22" s="375"/>
      <c r="K22" s="375"/>
      <c r="L22" s="375"/>
      <c r="M22" s="375"/>
      <c r="N22" s="375"/>
      <c r="O22" s="375"/>
      <c r="P22" s="375"/>
      <c r="Q22" s="375"/>
      <c r="R22" s="782"/>
      <c r="S22"/>
    </row>
    <row r="23" spans="2:19" ht="21.15" customHeight="1">
      <c r="B23" s="374" t="s">
        <v>60</v>
      </c>
      <c r="C23" s="376" t="s">
        <v>71</v>
      </c>
      <c r="D23" s="376" t="s">
        <v>84</v>
      </c>
      <c r="E23" s="376" t="s">
        <v>85</v>
      </c>
      <c r="F23" s="376" t="s">
        <v>72</v>
      </c>
      <c r="G23" s="376" t="s">
        <v>67</v>
      </c>
      <c r="H23" s="376" t="s">
        <v>86</v>
      </c>
      <c r="I23" s="376" t="s">
        <v>87</v>
      </c>
      <c r="J23" s="376"/>
      <c r="K23" s="376"/>
      <c r="L23" s="376"/>
      <c r="M23" s="376"/>
      <c r="N23" s="376"/>
      <c r="O23" s="376"/>
      <c r="P23" s="376"/>
      <c r="Q23" s="376"/>
      <c r="R23" s="782"/>
      <c r="S23"/>
    </row>
    <row r="24" spans="2:19" ht="21.15" customHeight="1">
      <c r="B24" s="505">
        <v>2023</v>
      </c>
      <c r="C24" s="519">
        <v>184</v>
      </c>
      <c r="D24" s="519">
        <v>23</v>
      </c>
      <c r="E24" s="519">
        <v>47</v>
      </c>
      <c r="F24" s="519">
        <v>4406</v>
      </c>
      <c r="G24" s="519">
        <v>24</v>
      </c>
      <c r="H24" s="519">
        <v>0.79</v>
      </c>
      <c r="I24" s="519">
        <v>1.62</v>
      </c>
      <c r="J24" s="519"/>
      <c r="K24" s="519"/>
      <c r="L24" s="519"/>
      <c r="M24" s="519"/>
      <c r="N24" s="519"/>
      <c r="O24" s="519"/>
      <c r="P24" s="519"/>
      <c r="Q24" s="519"/>
      <c r="R24" s="490"/>
      <c r="S24"/>
    </row>
    <row r="25" spans="2:19" ht="21.15" customHeight="1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</row>
    <row r="26" spans="2:19" ht="21.15" customHeight="1">
      <c r="B26" s="92" t="s">
        <v>360</v>
      </c>
      <c r="C26" s="92"/>
      <c r="D26" s="92"/>
      <c r="E26" s="92"/>
      <c r="F26" s="92"/>
      <c r="K26"/>
      <c r="L26"/>
      <c r="M26"/>
      <c r="N26"/>
      <c r="O26"/>
      <c r="P26"/>
      <c r="Q26"/>
      <c r="R26"/>
      <c r="S26"/>
    </row>
    <row r="27" spans="2:19" ht="55.5" customHeight="1">
      <c r="B27" s="369" t="s">
        <v>61</v>
      </c>
      <c r="C27" s="369" t="s">
        <v>184</v>
      </c>
      <c r="D27" s="369" t="s">
        <v>73</v>
      </c>
      <c r="E27" s="369" t="s">
        <v>74</v>
      </c>
      <c r="F27" s="369" t="s">
        <v>62</v>
      </c>
      <c r="G27" s="369" t="s">
        <v>63</v>
      </c>
      <c r="H27" s="369" t="s">
        <v>75</v>
      </c>
      <c r="I27" s="369" t="s">
        <v>183</v>
      </c>
      <c r="J27" s="369"/>
      <c r="K27" s="369"/>
      <c r="L27" s="369"/>
      <c r="M27" s="369"/>
      <c r="N27" s="369"/>
      <c r="O27" s="369"/>
      <c r="P27" s="369"/>
      <c r="Q27" s="369"/>
      <c r="R27" s="229" t="s">
        <v>5</v>
      </c>
      <c r="S27"/>
    </row>
    <row r="28" spans="2:19" ht="21.15" customHeight="1">
      <c r="B28" s="516" t="s">
        <v>64</v>
      </c>
      <c r="C28" s="536">
        <v>21</v>
      </c>
      <c r="D28" s="536">
        <v>10</v>
      </c>
      <c r="E28" s="536">
        <v>11</v>
      </c>
      <c r="F28" s="536">
        <v>460</v>
      </c>
      <c r="G28" s="536">
        <v>21.90</v>
      </c>
      <c r="H28" s="611">
        <v>0.24210526315789474</v>
      </c>
      <c r="I28" s="612">
        <v>0.5937230006697988</v>
      </c>
      <c r="J28" s="612"/>
      <c r="K28" s="612"/>
      <c r="L28" s="612"/>
      <c r="M28" s="612"/>
      <c r="N28" s="612"/>
      <c r="O28" s="612"/>
      <c r="P28" s="612"/>
      <c r="Q28" s="612"/>
      <c r="R28" s="779" t="s">
        <v>224</v>
      </c>
      <c r="S28"/>
    </row>
    <row r="29" spans="2:19" ht="21.15" customHeight="1">
      <c r="B29" s="517" t="s">
        <v>59</v>
      </c>
      <c r="C29" s="537">
        <v>28</v>
      </c>
      <c r="D29" s="537">
        <v>12</v>
      </c>
      <c r="E29" s="537">
        <v>16</v>
      </c>
      <c r="F29" s="537">
        <v>558</v>
      </c>
      <c r="G29" s="537">
        <v>19.90</v>
      </c>
      <c r="H29" s="613">
        <v>0.3156108597285068</v>
      </c>
      <c r="I29" s="614">
        <v>0.8550530446252789</v>
      </c>
      <c r="J29" s="614"/>
      <c r="K29" s="614"/>
      <c r="L29" s="614"/>
      <c r="M29" s="614"/>
      <c r="N29" s="614"/>
      <c r="O29" s="614"/>
      <c r="P29" s="614"/>
      <c r="Q29" s="614"/>
      <c r="R29" s="779"/>
      <c r="S29"/>
    </row>
    <row r="30" spans="2:19" ht="21.15" customHeight="1">
      <c r="B30" s="517" t="s">
        <v>60</v>
      </c>
      <c r="C30" s="536">
        <v>16</v>
      </c>
      <c r="D30" s="536">
        <v>7</v>
      </c>
      <c r="E30" s="536">
        <v>9</v>
      </c>
      <c r="F30" s="536">
        <v>477</v>
      </c>
      <c r="G30" s="539">
        <v>29.10</v>
      </c>
      <c r="H30" s="615">
        <v>0.27992957746478875</v>
      </c>
      <c r="I30" s="612">
        <v>0.49625555303331265</v>
      </c>
      <c r="J30" s="612"/>
      <c r="K30" s="612"/>
      <c r="L30" s="612"/>
      <c r="M30" s="612"/>
      <c r="N30" s="612"/>
      <c r="O30" s="612"/>
      <c r="P30" s="612"/>
      <c r="Q30" s="612"/>
      <c r="R30" s="779"/>
      <c r="S30"/>
    </row>
    <row r="31" spans="2:19" ht="21.15" customHeight="1">
      <c r="B31" s="535">
        <v>2023</v>
      </c>
      <c r="C31" s="538">
        <v>29</v>
      </c>
      <c r="D31" s="538">
        <v>9</v>
      </c>
      <c r="E31" s="538">
        <v>20</v>
      </c>
      <c r="F31" s="538">
        <v>778</v>
      </c>
      <c r="G31" s="538">
        <v>26.80</v>
      </c>
      <c r="H31" s="615">
        <v>0.46199524940617576</v>
      </c>
      <c r="I31" s="616">
        <v>0.9004870651197613</v>
      </c>
      <c r="J31" s="616"/>
      <c r="K31" s="616"/>
      <c r="L31" s="616"/>
      <c r="M31" s="616"/>
      <c r="N31" s="616"/>
      <c r="O31" s="616"/>
      <c r="P31" s="616"/>
      <c r="Q31" s="616"/>
      <c r="R31" s="779"/>
      <c r="S31"/>
    </row>
    <row r="32" spans="2:19" ht="21.15" customHeight="1">
      <c r="B32" s="503"/>
      <c r="C32" s="504"/>
      <c r="D32" s="504"/>
      <c r="E32" s="504"/>
      <c r="F32" s="504"/>
      <c r="G32"/>
      <c r="H32"/>
      <c r="I32" s="190"/>
      <c r="J32" s="190"/>
      <c r="K32" s="503"/>
      <c r="L32" s="503"/>
      <c r="M32" s="504"/>
      <c r="N32" s="504"/>
      <c r="O32" s="504"/>
      <c r="P32" s="504"/>
      <c r="Q32" s="504"/>
      <c r="R32" s="504"/>
      <c r="S32"/>
    </row>
    <row r="33" spans="2:19" ht="21.15" customHeight="1">
      <c r="B33" s="92" t="s">
        <v>361</v>
      </c>
      <c r="C33" s="92"/>
      <c r="D33" s="92"/>
      <c r="E33" s="92"/>
      <c r="F33" s="92"/>
      <c r="K33"/>
      <c r="L33"/>
      <c r="M33"/>
      <c r="N33"/>
      <c r="O33"/>
      <c r="P33"/>
      <c r="Q33"/>
      <c r="R33"/>
      <c r="S33"/>
    </row>
    <row r="34" spans="2:19" ht="55.5" customHeight="1">
      <c r="B34" s="369" t="s">
        <v>61</v>
      </c>
      <c r="C34" s="369" t="s">
        <v>184</v>
      </c>
      <c r="D34" s="369" t="s">
        <v>73</v>
      </c>
      <c r="E34" s="369" t="s">
        <v>74</v>
      </c>
      <c r="F34" s="369" t="s">
        <v>62</v>
      </c>
      <c r="G34" s="369" t="s">
        <v>63</v>
      </c>
      <c r="H34" s="369" t="s">
        <v>75</v>
      </c>
      <c r="I34" s="369" t="s">
        <v>183</v>
      </c>
      <c r="J34" s="369"/>
      <c r="K34" s="369"/>
      <c r="L34" s="369"/>
      <c r="M34" s="369"/>
      <c r="N34" s="369"/>
      <c r="O34" s="369"/>
      <c r="P34" s="369"/>
      <c r="Q34" s="369"/>
      <c r="R34" s="229" t="s">
        <v>5</v>
      </c>
      <c r="S34"/>
    </row>
    <row r="35" spans="2:19" ht="21.15" customHeight="1">
      <c r="B35" s="516" t="s">
        <v>64</v>
      </c>
      <c r="C35" s="536">
        <v>47</v>
      </c>
      <c r="D35" s="536">
        <v>46</v>
      </c>
      <c r="E35" s="536">
        <v>23</v>
      </c>
      <c r="F35" s="536">
        <v>464</v>
      </c>
      <c r="G35" s="576">
        <f>F35/C35</f>
        <v>9.872340425531915</v>
      </c>
      <c r="H35" s="536">
        <v>10.60</v>
      </c>
      <c r="I35" s="617">
        <v>2.892057026476578</v>
      </c>
      <c r="J35" s="617"/>
      <c r="K35" s="617"/>
      <c r="L35" s="617"/>
      <c r="M35" s="617"/>
      <c r="N35" s="617"/>
      <c r="O35" s="617"/>
      <c r="P35" s="617"/>
      <c r="Q35" s="617"/>
      <c r="R35" s="779" t="s">
        <v>224</v>
      </c>
      <c r="S35"/>
    </row>
    <row r="36" spans="2:19" ht="21.15" customHeight="1">
      <c r="B36" s="517" t="s">
        <v>59</v>
      </c>
      <c r="C36" s="537">
        <v>35</v>
      </c>
      <c r="D36" s="537">
        <v>33</v>
      </c>
      <c r="E36" s="537">
        <v>14</v>
      </c>
      <c r="F36" s="537">
        <v>695</v>
      </c>
      <c r="G36" s="576">
        <f>F36/C36</f>
        <v>19.857142857142858</v>
      </c>
      <c r="H36" s="537">
        <v>21.10</v>
      </c>
      <c r="I36" s="618">
        <v>2.2854477611940296</v>
      </c>
      <c r="J36" s="618"/>
      <c r="K36" s="618"/>
      <c r="L36" s="618"/>
      <c r="M36" s="618"/>
      <c r="N36" s="618"/>
      <c r="O36" s="618"/>
      <c r="P36" s="618"/>
      <c r="Q36" s="618"/>
      <c r="R36" s="779"/>
      <c r="S36"/>
    </row>
    <row r="37" spans="2:19" ht="21.15" customHeight="1">
      <c r="B37" s="517" t="s">
        <v>60</v>
      </c>
      <c r="C37" s="537">
        <v>24</v>
      </c>
      <c r="D37" s="537">
        <v>24</v>
      </c>
      <c r="E37" s="537">
        <v>18</v>
      </c>
      <c r="F37" s="537">
        <v>245</v>
      </c>
      <c r="G37" s="576">
        <f>F37/C37</f>
        <v>10.208333333333334</v>
      </c>
      <c r="H37" s="539" t="s">
        <v>388</v>
      </c>
      <c r="I37" s="617">
        <v>2.0792079207920793</v>
      </c>
      <c r="J37" s="617"/>
      <c r="K37" s="617"/>
      <c r="L37" s="617"/>
      <c r="M37" s="617"/>
      <c r="N37" s="617"/>
      <c r="O37" s="617"/>
      <c r="P37" s="617"/>
      <c r="Q37" s="617"/>
      <c r="R37" s="779"/>
      <c r="S37"/>
    </row>
    <row r="38" spans="2:19" ht="21.15" customHeight="1">
      <c r="B38" s="535">
        <v>2023</v>
      </c>
      <c r="C38" s="538">
        <v>23</v>
      </c>
      <c r="D38" s="538">
        <v>23</v>
      </c>
      <c r="E38" s="538">
        <v>23</v>
      </c>
      <c r="F38" s="538">
        <v>196</v>
      </c>
      <c r="G38" s="576">
        <f>F38/C38</f>
        <v>8.521739130434783</v>
      </c>
      <c r="H38" s="538">
        <v>12.40</v>
      </c>
      <c r="I38" s="619">
        <v>2.217936354869817</v>
      </c>
      <c r="J38" s="619"/>
      <c r="K38" s="619"/>
      <c r="L38" s="619"/>
      <c r="M38" s="619"/>
      <c r="N38" s="619"/>
      <c r="O38" s="619"/>
      <c r="P38" s="619"/>
      <c r="Q38" s="619"/>
      <c r="R38" s="779"/>
      <c r="S38"/>
    </row>
    <row r="39" spans="2:19" ht="21.15" customHeight="1">
      <c r="B39" s="503"/>
      <c r="C39" s="504"/>
      <c r="D39" s="504"/>
      <c r="E39" s="504"/>
      <c r="F39" s="504"/>
      <c r="G39"/>
      <c r="H39"/>
      <c r="I39" s="190"/>
      <c r="J39" s="190"/>
      <c r="K39"/>
      <c r="L39"/>
      <c r="M39"/>
      <c r="N39"/>
      <c r="O39"/>
      <c r="P39"/>
      <c r="Q39"/>
      <c r="R39"/>
      <c r="S39"/>
    </row>
    <row r="40" spans="2:17" ht="21.15" customHeight="1">
      <c r="B40" s="92" t="s">
        <v>362</v>
      </c>
      <c r="C40" s="92"/>
      <c r="D40" s="92"/>
      <c r="E40" s="92"/>
      <c r="F40" s="92"/>
      <c r="K40" s="92"/>
      <c r="L40" s="92"/>
      <c r="M40" s="92"/>
      <c r="N40" s="92"/>
      <c r="O40" s="92"/>
      <c r="P40" s="92"/>
      <c r="Q40" s="92"/>
    </row>
    <row r="41" spans="2:19" ht="55.5" customHeight="1">
      <c r="B41" s="369" t="s">
        <v>61</v>
      </c>
      <c r="C41" s="369" t="s">
        <v>184</v>
      </c>
      <c r="D41" s="369" t="s">
        <v>73</v>
      </c>
      <c r="E41" s="369" t="s">
        <v>74</v>
      </c>
      <c r="F41" s="369" t="s">
        <v>62</v>
      </c>
      <c r="G41" s="369" t="s">
        <v>63</v>
      </c>
      <c r="H41" s="369" t="s">
        <v>75</v>
      </c>
      <c r="I41" s="369" t="s">
        <v>183</v>
      </c>
      <c r="J41" s="369"/>
      <c r="K41" s="369"/>
      <c r="L41" s="369"/>
      <c r="M41" s="369"/>
      <c r="N41" s="369"/>
      <c r="O41" s="369"/>
      <c r="P41" s="369"/>
      <c r="Q41" s="369"/>
      <c r="R41" s="229" t="s">
        <v>5</v>
      </c>
      <c r="S41"/>
    </row>
    <row r="42" spans="2:19" ht="21.15" customHeight="1" thickBot="1">
      <c r="B42" s="516" t="s">
        <v>64</v>
      </c>
      <c r="C42" s="520">
        <v>30</v>
      </c>
      <c r="D42" s="520">
        <v>17</v>
      </c>
      <c r="E42" s="520">
        <v>13</v>
      </c>
      <c r="F42" s="621">
        <v>98</v>
      </c>
      <c r="G42" s="621">
        <v>3.27</v>
      </c>
      <c r="H42" s="536"/>
      <c r="I42" s="511"/>
      <c r="J42" s="511"/>
      <c r="K42" s="511"/>
      <c r="L42" s="511"/>
      <c r="M42" s="511"/>
      <c r="N42" s="511"/>
      <c r="O42" s="511"/>
      <c r="P42" s="511"/>
      <c r="Q42" s="511"/>
      <c r="R42" s="779" t="s">
        <v>224</v>
      </c>
      <c r="S42"/>
    </row>
    <row r="43" spans="2:19" ht="21.15" customHeight="1" thickBot="1">
      <c r="B43" s="517" t="s">
        <v>59</v>
      </c>
      <c r="C43" s="521">
        <v>26</v>
      </c>
      <c r="D43" s="521">
        <v>14</v>
      </c>
      <c r="E43" s="521">
        <v>12</v>
      </c>
      <c r="F43" s="621">
        <v>465</v>
      </c>
      <c r="G43" s="621">
        <v>17.88</v>
      </c>
      <c r="H43" s="537"/>
      <c r="I43" s="513"/>
      <c r="J43" s="513"/>
      <c r="K43" s="513"/>
      <c r="L43" s="513"/>
      <c r="M43" s="513"/>
      <c r="N43" s="513"/>
      <c r="O43" s="513"/>
      <c r="P43" s="513"/>
      <c r="Q43" s="513"/>
      <c r="R43" s="779"/>
      <c r="S43"/>
    </row>
    <row r="44" spans="2:19" ht="21.15" customHeight="1" thickBot="1">
      <c r="B44" s="517" t="s">
        <v>60</v>
      </c>
      <c r="C44" s="521">
        <v>23</v>
      </c>
      <c r="D44" s="521">
        <v>10</v>
      </c>
      <c r="E44" s="521">
        <v>13</v>
      </c>
      <c r="F44" s="621">
        <v>308</v>
      </c>
      <c r="G44" s="621">
        <v>13.39</v>
      </c>
      <c r="H44" s="539"/>
      <c r="I44" s="511"/>
      <c r="J44" s="511"/>
      <c r="K44" s="511"/>
      <c r="L44" s="511"/>
      <c r="M44" s="511"/>
      <c r="N44" s="511"/>
      <c r="O44" s="511"/>
      <c r="P44" s="511"/>
      <c r="Q44" s="511"/>
      <c r="R44" s="779"/>
      <c r="S44"/>
    </row>
    <row r="45" spans="2:19" ht="21.15" customHeight="1" thickBot="1">
      <c r="B45" s="535">
        <v>2023</v>
      </c>
      <c r="C45" s="518">
        <v>16</v>
      </c>
      <c r="D45" s="518">
        <v>7</v>
      </c>
      <c r="E45" s="518">
        <v>9</v>
      </c>
      <c r="F45" s="622">
        <v>965</v>
      </c>
      <c r="G45" s="621">
        <v>60.31</v>
      </c>
      <c r="H45" s="538">
        <v>1.27</v>
      </c>
      <c r="I45" s="371">
        <v>0.99</v>
      </c>
      <c r="J45" s="371"/>
      <c r="K45" s="371"/>
      <c r="L45" s="371"/>
      <c r="M45" s="371"/>
      <c r="N45" s="371"/>
      <c r="O45" s="371"/>
      <c r="P45" s="371"/>
      <c r="Q45" s="371"/>
      <c r="R45" s="779"/>
      <c r="S45"/>
    </row>
    <row r="46" ht="21.15" customHeight="1"/>
    <row r="47" spans="2:19" ht="18.75" customHeight="1">
      <c r="B47" s="92" t="s">
        <v>223</v>
      </c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/>
      <c r="S47"/>
    </row>
    <row r="48" spans="2:19" ht="30.15" customHeight="1">
      <c r="B48" s="160"/>
      <c r="C48" s="3" t="s">
        <v>0</v>
      </c>
      <c r="D48" s="3"/>
      <c r="E48" s="853"/>
      <c r="F48" s="854" t="s">
        <v>142</v>
      </c>
      <c r="G48" s="3"/>
      <c r="H48" s="3"/>
      <c r="I48" s="853"/>
      <c r="J48" s="854" t="s">
        <v>37</v>
      </c>
      <c r="K48" s="3"/>
      <c r="L48" s="3"/>
      <c r="M48" s="853"/>
      <c r="N48" s="854" t="s">
        <v>182</v>
      </c>
      <c r="O48" s="3"/>
      <c r="P48" s="3"/>
      <c r="Q48" s="853"/>
      <c r="R48" s="69" t="s">
        <v>5</v>
      </c>
      <c r="S48"/>
    </row>
    <row r="49" spans="2:19" ht="30.15" customHeight="1">
      <c r="B49" s="377"/>
      <c r="C49" s="377">
        <v>2021</v>
      </c>
      <c r="D49" s="377">
        <v>2022</v>
      </c>
      <c r="E49" s="385">
        <v>2023</v>
      </c>
      <c r="F49" s="377">
        <v>2020</v>
      </c>
      <c r="G49" s="377">
        <v>2021</v>
      </c>
      <c r="H49" s="377">
        <v>2022</v>
      </c>
      <c r="I49" s="385">
        <v>2023</v>
      </c>
      <c r="J49" s="377">
        <v>2020</v>
      </c>
      <c r="K49" s="377">
        <v>2021</v>
      </c>
      <c r="L49" s="377">
        <v>2022</v>
      </c>
      <c r="M49" s="385">
        <v>2023</v>
      </c>
      <c r="N49" s="377">
        <v>2020</v>
      </c>
      <c r="O49" s="377">
        <v>2021</v>
      </c>
      <c r="P49" s="502" t="s">
        <v>60</v>
      </c>
      <c r="Q49" s="385">
        <v>2023</v>
      </c>
      <c r="R49" s="782" t="s">
        <v>224</v>
      </c>
      <c r="S49"/>
    </row>
    <row r="50" spans="2:19" ht="30.15" customHeight="1">
      <c r="B50" s="378" t="s">
        <v>458</v>
      </c>
      <c r="C50" s="379">
        <v>229</v>
      </c>
      <c r="D50" s="379">
        <v>186</v>
      </c>
      <c r="E50" s="600">
        <v>184</v>
      </c>
      <c r="F50" s="379">
        <v>10</v>
      </c>
      <c r="G50" s="379">
        <v>12</v>
      </c>
      <c r="H50" s="379">
        <v>7</v>
      </c>
      <c r="I50" s="522">
        <v>9</v>
      </c>
      <c r="J50" s="181">
        <v>48</v>
      </c>
      <c r="K50" s="523" t="s">
        <v>93</v>
      </c>
      <c r="L50" s="523" t="s">
        <v>94</v>
      </c>
      <c r="M50" s="522">
        <v>20</v>
      </c>
      <c r="N50" s="524">
        <v>30</v>
      </c>
      <c r="O50" s="524">
        <v>26</v>
      </c>
      <c r="P50" s="524">
        <v>23</v>
      </c>
      <c r="Q50" s="522">
        <v>16</v>
      </c>
      <c r="R50" s="782"/>
      <c r="S50"/>
    </row>
    <row r="51" spans="2:19" ht="30.15" customHeight="1">
      <c r="B51" s="380" t="s">
        <v>459</v>
      </c>
      <c r="C51" s="381">
        <v>74</v>
      </c>
      <c r="D51" s="184">
        <v>51</v>
      </c>
      <c r="E51" s="601">
        <v>47</v>
      </c>
      <c r="F51" s="184">
        <v>11</v>
      </c>
      <c r="G51" s="382">
        <v>16</v>
      </c>
      <c r="H51" s="382">
        <v>9</v>
      </c>
      <c r="I51" s="526">
        <v>20</v>
      </c>
      <c r="J51" s="184">
        <v>23</v>
      </c>
      <c r="K51" s="525" t="s">
        <v>95</v>
      </c>
      <c r="L51" s="525" t="s">
        <v>95</v>
      </c>
      <c r="M51" s="526">
        <v>22</v>
      </c>
      <c r="N51" s="381">
        <v>5</v>
      </c>
      <c r="O51" s="381">
        <v>12</v>
      </c>
      <c r="P51" s="525" t="s">
        <v>88</v>
      </c>
      <c r="Q51" s="526">
        <v>8</v>
      </c>
      <c r="R51" s="782"/>
      <c r="S51"/>
    </row>
    <row r="52" spans="2:19" ht="30.15" customHeight="1">
      <c r="B52" s="380" t="s">
        <v>323</v>
      </c>
      <c r="C52" s="382">
        <v>5049</v>
      </c>
      <c r="D52" s="183">
        <v>4913</v>
      </c>
      <c r="E52" s="527">
        <v>4406</v>
      </c>
      <c r="F52" s="184">
        <v>460</v>
      </c>
      <c r="G52" s="525">
        <v>558</v>
      </c>
      <c r="H52" s="525">
        <v>477</v>
      </c>
      <c r="I52" s="528">
        <v>778</v>
      </c>
      <c r="J52" s="184">
        <v>604</v>
      </c>
      <c r="K52" s="525" t="s">
        <v>96</v>
      </c>
      <c r="L52" s="525" t="s">
        <v>97</v>
      </c>
      <c r="M52" s="528">
        <v>196</v>
      </c>
      <c r="N52" s="381">
        <v>81</v>
      </c>
      <c r="O52" s="381">
        <v>456</v>
      </c>
      <c r="P52" s="525" t="s">
        <v>89</v>
      </c>
      <c r="Q52" s="528">
        <v>644</v>
      </c>
      <c r="R52" s="782"/>
      <c r="S52"/>
    </row>
    <row r="53" spans="2:19" ht="30.15" customHeight="1">
      <c r="B53" s="380" t="s">
        <v>180</v>
      </c>
      <c r="C53" s="382">
        <v>65668</v>
      </c>
      <c r="D53" s="183">
        <v>68515</v>
      </c>
      <c r="E53" s="528">
        <v>59347.91</v>
      </c>
      <c r="F53" s="598">
        <v>16884</v>
      </c>
      <c r="G53" s="382">
        <v>14226</v>
      </c>
      <c r="H53" s="382">
        <v>16976</v>
      </c>
      <c r="I53" s="528">
        <v>14994</v>
      </c>
      <c r="J53" s="163" t="s">
        <v>34</v>
      </c>
      <c r="K53" s="525" t="s">
        <v>98</v>
      </c>
      <c r="L53" s="525" t="s">
        <v>99</v>
      </c>
      <c r="M53" s="528">
        <v>46</v>
      </c>
      <c r="N53" s="529">
        <v>7391</v>
      </c>
      <c r="O53" s="382">
        <v>7375.152352941172</v>
      </c>
      <c r="P53" s="382">
        <v>7368</v>
      </c>
      <c r="Q53" s="528">
        <v>6996</v>
      </c>
      <c r="R53" s="782"/>
      <c r="S53"/>
    </row>
    <row r="54" spans="2:19" ht="30.15" customHeight="1">
      <c r="B54" s="383" t="s">
        <v>181</v>
      </c>
      <c r="C54" s="384">
        <f>247/C53</f>
        <v>0.0037613449473107145</v>
      </c>
      <c r="D54" s="501">
        <f>247/D53</f>
        <v>0.003605049989053492</v>
      </c>
      <c r="E54" s="599">
        <f>247/E53</f>
        <v>0.0041618988773151405</v>
      </c>
      <c r="F54" s="186">
        <v>0</v>
      </c>
      <c r="G54" s="530" t="s">
        <v>91</v>
      </c>
      <c r="H54" s="530" t="s">
        <v>92</v>
      </c>
      <c r="I54" s="599">
        <v>0.0017</v>
      </c>
      <c r="J54" s="531">
        <v>0.031685892107626436</v>
      </c>
      <c r="K54" s="530" t="s">
        <v>100</v>
      </c>
      <c r="L54" s="530" t="s">
        <v>101</v>
      </c>
      <c r="M54" s="532">
        <v>1.0E-4</v>
      </c>
      <c r="N54" s="384">
        <v>0.0211</v>
      </c>
      <c r="O54" s="384">
        <v>0.0237</v>
      </c>
      <c r="P54" s="530" t="s">
        <v>90</v>
      </c>
      <c r="Q54" s="532">
        <v>0.0356</v>
      </c>
      <c r="R54" s="782"/>
      <c r="S54"/>
    </row>
    <row r="56" spans="5:5" ht="14.4">
      <c r="E56" s="368"/>
    </row>
    <row r="57" spans="2:5" ht="18">
      <c r="B57" s="92" t="s">
        <v>363</v>
      </c>
      <c r="E57" s="368"/>
    </row>
    <row r="58" spans="2:19" ht="14.4" customHeight="1">
      <c r="B58" s="160"/>
      <c r="C58" s="506" t="s">
        <v>0</v>
      </c>
      <c r="D58" s="507"/>
      <c r="E58" s="854" t="s">
        <v>142</v>
      </c>
      <c r="F58" s="3"/>
      <c r="G58" s="3" t="s">
        <v>37</v>
      </c>
      <c r="H58" s="853"/>
      <c r="I58" s="854" t="s">
        <v>182</v>
      </c>
      <c r="J58" s="3"/>
      <c r="K58" s="3"/>
      <c r="L58" s="3"/>
      <c r="M58" s="3"/>
      <c r="N58" s="3"/>
      <c r="O58" s="160"/>
      <c r="P58" s="160"/>
      <c r="Q58" s="160"/>
      <c r="R58" s="3" t="s">
        <v>5</v>
      </c>
      <c r="S58"/>
    </row>
    <row r="59" spans="2:19" ht="14.4" customHeight="1">
      <c r="B59" s="377"/>
      <c r="C59" s="377">
        <v>2022</v>
      </c>
      <c r="D59" s="385">
        <v>2023</v>
      </c>
      <c r="E59" s="377">
        <v>2022</v>
      </c>
      <c r="F59" s="385">
        <v>2023</v>
      </c>
      <c r="G59" s="377">
        <v>2022</v>
      </c>
      <c r="H59" s="385">
        <v>2023</v>
      </c>
      <c r="I59" s="502" t="s">
        <v>60</v>
      </c>
      <c r="J59" s="377">
        <v>2023</v>
      </c>
      <c r="K59" s="502"/>
      <c r="L59" s="377"/>
      <c r="M59" s="502"/>
      <c r="N59" s="377"/>
      <c r="O59" s="502"/>
      <c r="P59" s="377"/>
      <c r="Q59" s="377"/>
      <c r="R59" s="3"/>
      <c r="S59"/>
    </row>
    <row r="60" spans="2:19" ht="27.6">
      <c r="B60" s="378" t="s">
        <v>365</v>
      </c>
      <c r="C60" s="514"/>
      <c r="D60" s="602"/>
      <c r="E60" s="514">
        <v>0.97</v>
      </c>
      <c r="F60" s="533">
        <v>0.95</v>
      </c>
      <c r="G60" s="514">
        <v>0.96</v>
      </c>
      <c r="H60" s="533">
        <v>0.91</v>
      </c>
      <c r="I60" s="515">
        <v>1</v>
      </c>
      <c r="J60" s="730">
        <v>0.92</v>
      </c>
      <c r="K60" s="515"/>
      <c r="L60" s="730"/>
      <c r="M60" s="515"/>
      <c r="N60" s="730"/>
      <c r="O60" s="515"/>
      <c r="P60" s="730"/>
      <c r="Q60" s="730"/>
      <c r="R60" s="782" t="s">
        <v>357</v>
      </c>
      <c r="S60"/>
    </row>
    <row r="61" spans="2:19" ht="14.4">
      <c r="B61" s="380" t="s">
        <v>364</v>
      </c>
      <c r="C61" s="382">
        <v>2153</v>
      </c>
      <c r="D61" s="534">
        <v>1664</v>
      </c>
      <c r="E61" s="382"/>
      <c r="F61" s="528">
        <v>240</v>
      </c>
      <c r="G61" s="382"/>
      <c r="H61" s="528">
        <v>27</v>
      </c>
      <c r="I61" s="382"/>
      <c r="J61" s="731">
        <v>4</v>
      </c>
      <c r="K61" s="382"/>
      <c r="L61" s="731"/>
      <c r="M61" s="382"/>
      <c r="N61" s="731"/>
      <c r="O61" s="382"/>
      <c r="P61" s="731"/>
      <c r="Q61" s="731"/>
      <c r="R61" s="782"/>
      <c r="S61"/>
    </row>
    <row r="62" spans="2:19" ht="14.4">
      <c r="B62" s="380" t="s">
        <v>366</v>
      </c>
      <c r="C62" s="382">
        <v>1620</v>
      </c>
      <c r="D62" s="534">
        <v>2001</v>
      </c>
      <c r="E62" s="382"/>
      <c r="F62" s="528">
        <v>1600</v>
      </c>
      <c r="G62" s="382"/>
      <c r="H62" s="528">
        <v>633</v>
      </c>
      <c r="I62" s="382"/>
      <c r="J62" s="731">
        <v>108</v>
      </c>
      <c r="K62" s="382"/>
      <c r="L62" s="731"/>
      <c r="M62" s="382"/>
      <c r="N62" s="731"/>
      <c r="O62" s="382"/>
      <c r="P62" s="731"/>
      <c r="Q62" s="731"/>
      <c r="R62" s="782"/>
      <c r="S62"/>
    </row>
    <row r="63" spans="2:19" ht="27.6">
      <c r="B63" s="380" t="s">
        <v>368</v>
      </c>
      <c r="C63" s="382">
        <v>1590</v>
      </c>
      <c r="D63" s="534">
        <v>1650</v>
      </c>
      <c r="E63" s="382"/>
      <c r="F63" s="528"/>
      <c r="G63" s="382"/>
      <c r="H63" s="528">
        <v>167</v>
      </c>
      <c r="I63" s="382"/>
      <c r="J63" s="731"/>
      <c r="K63" s="382"/>
      <c r="L63" s="731"/>
      <c r="M63" s="382"/>
      <c r="N63" s="731"/>
      <c r="O63" s="382"/>
      <c r="P63" s="731"/>
      <c r="Q63" s="731"/>
      <c r="R63" s="782"/>
      <c r="S63"/>
    </row>
    <row r="64" spans="2:19" ht="27.6">
      <c r="B64" s="383" t="s">
        <v>367</v>
      </c>
      <c r="C64" s="382">
        <v>8</v>
      </c>
      <c r="D64" s="534">
        <v>35</v>
      </c>
      <c r="E64" s="382"/>
      <c r="F64" s="534"/>
      <c r="G64" s="382"/>
      <c r="H64" s="534"/>
      <c r="I64" s="382"/>
      <c r="J64" s="598"/>
      <c r="K64" s="382"/>
      <c r="L64" s="598"/>
      <c r="M64" s="382"/>
      <c r="N64" s="598"/>
      <c r="O64" s="382"/>
      <c r="P64" s="598"/>
      <c r="Q64" s="598"/>
      <c r="R64" s="782"/>
      <c r="S64"/>
    </row>
    <row r="65" spans="2:19" ht="27.6">
      <c r="B65" s="508" t="s">
        <v>369</v>
      </c>
      <c r="C65" s="382">
        <v>14</v>
      </c>
      <c r="D65" s="534">
        <v>3</v>
      </c>
      <c r="E65" s="382"/>
      <c r="F65" s="534"/>
      <c r="G65" s="382"/>
      <c r="H65" s="534"/>
      <c r="I65" s="382"/>
      <c r="J65" s="183">
        <v>5</v>
      </c>
      <c r="K65" s="382"/>
      <c r="L65" s="183"/>
      <c r="M65" s="382"/>
      <c r="N65" s="183"/>
      <c r="O65" s="382"/>
      <c r="P65" s="183"/>
      <c r="Q65" s="183"/>
      <c r="R65" s="782"/>
      <c r="S65"/>
    </row>
    <row r="66" spans="5:18" ht="14.4">
      <c r="E66" s="368"/>
      <c r="R66"/>
    </row>
    <row r="67" spans="5:5" ht="14.4">
      <c r="E67" s="368"/>
    </row>
    <row r="68" spans="5:5" ht="14.4">
      <c r="E68" s="368"/>
    </row>
    <row r="69" spans="5:5" ht="14.4">
      <c r="E69" s="368"/>
    </row>
    <row r="70" spans="5:5" ht="14.4">
      <c r="E70" s="368"/>
    </row>
    <row r="71" spans="5:5" ht="14.4">
      <c r="E71" s="368"/>
    </row>
    <row r="72" spans="5:5" ht="14.4">
      <c r="E72" s="368"/>
    </row>
    <row r="73" spans="5:5" ht="14.4">
      <c r="E73" s="368"/>
    </row>
    <row r="74" spans="12:19" ht="14.4">
      <c r="L74"/>
      <c r="M74"/>
      <c r="N74"/>
      <c r="O74"/>
      <c r="P74"/>
      <c r="Q74"/>
      <c r="R74"/>
      <c r="S74"/>
    </row>
    <row r="75" spans="12:19" ht="14.4">
      <c r="L75"/>
      <c r="M75"/>
      <c r="N75"/>
      <c r="O75"/>
      <c r="P75"/>
      <c r="Q75"/>
      <c r="R75"/>
      <c r="S75"/>
    </row>
    <row r="76" spans="12:19" ht="14.4">
      <c r="L76"/>
      <c r="M76"/>
      <c r="N76"/>
      <c r="O76"/>
      <c r="P76"/>
      <c r="Q76"/>
      <c r="R76"/>
      <c r="S76"/>
    </row>
  </sheetData>
  <mergeCells count="22">
    <mergeCell ref="B9:C9"/>
    <mergeCell ref="B10:C10"/>
    <mergeCell ref="G58:H58"/>
    <mergeCell ref="E58:F58"/>
    <mergeCell ref="R21:R23"/>
    <mergeCell ref="C15:E15"/>
    <mergeCell ref="C16:E16"/>
    <mergeCell ref="R15:R17"/>
    <mergeCell ref="R9:R10"/>
    <mergeCell ref="R28:R31"/>
    <mergeCell ref="R35:R38"/>
    <mergeCell ref="R42:R45"/>
    <mergeCell ref="R49:R54"/>
    <mergeCell ref="C48:E48"/>
    <mergeCell ref="F48:I48"/>
    <mergeCell ref="J48:M48"/>
    <mergeCell ref="R60:R65"/>
    <mergeCell ref="R58:R59"/>
    <mergeCell ref="I58:J58"/>
    <mergeCell ref="N48:Q48"/>
    <mergeCell ref="K58:L58"/>
    <mergeCell ref="M58:N58"/>
  </mergeCells>
  <pageMargins left="0.7" right="0.7" top="0.75" bottom="0.75" header="0.3" footer="0.3"/>
  <pageSetup orientation="portrait" paperSize="9" r:id="rId2"/>
  <headerFooter scaleWithDoc="0"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3CEFB3B-51EA-4FB6-A9B2-A871C5A487AB}">
  <sheetPr>
    <tabColor rgb="FF002060"/>
  </sheetPr>
  <dimension ref="A1"/>
  <sheetViews>
    <sheetView showGridLines="0" rightToLeft="1" zoomScale="85" zoomScaleNormal="85" workbookViewId="0" topLeftCell="A13">
      <selection pane="topLeft" activeCell="D26" sqref="D26"/>
    </sheetView>
  </sheetViews>
  <sheetFormatPr defaultColWidth="9.114285714285714" defaultRowHeight="14.4"/>
  <cols>
    <col min="1" max="5" width="9.142857142857142" style="476" customWidth="1"/>
    <col min="6" max="16384" width="9.142857142857142" style="476"/>
  </cols>
  <sheetData/>
  <pageMargins left="0.7" right="0.7" top="0.75" bottom="0.75" header="0.3" footer="0.3"/>
  <pageSetup orientation="portrait" paperSize="9" r:id="rId2"/>
  <headerFooter scaleWithDoc="0"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602399B-BBFD-443C-868A-EC7CDF67A022}">
  <dimension ref="B5:O35"/>
  <sheetViews>
    <sheetView showGridLines="0" rightToLeft="1" tabSelected="1" workbookViewId="0" topLeftCell="A1">
      <selection pane="topLeft" activeCell="Q18" sqref="Q18"/>
    </sheetView>
  </sheetViews>
  <sheetFormatPr defaultColWidth="9.114285714285714" defaultRowHeight="14.4"/>
  <cols>
    <col min="1" max="1" width="3.7142857142857144" customWidth="1"/>
    <col min="2" max="11" width="10.714285714285714" style="64" customWidth="1"/>
  </cols>
  <sheetData>
    <row r="1" ht="15" customHeight="1"/>
    <row r="2" ht="15" customHeight="1"/>
    <row r="3" ht="15" customHeight="1"/>
    <row r="4" ht="15" customHeight="1"/>
    <row r="5" spans="2:15" ht="24" customHeight="1" thickBot="1">
      <c r="B5" s="65" t="s">
        <v>344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</row>
    <row r="6" ht="21.15" customHeight="1" thickTop="1"/>
    <row r="7" spans="2:11" ht="21.15" customHeight="1">
      <c r="B7"/>
      <c r="C7"/>
      <c r="D7"/>
      <c r="E7"/>
      <c r="F7"/>
      <c r="G7"/>
      <c r="H7"/>
      <c r="I7"/>
      <c r="J7"/>
      <c r="K7"/>
    </row>
    <row r="8" spans="2:11" ht="21.15" customHeight="1">
      <c r="B8"/>
      <c r="C8"/>
      <c r="D8"/>
      <c r="E8"/>
      <c r="F8"/>
      <c r="G8"/>
      <c r="H8"/>
      <c r="I8"/>
      <c r="J8"/>
      <c r="K8"/>
    </row>
    <row r="9" spans="2:12" s="50" customFormat="1" ht="21.15" customHeight="1">
      <c r="B9"/>
      <c r="C9"/>
      <c r="D9"/>
      <c r="E9"/>
      <c r="F9"/>
      <c r="G9"/>
      <c r="H9"/>
      <c r="I9"/>
      <c r="J9"/>
      <c r="K9"/>
      <c r="L9"/>
    </row>
    <row r="10" spans="2:12" s="50" customFormat="1" ht="21.15" customHeight="1">
      <c r="B10"/>
      <c r="C10"/>
      <c r="D10"/>
      <c r="E10"/>
      <c r="F10"/>
      <c r="G10"/>
      <c r="H10"/>
      <c r="I10"/>
      <c r="J10"/>
      <c r="K10"/>
      <c r="L10"/>
    </row>
    <row r="11" spans="2:11" ht="21.15" customHeight="1">
      <c r="B11"/>
      <c r="C11"/>
      <c r="D11"/>
      <c r="E11"/>
      <c r="F11"/>
      <c r="G11"/>
      <c r="H11"/>
      <c r="I11"/>
      <c r="J11"/>
      <c r="K11"/>
    </row>
    <row r="12" spans="2:11" ht="21.15" customHeight="1">
      <c r="B12"/>
      <c r="C12"/>
      <c r="D12"/>
      <c r="E12"/>
      <c r="F12"/>
      <c r="G12"/>
      <c r="H12"/>
      <c r="I12"/>
      <c r="J12"/>
      <c r="K12"/>
    </row>
    <row r="13" spans="2:11" ht="21.15" customHeight="1">
      <c r="B13"/>
      <c r="C13"/>
      <c r="D13"/>
      <c r="E13"/>
      <c r="F13"/>
      <c r="G13"/>
      <c r="H13"/>
      <c r="I13"/>
      <c r="J13"/>
      <c r="K13"/>
    </row>
    <row r="14" spans="2:12" s="50" customFormat="1" ht="21.15" customHeight="1">
      <c r="B14"/>
      <c r="C14"/>
      <c r="D14"/>
      <c r="E14"/>
      <c r="F14"/>
      <c r="G14"/>
      <c r="H14"/>
      <c r="I14"/>
      <c r="J14"/>
      <c r="K14"/>
      <c r="L14"/>
    </row>
    <row r="15" spans="2:12" s="50" customFormat="1" ht="21.15" customHeight="1">
      <c r="B15"/>
      <c r="C15"/>
      <c r="D15"/>
      <c r="E15"/>
      <c r="F15"/>
      <c r="G15"/>
      <c r="H15"/>
      <c r="I15"/>
      <c r="J15"/>
      <c r="K15"/>
      <c r="L15"/>
    </row>
    <row r="16" spans="2:12" s="50" customFormat="1" ht="21.15" customHeight="1">
      <c r="B16"/>
      <c r="C16"/>
      <c r="D16"/>
      <c r="E16"/>
      <c r="F16"/>
      <c r="G16"/>
      <c r="H16"/>
      <c r="I16"/>
      <c r="J16"/>
      <c r="K16"/>
      <c r="L16"/>
    </row>
    <row r="17" spans="2:13" ht="21.15" customHeight="1">
      <c r="B17"/>
      <c r="C17"/>
      <c r="D17"/>
      <c r="E17"/>
      <c r="F17"/>
      <c r="G17"/>
      <c r="H17"/>
      <c r="I17"/>
      <c r="J17"/>
      <c r="K17"/>
      <c r="M17" s="50"/>
    </row>
    <row r="18" spans="2:13" ht="21.15" customHeight="1">
      <c r="B18"/>
      <c r="C18"/>
      <c r="D18"/>
      <c r="E18"/>
      <c r="F18"/>
      <c r="G18"/>
      <c r="H18"/>
      <c r="I18"/>
      <c r="J18"/>
      <c r="K18"/>
      <c r="M18" s="50"/>
    </row>
    <row r="19" spans="2:12" s="50" customFormat="1" ht="21.15" customHeight="1">
      <c r="B19"/>
      <c r="C19"/>
      <c r="D19"/>
      <c r="E19"/>
      <c r="F19"/>
      <c r="G19"/>
      <c r="H19"/>
      <c r="I19"/>
      <c r="J19"/>
      <c r="K19"/>
      <c r="L19"/>
    </row>
    <row r="20" spans="2:14" s="50" customFormat="1" ht="21.15" customHeight="1"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2:14" s="50" customFormat="1" ht="21.15" customHeight="1"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2:14" s="50" customFormat="1" ht="21.15" customHeight="1"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2:11" ht="21.15" customHeight="1">
      <c r="B23"/>
      <c r="C23"/>
      <c r="D23"/>
      <c r="E23"/>
      <c r="F23"/>
      <c r="G23"/>
      <c r="H23"/>
      <c r="I23"/>
      <c r="J23"/>
      <c r="K23"/>
    </row>
    <row r="24" spans="2:11" ht="21.15" customHeight="1">
      <c r="B24"/>
      <c r="C24"/>
      <c r="D24"/>
      <c r="E24"/>
      <c r="F24"/>
      <c r="G24"/>
      <c r="H24"/>
      <c r="I24"/>
      <c r="J24"/>
      <c r="K24"/>
    </row>
    <row r="25" spans="2:11" ht="21.15" customHeight="1">
      <c r="B25"/>
      <c r="C25"/>
      <c r="D25"/>
      <c r="E25"/>
      <c r="F25"/>
      <c r="G25"/>
      <c r="H25"/>
      <c r="I25"/>
      <c r="J25"/>
      <c r="K25"/>
    </row>
    <row r="26" spans="2:14" s="50" customFormat="1" ht="21.15" customHeight="1">
      <c r="B26"/>
      <c r="C26"/>
      <c r="D26"/>
      <c r="E26"/>
      <c r="F26"/>
      <c r="G26"/>
      <c r="H26"/>
      <c r="I26"/>
      <c r="J26"/>
      <c r="K26"/>
      <c r="L26"/>
      <c r="M26"/>
      <c r="N26"/>
    </row>
    <row r="27" ht="21.15" customHeight="1"/>
    <row r="28" spans="2:2" ht="21.15" customHeight="1">
      <c r="B28" s="64" t="s">
        <v>470</v>
      </c>
    </row>
    <row r="29" ht="21.15" customHeight="1"/>
    <row r="30" ht="21.15" customHeight="1"/>
    <row r="31" ht="21.15" customHeight="1"/>
    <row r="32" ht="21.15" customHeight="1"/>
    <row r="33" ht="21.15" customHeight="1"/>
    <row r="34" ht="21.15" customHeight="1"/>
    <row r="35" spans="14:14" ht="21.15" customHeight="1">
      <c r="N35" t="s">
        <v>422</v>
      </c>
    </row>
    <row r="36" ht="21.15" customHeight="1"/>
    <row r="37" ht="21.15" customHeight="1"/>
    <row r="38" ht="21.15" customHeight="1"/>
    <row r="39" ht="21.15" customHeight="1"/>
    <row r="40" ht="21.15" customHeight="1"/>
    <row r="41" ht="21.15" customHeight="1"/>
    <row r="42" ht="21.15" customHeight="1"/>
    <row r="43" ht="21.15" customHeight="1"/>
    <row r="44" ht="21.15" customHeight="1"/>
    <row r="45" ht="21.15" customHeight="1"/>
    <row r="46" ht="21.15" customHeight="1"/>
    <row r="47" ht="21.15" customHeight="1"/>
    <row r="48" ht="21.15" customHeight="1"/>
    <row r="49" ht="21.15" customHeight="1"/>
    <row r="50" ht="21.15" customHeight="1"/>
  </sheetData>
  <pageMargins left="0.7" right="0.7" top="0.75" bottom="0.75" header="0.3" footer="0.3"/>
  <pageSetup orientation="portrait" paperSize="9" r:id="rId2"/>
  <headerFooter scaleWithDoc="0"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1CB0CAC-8EB1-42C4-95FD-69826C46E0BA}">
  <sheetPr>
    <tabColor rgb="FF002060"/>
  </sheetPr>
  <dimension ref="B2:L31"/>
  <sheetViews>
    <sheetView showGridLines="0" rightToLeft="1" workbookViewId="0" topLeftCell="A11">
      <selection pane="topLeft" activeCell="J27" sqref="J27"/>
    </sheetView>
  </sheetViews>
  <sheetFormatPr defaultColWidth="9.114285714285714" defaultRowHeight="14.4"/>
  <cols>
    <col min="1" max="1" width="3.7142857142857144" customWidth="1"/>
    <col min="2" max="2" width="45.57142857142857" customWidth="1"/>
    <col min="3" max="3" width="14.571428571428571" customWidth="1"/>
    <col min="4" max="4" width="4.857142857142857" customWidth="1"/>
    <col min="5" max="5" width="52.42857142857143" customWidth="1"/>
    <col min="11" max="11" width="9.714285714285714" customWidth="1"/>
  </cols>
  <sheetData>
    <row r="2" spans="6:6" ht="15.6">
      <c r="F2" s="49"/>
    </row>
    <row r="4" spans="5:5" ht="15.6">
      <c r="E4" s="49" t="s">
        <v>263</v>
      </c>
    </row>
    <row r="5" spans="2:12" ht="131.25" customHeight="1">
      <c r="B5" s="30" t="s">
        <v>262</v>
      </c>
      <c r="C5" s="30"/>
      <c r="D5" s="48"/>
      <c r="L5" s="555"/>
    </row>
    <row r="6" spans="3:6" ht="21" customHeight="1">
      <c r="C6" s="478"/>
      <c r="D6" s="48"/>
      <c r="E6" s="479"/>
      <c r="F6" s="479"/>
    </row>
    <row r="7" spans="2:2" ht="19.2" customHeight="1">
      <c r="B7" s="49" t="s">
        <v>264</v>
      </c>
    </row>
    <row r="8" spans="2:5" ht="27" customHeight="1">
      <c r="B8" s="341" t="s">
        <v>273</v>
      </c>
      <c r="C8" s="469" t="s">
        <v>267</v>
      </c>
      <c r="D8" s="50"/>
      <c r="E8" s="662" t="s">
        <v>383</v>
      </c>
    </row>
    <row r="9" spans="2:6" ht="21.15" customHeight="1">
      <c r="B9" s="51" t="s">
        <v>265</v>
      </c>
      <c r="C9" s="52"/>
      <c r="D9" s="50"/>
      <c r="E9" s="52"/>
      <c r="F9" s="477"/>
    </row>
    <row r="10" spans="2:6" ht="21.15" customHeight="1">
      <c r="B10" s="53" t="s">
        <v>266</v>
      </c>
      <c r="C10" s="54" t="s">
        <v>267</v>
      </c>
      <c r="D10" s="50"/>
      <c r="E10" s="685" t="s">
        <v>449</v>
      </c>
      <c r="F10" s="55"/>
    </row>
    <row r="11" spans="2:11" ht="18" customHeight="1">
      <c r="B11" s="56" t="s">
        <v>278</v>
      </c>
      <c r="C11" s="468" t="s">
        <v>267</v>
      </c>
      <c r="D11" s="50"/>
      <c r="E11" s="513" t="s">
        <v>450</v>
      </c>
      <c r="F11" s="57"/>
      <c r="K11" s="570"/>
    </row>
    <row r="12" spans="2:6" ht="26.4" customHeight="1">
      <c r="B12" s="56" t="s">
        <v>190</v>
      </c>
      <c r="C12" s="468" t="s">
        <v>267</v>
      </c>
      <c r="D12" s="50"/>
      <c r="E12" s="689" t="s">
        <v>451</v>
      </c>
      <c r="F12" s="57"/>
    </row>
    <row r="13" spans="2:6" ht="21.15" customHeight="1">
      <c r="B13" s="56" t="s">
        <v>268</v>
      </c>
      <c r="C13" s="468" t="s">
        <v>267</v>
      </c>
      <c r="D13" s="50"/>
      <c r="E13" s="690" t="s">
        <v>452</v>
      </c>
      <c r="F13" s="59"/>
    </row>
    <row r="14" spans="2:6" ht="21.15" customHeight="1">
      <c r="B14" s="58" t="s">
        <v>269</v>
      </c>
      <c r="C14" s="469" t="s">
        <v>267</v>
      </c>
      <c r="D14" s="50"/>
      <c r="E14" s="371" t="s">
        <v>453</v>
      </c>
      <c r="F14" s="679"/>
    </row>
    <row r="15" spans="2:4" ht="21.15" customHeight="1">
      <c r="B15" s="60"/>
      <c r="C15" s="61"/>
      <c r="D15" s="50"/>
    </row>
    <row r="16" spans="2:6" ht="21.15" customHeight="1">
      <c r="B16" s="51" t="s">
        <v>270</v>
      </c>
      <c r="C16" s="62"/>
      <c r="D16" s="50"/>
      <c r="E16" s="52"/>
      <c r="F16" s="477"/>
    </row>
    <row r="17" spans="2:6" ht="21.15" customHeight="1">
      <c r="B17" s="53" t="s">
        <v>126</v>
      </c>
      <c r="C17" s="54" t="s">
        <v>267</v>
      </c>
      <c r="D17" s="50"/>
      <c r="E17" s="685" t="s">
        <v>438</v>
      </c>
      <c r="F17" s="63"/>
    </row>
    <row r="18" spans="2:6" ht="21.15" customHeight="1">
      <c r="B18" s="56" t="s">
        <v>271</v>
      </c>
      <c r="C18" s="468" t="s">
        <v>267</v>
      </c>
      <c r="D18" s="50"/>
      <c r="E18" s="685" t="s">
        <v>439</v>
      </c>
      <c r="F18" s="675"/>
    </row>
    <row r="19" spans="2:6" ht="21.15" customHeight="1">
      <c r="B19" s="56" t="s">
        <v>220</v>
      </c>
      <c r="C19" s="468" t="s">
        <v>267</v>
      </c>
      <c r="D19" s="50"/>
      <c r="E19" s="685" t="s">
        <v>440</v>
      </c>
      <c r="F19" s="57"/>
    </row>
    <row r="20" spans="2:6" ht="21.15" customHeight="1">
      <c r="B20" s="56" t="s">
        <v>222</v>
      </c>
      <c r="C20" s="468" t="s">
        <v>267</v>
      </c>
      <c r="D20" s="50"/>
      <c r="E20" s="29" t="s">
        <v>441</v>
      </c>
      <c r="F20" s="57"/>
    </row>
    <row r="21" spans="2:6" ht="21.15" customHeight="1">
      <c r="B21" s="56" t="s">
        <v>272</v>
      </c>
      <c r="C21" s="468" t="s">
        <v>267</v>
      </c>
      <c r="D21" s="50"/>
      <c r="E21" s="29"/>
      <c r="F21" s="28"/>
    </row>
    <row r="22" spans="2:6" ht="21.15" customHeight="1">
      <c r="B22" s="56" t="s">
        <v>226</v>
      </c>
      <c r="C22" s="468" t="s">
        <v>267</v>
      </c>
      <c r="D22" s="50"/>
      <c r="E22" s="685" t="s">
        <v>442</v>
      </c>
      <c r="F22" s="28"/>
    </row>
    <row r="23" spans="2:6" ht="33" customHeight="1">
      <c r="B23" s="56" t="s">
        <v>227</v>
      </c>
      <c r="C23" s="468" t="s">
        <v>267</v>
      </c>
      <c r="D23" s="50"/>
      <c r="E23" s="513" t="s">
        <v>443</v>
      </c>
      <c r="F23" s="57"/>
    </row>
    <row r="24" spans="2:4" ht="31.5" customHeight="1">
      <c r="B24" s="58"/>
      <c r="C24" s="469"/>
      <c r="D24" s="50"/>
    </row>
    <row r="25" spans="2:6" ht="21.15" customHeight="1">
      <c r="B25" s="51" t="s">
        <v>274</v>
      </c>
      <c r="C25" s="62"/>
      <c r="D25" s="50"/>
      <c r="E25" s="52"/>
      <c r="F25" s="477"/>
    </row>
    <row r="26" spans="2:6" ht="21.6" customHeight="1">
      <c r="B26" s="53" t="s">
        <v>275</v>
      </c>
      <c r="C26" s="471" t="s">
        <v>267</v>
      </c>
      <c r="D26" s="50"/>
      <c r="E26" s="686" t="s">
        <v>444</v>
      </c>
      <c r="F26" s="676"/>
    </row>
    <row r="27" spans="2:6" ht="34.2" customHeight="1">
      <c r="B27" s="58" t="s">
        <v>276</v>
      </c>
      <c r="C27" s="472" t="s">
        <v>267</v>
      </c>
      <c r="D27" s="50"/>
      <c r="E27" s="27" t="s">
        <v>445</v>
      </c>
      <c r="F27" s="27"/>
    </row>
    <row r="28" spans="2:6" ht="21" customHeight="1">
      <c r="B28" s="58" t="s">
        <v>324</v>
      </c>
      <c r="C28" s="472" t="s">
        <v>267</v>
      </c>
      <c r="D28" s="50"/>
      <c r="E28" s="687" t="s">
        <v>446</v>
      </c>
      <c r="F28" s="678"/>
    </row>
    <row r="29" spans="2:6" ht="37.8" customHeight="1">
      <c r="B29" s="58" t="s">
        <v>321</v>
      </c>
      <c r="C29" s="472" t="s">
        <v>267</v>
      </c>
      <c r="E29" s="750" t="s">
        <v>447</v>
      </c>
      <c r="F29" s="497"/>
    </row>
    <row r="30" spans="2:6" ht="21" customHeight="1">
      <c r="B30" s="58" t="s">
        <v>341</v>
      </c>
      <c r="C30" s="473" t="s">
        <v>267</v>
      </c>
      <c r="E30" s="688" t="s">
        <v>448</v>
      </c>
      <c r="F30" s="677"/>
    </row>
    <row r="31" spans="3:3" ht="21" customHeight="1">
      <c r="C31" s="470"/>
    </row>
    <row r="32" ht="21" customHeight="1"/>
  </sheetData>
  <mergeCells count="4">
    <mergeCell ref="B5:C5"/>
    <mergeCell ref="E20:E21"/>
    <mergeCell ref="F21:F22"/>
    <mergeCell ref="E27:F27"/>
  </mergeCells>
  <hyperlinks>
    <hyperlink ref="C10" location="'פליטות גזי חממה'!A1" display="למעבר &gt;"/>
    <hyperlink ref="C12" location="'צריכת אנרגיה'!A1" display="למעבר &gt;"/>
    <hyperlink ref="C13" location="מים!A1" display="למעבר &gt;"/>
    <hyperlink ref="C14" location="פסולת!A1" display="למעבר &gt;"/>
    <hyperlink ref="C17" location="'כוח אדם'!A1" display="למעבר &gt;"/>
    <hyperlink ref="C18" location="'אופי העסקה'!A1" display="למעבר &gt;"/>
    <hyperlink ref="C19" location="'תחלופת עובדים'!A1" display="למעבר &gt;"/>
    <hyperlink ref="C20" location="'ותק עובדים'!A1" display="למעבר &gt;"/>
    <hyperlink ref="C21" location="'גיוון והכללה'!A1" display="למעבר &gt;"/>
    <hyperlink ref="C22" location="'בטיחות וגהות'!A1" display="למעבר &gt;"/>
    <hyperlink ref="C23" location="'הדרכות, משוב והערכה'!A1" display="למעבר &gt;"/>
    <hyperlink ref="C26" location="'ביצועים כספיים'!A1" display="למעבר &gt;"/>
    <hyperlink ref="C27" location="'מבנה אחזקות'!A1" display="למעבר &gt;"/>
    <hyperlink ref="C28" location="'חברי הדירקטוריון'!A1" display="למעבר &gt;"/>
    <hyperlink ref="C29" location="'מענק שנתי לנושאי משרה'!A1" display="למעבר &gt;"/>
    <hyperlink ref="C30" location="'פניות למבקר החברה'!A1" display="למעבר &gt;"/>
    <hyperlink ref="C8" location="'יעדי קבוצת בזק'!A1" display="למעבר &gt;"/>
    <hyperlink ref="C11" location="עצימות!A1" display="למעבר &gt;"/>
    <hyperlink ref="A1" r:id="rId1" display="https://esg.bezeq.co.il/report2023/"/>
  </hyperlinks>
  <pageMargins left="0.7" right="0.7" top="0.75" bottom="0.75" header="0.3" footer="0.3"/>
  <pageSetup orientation="portrait" paperSize="9" r:id="rId3"/>
  <headerFooter scaleWithDoc="0"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90A45F6-A8FC-4C0E-A950-FD8880A5C803}">
  <dimension ref="B1:M27"/>
  <sheetViews>
    <sheetView showGridLines="0" rightToLeft="1" zoomScale="110" zoomScaleNormal="110" workbookViewId="0" topLeftCell="A1">
      <selection pane="topLeft" activeCell="K30" sqref="K30"/>
    </sheetView>
  </sheetViews>
  <sheetFormatPr defaultColWidth="9.114285714285714" defaultRowHeight="14.4"/>
  <cols>
    <col min="1" max="1" width="3.7142857142857144" customWidth="1"/>
    <col min="2" max="12" width="15.714285714285714" customWidth="1"/>
  </cols>
  <sheetData>
    <row r="1" spans="2:11" ht="15" customHeight="1"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2:11" ht="15" customHeight="1"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2:11" ht="15" customHeight="1"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2:11" ht="15" customHeight="1"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2:13" ht="24" customHeight="1" thickBot="1">
      <c r="B5" s="65" t="s">
        <v>386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2:11" ht="21.15" customHeight="1" thickTop="1"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2:13" ht="30.15" customHeight="1">
      <c r="B7" s="369" t="s">
        <v>325</v>
      </c>
      <c r="C7" s="369" t="s">
        <v>240</v>
      </c>
      <c r="D7" s="369" t="s">
        <v>427</v>
      </c>
      <c r="E7" s="369" t="s">
        <v>305</v>
      </c>
      <c r="F7" s="369" t="s">
        <v>143</v>
      </c>
      <c r="G7" s="369" t="s">
        <v>306</v>
      </c>
      <c r="H7" s="369" t="s">
        <v>245</v>
      </c>
      <c r="I7" s="369" t="s">
        <v>342</v>
      </c>
      <c r="J7" s="369" t="s">
        <v>307</v>
      </c>
      <c r="K7" s="369" t="s">
        <v>253</v>
      </c>
      <c r="L7" s="369" t="s">
        <v>308</v>
      </c>
      <c r="M7" s="229" t="s">
        <v>5</v>
      </c>
    </row>
    <row r="8" spans="2:13" ht="24.9" customHeight="1">
      <c r="B8" s="447" t="s">
        <v>244</v>
      </c>
      <c r="C8" s="449" t="s">
        <v>246</v>
      </c>
      <c r="D8" s="452" t="s">
        <v>435</v>
      </c>
      <c r="E8" s="450" t="s">
        <v>241</v>
      </c>
      <c r="F8" s="174" t="s">
        <v>309</v>
      </c>
      <c r="G8" s="450" t="s">
        <v>310</v>
      </c>
      <c r="H8" s="450" t="s">
        <v>313</v>
      </c>
      <c r="I8" s="174"/>
      <c r="J8" s="174"/>
      <c r="K8" s="174"/>
      <c r="L8" s="449" t="s">
        <v>243</v>
      </c>
      <c r="M8" s="958" t="s">
        <v>423</v>
      </c>
    </row>
    <row r="9" spans="2:13" ht="24.9" customHeight="1">
      <c r="B9" s="447" t="s">
        <v>247</v>
      </c>
      <c r="C9" s="449" t="s">
        <v>314</v>
      </c>
      <c r="D9" s="452" t="s">
        <v>428</v>
      </c>
      <c r="E9" s="450" t="s">
        <v>248</v>
      </c>
      <c r="F9" s="174" t="s">
        <v>309</v>
      </c>
      <c r="G9" s="450" t="s">
        <v>312</v>
      </c>
      <c r="H9" s="450"/>
      <c r="I9" s="174"/>
      <c r="J9" s="174"/>
      <c r="K9" s="174"/>
      <c r="L9" s="449" t="s">
        <v>243</v>
      </c>
      <c r="M9" s="958"/>
    </row>
    <row r="10" spans="2:13" ht="24.9" customHeight="1">
      <c r="B10" s="447" t="s">
        <v>254</v>
      </c>
      <c r="C10" s="449" t="s">
        <v>314</v>
      </c>
      <c r="D10" s="452" t="s">
        <v>433</v>
      </c>
      <c r="E10" s="450" t="s">
        <v>241</v>
      </c>
      <c r="F10" s="174" t="s">
        <v>309</v>
      </c>
      <c r="G10" s="450" t="s">
        <v>312</v>
      </c>
      <c r="H10" s="450" t="s">
        <v>313</v>
      </c>
      <c r="I10" s="174"/>
      <c r="J10" s="174"/>
      <c r="K10" s="174"/>
      <c r="L10" s="449" t="s">
        <v>243</v>
      </c>
      <c r="M10" s="958"/>
    </row>
    <row r="11" spans="2:13" ht="24.9" customHeight="1">
      <c r="B11" s="447" t="s">
        <v>425</v>
      </c>
      <c r="C11" s="449" t="s">
        <v>314</v>
      </c>
      <c r="D11" s="452" t="s">
        <v>426</v>
      </c>
      <c r="E11" s="450" t="s">
        <v>241</v>
      </c>
      <c r="F11" s="174" t="s">
        <v>309</v>
      </c>
      <c r="G11" s="450" t="s">
        <v>312</v>
      </c>
      <c r="H11" s="450"/>
      <c r="I11" s="174"/>
      <c r="J11" s="174"/>
      <c r="K11" s="174"/>
      <c r="L11" s="449" t="s">
        <v>243</v>
      </c>
      <c r="M11" s="958"/>
    </row>
    <row r="12" spans="2:13" ht="24.9" customHeight="1">
      <c r="B12" s="447" t="s">
        <v>249</v>
      </c>
      <c r="C12" s="449" t="s">
        <v>315</v>
      </c>
      <c r="D12" s="452" t="s">
        <v>429</v>
      </c>
      <c r="E12" s="450" t="s">
        <v>241</v>
      </c>
      <c r="F12" s="174" t="s">
        <v>309</v>
      </c>
      <c r="G12" s="450" t="s">
        <v>329</v>
      </c>
      <c r="H12" s="450" t="s">
        <v>313</v>
      </c>
      <c r="I12" s="450" t="s">
        <v>313</v>
      </c>
      <c r="J12" s="450" t="s">
        <v>313</v>
      </c>
      <c r="K12" s="450" t="s">
        <v>313</v>
      </c>
      <c r="L12" s="449" t="s">
        <v>243</v>
      </c>
      <c r="M12" s="958"/>
    </row>
    <row r="13" spans="2:13" ht="24.9" customHeight="1">
      <c r="B13" s="447" t="s">
        <v>250</v>
      </c>
      <c r="C13" s="449" t="s">
        <v>316</v>
      </c>
      <c r="D13" s="452" t="s">
        <v>430</v>
      </c>
      <c r="E13" s="450" t="s">
        <v>241</v>
      </c>
      <c r="F13" s="174" t="s">
        <v>309</v>
      </c>
      <c r="G13" s="450" t="s">
        <v>328</v>
      </c>
      <c r="H13" s="450"/>
      <c r="I13" s="450" t="s">
        <v>311</v>
      </c>
      <c r="J13" s="450" t="s">
        <v>313</v>
      </c>
      <c r="K13" s="450" t="s">
        <v>311</v>
      </c>
      <c r="L13" s="449" t="s">
        <v>243</v>
      </c>
      <c r="M13" s="958"/>
    </row>
    <row r="14" spans="2:13" ht="24.9" customHeight="1">
      <c r="B14" s="447" t="s">
        <v>251</v>
      </c>
      <c r="C14" s="449" t="s">
        <v>317</v>
      </c>
      <c r="D14" s="452" t="s">
        <v>431</v>
      </c>
      <c r="E14" s="450" t="s">
        <v>241</v>
      </c>
      <c r="F14" s="174" t="s">
        <v>318</v>
      </c>
      <c r="G14" s="450" t="s">
        <v>327</v>
      </c>
      <c r="H14" s="450" t="s">
        <v>270</v>
      </c>
      <c r="I14" s="450" t="s">
        <v>270</v>
      </c>
      <c r="J14" s="450" t="s">
        <v>311</v>
      </c>
      <c r="K14" s="450" t="s">
        <v>270</v>
      </c>
      <c r="L14" s="449" t="s">
        <v>243</v>
      </c>
      <c r="M14" s="958"/>
    </row>
    <row r="15" spans="2:13" ht="24.9" customHeight="1">
      <c r="B15" s="447" t="s">
        <v>252</v>
      </c>
      <c r="C15" s="449" t="s">
        <v>319</v>
      </c>
      <c r="D15" s="452" t="s">
        <v>432</v>
      </c>
      <c r="E15" s="450" t="s">
        <v>241</v>
      </c>
      <c r="F15" s="174" t="s">
        <v>318</v>
      </c>
      <c r="G15" s="450" t="s">
        <v>326</v>
      </c>
      <c r="H15" s="450"/>
      <c r="I15" s="450" t="s">
        <v>270</v>
      </c>
      <c r="J15" s="450" t="s">
        <v>270</v>
      </c>
      <c r="K15" s="450" t="s">
        <v>270</v>
      </c>
      <c r="L15" s="449" t="s">
        <v>242</v>
      </c>
      <c r="M15" s="958"/>
    </row>
    <row r="16" spans="2:13" ht="24.9" customHeight="1">
      <c r="B16" s="448" t="s">
        <v>255</v>
      </c>
      <c r="C16" s="442" t="s">
        <v>320</v>
      </c>
      <c r="D16" s="453" t="s">
        <v>434</v>
      </c>
      <c r="E16" s="390" t="s">
        <v>241</v>
      </c>
      <c r="F16" s="175" t="s">
        <v>309</v>
      </c>
      <c r="G16" s="390" t="s">
        <v>261</v>
      </c>
      <c r="H16" s="451"/>
      <c r="I16" s="175"/>
      <c r="J16" s="175"/>
      <c r="K16" s="175"/>
      <c r="L16" s="442" t="s">
        <v>242</v>
      </c>
      <c r="M16" s="958"/>
    </row>
    <row r="17" spans="2:12" ht="24.9" customHeight="1">
      <c r="B17" s="682" t="s">
        <v>424</v>
      </c>
      <c r="C17" s="445"/>
      <c r="D17" s="445"/>
      <c r="E17" s="445"/>
      <c r="G17" s="445"/>
      <c r="H17" s="445"/>
      <c r="L17" s="445"/>
    </row>
    <row r="18" spans="2:2" ht="14.4">
      <c r="B18" s="682" t="s">
        <v>436</v>
      </c>
    </row>
    <row r="20" spans="2:13" ht="24" thickBot="1">
      <c r="B20" s="65" t="s">
        <v>345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</row>
    <row r="21" spans="2:5" ht="15" thickTop="1">
      <c r="B21" s="64"/>
      <c r="C21" s="64"/>
      <c r="D21" s="64"/>
      <c r="E21" s="64"/>
    </row>
    <row r="22" spans="2:13" ht="30" customHeight="1">
      <c r="B22" s="369"/>
      <c r="C22" s="369" t="s">
        <v>347</v>
      </c>
      <c r="D22" s="369" t="s">
        <v>348</v>
      </c>
      <c r="E22" s="369"/>
      <c r="F22" s="369"/>
      <c r="G22" s="369"/>
      <c r="H22" s="369"/>
      <c r="I22" s="369"/>
      <c r="J22" s="369"/>
      <c r="K22" s="369"/>
      <c r="L22" s="369"/>
      <c r="M22" s="229" t="s">
        <v>5</v>
      </c>
    </row>
    <row r="23" spans="2:13" ht="14.4">
      <c r="B23" s="446" t="s">
        <v>346</v>
      </c>
      <c r="C23" s="159">
        <v>8</v>
      </c>
      <c r="D23" s="603">
        <f>2/9</f>
        <v>0.2222222222222222</v>
      </c>
      <c r="E23" s="603"/>
      <c r="F23" s="603"/>
      <c r="G23" s="603"/>
      <c r="H23" s="603"/>
      <c r="I23" s="603"/>
      <c r="J23" s="603"/>
      <c r="K23" s="603"/>
      <c r="L23" s="603"/>
      <c r="M23" s="779" t="s">
        <v>14</v>
      </c>
    </row>
    <row r="24" spans="2:13" ht="14.4">
      <c r="B24" s="447" t="s">
        <v>245</v>
      </c>
      <c r="C24" s="150">
        <v>4</v>
      </c>
      <c r="D24" s="333">
        <f>1/4</f>
        <v>0.25</v>
      </c>
      <c r="E24" s="333"/>
      <c r="F24" s="333"/>
      <c r="G24" s="333"/>
      <c r="H24" s="333"/>
      <c r="I24" s="333"/>
      <c r="J24" s="333"/>
      <c r="K24" s="333"/>
      <c r="L24" s="333"/>
      <c r="M24" s="779"/>
    </row>
    <row r="25" spans="2:13" ht="27.6">
      <c r="B25" s="446" t="s">
        <v>349</v>
      </c>
      <c r="C25" s="159">
        <v>4</v>
      </c>
      <c r="D25" s="603">
        <v>0.50</v>
      </c>
      <c r="E25" s="603"/>
      <c r="F25" s="603"/>
      <c r="G25" s="603"/>
      <c r="H25" s="603"/>
      <c r="I25" s="603"/>
      <c r="J25" s="603"/>
      <c r="K25" s="603"/>
      <c r="L25" s="603"/>
      <c r="M25" s="779"/>
    </row>
    <row r="26" spans="2:13" ht="14.4">
      <c r="B26" s="447" t="s">
        <v>307</v>
      </c>
      <c r="C26" s="150">
        <v>4</v>
      </c>
      <c r="D26" s="333">
        <v>0.50</v>
      </c>
      <c r="E26" s="333"/>
      <c r="F26" s="333"/>
      <c r="G26" s="333"/>
      <c r="H26" s="333"/>
      <c r="I26" s="333"/>
      <c r="J26" s="333"/>
      <c r="K26" s="333"/>
      <c r="L26" s="333"/>
      <c r="M26" s="779"/>
    </row>
    <row r="27" spans="2:13" ht="14.4">
      <c r="B27" s="447" t="s">
        <v>253</v>
      </c>
      <c r="C27" s="150">
        <v>4</v>
      </c>
      <c r="D27" s="333">
        <v>0.50</v>
      </c>
      <c r="E27" s="333"/>
      <c r="F27" s="333"/>
      <c r="G27" s="333"/>
      <c r="H27" s="333"/>
      <c r="I27" s="333"/>
      <c r="J27" s="333"/>
      <c r="K27" s="333"/>
      <c r="L27" s="333"/>
      <c r="M27" s="779"/>
    </row>
  </sheetData>
  <mergeCells count="2">
    <mergeCell ref="M23:M27"/>
    <mergeCell ref="M8:M16"/>
  </mergeCells>
  <pageMargins left="0.708661417322835" right="0.708661417322835" top="0.748031496062992" bottom="0.748031496062992" header="0.31496062992126" footer="0.31496062992126"/>
  <pageSetup orientation="landscape" paperSize="9" scale="80" r:id="rId2"/>
  <headerFooter scaleWithDoc="0"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A669310-2E59-4739-BE62-0C3FA7BB811D}">
  <dimension ref="B1:M22"/>
  <sheetViews>
    <sheetView showGridLines="0" rightToLeft="1" workbookViewId="0" topLeftCell="A3">
      <selection pane="topLeft" activeCell="C11" sqref="C11"/>
    </sheetView>
  </sheetViews>
  <sheetFormatPr defaultColWidth="9.114285714285714" defaultRowHeight="14.4"/>
  <cols>
    <col min="1" max="1" width="3.7142857142857144" customWidth="1"/>
    <col min="2" max="2" width="3.4285714285714284" customWidth="1"/>
    <col min="3" max="3" width="19.857142857142858" customWidth="1"/>
    <col min="4" max="4" width="61.714285714285715" customWidth="1"/>
    <col min="5" max="5" width="15.857142857142858" customWidth="1"/>
  </cols>
  <sheetData>
    <row r="1" spans="2:11" ht="15" customHeight="1"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2:11" ht="15" customHeight="1"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2:11" ht="15" customHeight="1"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2:4" ht="15" customHeight="1">
      <c r="B4" s="64"/>
      <c r="C4" s="64"/>
      <c r="D4" s="64"/>
    </row>
    <row r="5" spans="2:5" ht="28.2" customHeight="1" thickBot="1">
      <c r="B5" s="65" t="s">
        <v>321</v>
      </c>
      <c r="C5" s="66"/>
      <c r="D5" s="66"/>
      <c r="E5" s="66"/>
    </row>
    <row r="6" spans="2:13" s="50" customFormat="1" ht="21.15" customHeight="1" thickTop="1">
      <c r="B6" s="454" t="s">
        <v>322</v>
      </c>
      <c r="C6" s="455"/>
      <c r="D6" s="455"/>
      <c r="F6"/>
      <c r="G6"/>
      <c r="H6"/>
      <c r="I6"/>
      <c r="J6"/>
      <c r="K6"/>
      <c r="L6"/>
      <c r="M6"/>
    </row>
    <row r="7" spans="2:5" ht="15.6" customHeight="1">
      <c r="B7" s="960" t="s">
        <v>463</v>
      </c>
      <c r="C7" s="960"/>
      <c r="D7" s="732" t="s">
        <v>464</v>
      </c>
      <c r="E7" s="229" t="s">
        <v>5</v>
      </c>
    </row>
    <row r="8" spans="2:5" ht="30.15" customHeight="1">
      <c r="B8" s="459" t="s">
        <v>330</v>
      </c>
      <c r="C8" s="460" t="s">
        <v>331</v>
      </c>
      <c r="D8" s="456" t="s">
        <v>336</v>
      </c>
      <c r="E8" s="958" t="s">
        <v>461</v>
      </c>
    </row>
    <row r="9" spans="2:5" ht="30.15" customHeight="1">
      <c r="B9" s="461" t="s">
        <v>332</v>
      </c>
      <c r="C9" s="462" t="s">
        <v>333</v>
      </c>
      <c r="D9" s="457" t="s">
        <v>338</v>
      </c>
      <c r="E9" s="958"/>
    </row>
    <row r="10" spans="2:5" ht="30.15" customHeight="1">
      <c r="B10" s="463" t="s">
        <v>334</v>
      </c>
      <c r="C10" s="464" t="s">
        <v>335</v>
      </c>
      <c r="D10" s="458" t="s">
        <v>337</v>
      </c>
      <c r="E10" s="958"/>
    </row>
    <row r="11" spans="5:5" ht="14.4">
      <c r="E11" s="958"/>
    </row>
    <row r="12" spans="2:10" ht="14.4">
      <c r="B12" s="139"/>
      <c r="C12" s="139"/>
      <c r="D12" s="139"/>
      <c r="E12" s="958"/>
      <c r="F12" s="139"/>
      <c r="G12" s="139"/>
      <c r="H12" s="139"/>
      <c r="I12" s="139"/>
      <c r="J12" s="139"/>
    </row>
    <row r="13" spans="2:10" ht="63.75" customHeight="1">
      <c r="B13" s="959" t="s">
        <v>339</v>
      </c>
      <c r="C13" s="959"/>
      <c r="D13" s="959"/>
      <c r="E13" s="958"/>
      <c r="F13" s="139"/>
      <c r="G13" s="139"/>
      <c r="H13" s="139"/>
      <c r="I13" s="139"/>
      <c r="J13" s="139"/>
    </row>
    <row r="14" spans="2:10" ht="57.75" customHeight="1">
      <c r="B14" s="959" t="s">
        <v>340</v>
      </c>
      <c r="C14" s="959"/>
      <c r="D14" s="959"/>
      <c r="E14" s="958"/>
      <c r="F14" s="139"/>
      <c r="G14" s="139"/>
      <c r="H14" s="139"/>
      <c r="I14" s="139"/>
      <c r="J14" s="139"/>
    </row>
    <row r="15" spans="2:9" ht="14.4">
      <c r="B15" s="465"/>
      <c r="C15" s="421"/>
      <c r="D15" s="139"/>
      <c r="E15" s="139"/>
      <c r="F15" s="139"/>
      <c r="G15" s="139"/>
      <c r="H15" s="139"/>
      <c r="I15" s="139"/>
    </row>
    <row r="16" spans="2:10" ht="14.4">
      <c r="B16" s="465"/>
      <c r="C16" s="421"/>
      <c r="D16" s="421"/>
      <c r="E16" s="139"/>
      <c r="F16" s="139"/>
      <c r="G16" s="139"/>
      <c r="H16" s="139"/>
      <c r="I16" s="139"/>
      <c r="J16" s="139"/>
    </row>
    <row r="17" spans="2:10" ht="14.4">
      <c r="B17" s="465"/>
      <c r="C17" s="421"/>
      <c r="D17" s="421"/>
      <c r="E17" s="139"/>
      <c r="F17" s="139"/>
      <c r="G17" s="139"/>
      <c r="H17" s="139"/>
      <c r="I17" s="139"/>
      <c r="J17" s="139"/>
    </row>
    <row r="18" spans="2:10" ht="14.4">
      <c r="B18" s="465"/>
      <c r="C18" s="421"/>
      <c r="D18" s="421"/>
      <c r="E18" s="139"/>
      <c r="F18" s="139"/>
      <c r="G18" s="139"/>
      <c r="H18" s="139"/>
      <c r="I18" s="139"/>
      <c r="J18" s="139"/>
    </row>
    <row r="19" spans="2:10" ht="14.4">
      <c r="B19" s="465"/>
      <c r="C19" s="421"/>
      <c r="D19" s="421"/>
      <c r="E19" s="139"/>
      <c r="F19" s="139"/>
      <c r="G19" s="139"/>
      <c r="H19" s="139"/>
      <c r="I19" s="139"/>
      <c r="J19" s="139"/>
    </row>
    <row r="20" spans="2:10" ht="14.4">
      <c r="B20" s="465"/>
      <c r="C20" s="421"/>
      <c r="D20" s="421"/>
      <c r="E20" s="139"/>
      <c r="F20" s="139"/>
      <c r="G20" s="139"/>
      <c r="H20" s="139"/>
      <c r="I20" s="139"/>
      <c r="J20" s="139"/>
    </row>
    <row r="21" spans="2:10" ht="14.4">
      <c r="B21" s="465"/>
      <c r="C21" s="421"/>
      <c r="D21" s="421"/>
      <c r="E21" s="139"/>
      <c r="F21" s="139"/>
      <c r="G21" s="139"/>
      <c r="H21" s="139"/>
      <c r="I21" s="139"/>
      <c r="J21" s="139"/>
    </row>
    <row r="22" spans="2:10" ht="14.4">
      <c r="B22" s="139"/>
      <c r="C22" s="139"/>
      <c r="D22" s="139"/>
      <c r="E22" s="139"/>
      <c r="F22" s="139"/>
      <c r="G22" s="139"/>
      <c r="H22" s="139"/>
      <c r="I22" s="139"/>
      <c r="J22" s="139"/>
    </row>
  </sheetData>
  <mergeCells count="4">
    <mergeCell ref="B13:D13"/>
    <mergeCell ref="B14:D14"/>
    <mergeCell ref="E8:E14"/>
    <mergeCell ref="B7:C7"/>
  </mergeCells>
  <pageMargins left="0.7" right="0.7" top="0.75" bottom="0.75" header="0.3" footer="0.3"/>
  <pageSetup orientation="portrait" paperSize="9" r:id="rId2"/>
  <headerFooter scaleWithDoc="0"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DB4DD4D-54F6-4158-99BA-1395163FDCD1}">
  <dimension ref="B1:L25"/>
  <sheetViews>
    <sheetView showGridLines="0" rightToLeft="1" workbookViewId="0" topLeftCell="A1">
      <selection pane="topLeft" activeCell="C14" sqref="C14"/>
    </sheetView>
  </sheetViews>
  <sheetFormatPr defaultColWidth="9.114285714285714" defaultRowHeight="14.4"/>
  <cols>
    <col min="1" max="1" width="3.7142857142857144" customWidth="1"/>
    <col min="2" max="2" width="18.285714285714285" customWidth="1"/>
    <col min="3" max="3" width="20.714285714285715" customWidth="1"/>
    <col min="4" max="4" width="42" customWidth="1"/>
  </cols>
  <sheetData>
    <row r="1" spans="2:11" ht="15" customHeight="1"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2:11" ht="15" customHeight="1"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2:11" ht="15" customHeight="1"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2:11" ht="15" customHeight="1"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2:12" ht="24" customHeight="1" thickBot="1">
      <c r="B5" s="65" t="s">
        <v>387</v>
      </c>
      <c r="C5" s="66"/>
      <c r="D5" s="66"/>
      <c r="E5" s="66"/>
      <c r="F5" s="64"/>
      <c r="G5" s="64"/>
      <c r="H5" s="64"/>
      <c r="I5" s="64"/>
      <c r="J5" s="64"/>
      <c r="K5" s="64"/>
      <c r="L5" s="64"/>
    </row>
    <row r="6" spans="2:11" ht="21.15" customHeight="1" thickTop="1"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2:5" ht="32.4" customHeight="1">
      <c r="B7" s="32"/>
      <c r="C7" s="32">
        <v>2022</v>
      </c>
      <c r="D7" s="32">
        <v>2023</v>
      </c>
      <c r="E7" s="229" t="s">
        <v>5</v>
      </c>
    </row>
    <row r="8" spans="2:5" ht="21.15" customHeight="1">
      <c r="B8" s="179" t="s">
        <v>256</v>
      </c>
      <c r="C8" s="423">
        <v>0.70</v>
      </c>
      <c r="D8" s="423">
        <v>0.65</v>
      </c>
      <c r="E8" s="962" t="s">
        <v>462</v>
      </c>
    </row>
    <row r="9" spans="2:5" ht="21.15" customHeight="1">
      <c r="B9" s="182" t="s">
        <v>257</v>
      </c>
      <c r="C9" s="424">
        <v>0.19</v>
      </c>
      <c r="D9" s="424">
        <v>0.14</v>
      </c>
      <c r="E9" s="962"/>
    </row>
    <row r="10" spans="2:5" ht="21.15" customHeight="1">
      <c r="B10" s="466" t="s">
        <v>258</v>
      </c>
      <c r="C10" s="426">
        <v>0.11</v>
      </c>
      <c r="D10" s="426">
        <v>0.22</v>
      </c>
      <c r="E10" s="962"/>
    </row>
    <row r="11" spans="5:5" ht="14.4">
      <c r="E11" s="962"/>
    </row>
    <row r="12" spans="2:10" ht="60.6" customHeight="1">
      <c r="B12" s="961" t="s">
        <v>4</v>
      </c>
      <c r="C12" s="963" t="s">
        <v>343</v>
      </c>
      <c r="D12" s="963"/>
      <c r="E12" s="962"/>
      <c r="F12" s="684"/>
      <c r="G12" s="684"/>
      <c r="H12" s="684"/>
      <c r="I12" s="684"/>
      <c r="J12" s="684"/>
    </row>
    <row r="13" spans="2:10" ht="42" customHeight="1">
      <c r="B13" s="961"/>
      <c r="C13" s="963" t="s">
        <v>466</v>
      </c>
      <c r="D13" s="963"/>
      <c r="E13" s="962"/>
      <c r="F13" s="684"/>
      <c r="G13" s="684"/>
      <c r="H13" s="684"/>
      <c r="I13" s="684"/>
      <c r="J13" s="684"/>
    </row>
    <row r="14" spans="2:10" ht="14.4" customHeight="1">
      <c r="B14" s="50"/>
      <c r="E14" s="684"/>
      <c r="F14" s="684"/>
      <c r="G14" s="684"/>
      <c r="H14" s="684"/>
      <c r="I14" s="684"/>
      <c r="J14" s="684"/>
    </row>
    <row r="15" spans="2:10" ht="43.2" customHeight="1">
      <c r="B15" s="95"/>
      <c r="C15" s="684"/>
      <c r="D15" s="684"/>
      <c r="E15" s="684"/>
      <c r="F15" s="684"/>
      <c r="G15" s="684"/>
      <c r="H15" s="684"/>
      <c r="I15" s="684"/>
      <c r="J15" s="684"/>
    </row>
    <row r="16" spans="2:2" ht="14.4">
      <c r="B16" s="95"/>
    </row>
    <row r="17" spans="2:2" ht="43.2" customHeight="1">
      <c r="B17" s="95"/>
    </row>
    <row r="18" spans="2:2" ht="14.4">
      <c r="B18" s="95"/>
    </row>
    <row r="19" spans="2:2" ht="14.4">
      <c r="B19" s="95"/>
    </row>
    <row r="20" spans="2:2" ht="14.4">
      <c r="B20" s="95"/>
    </row>
    <row r="21" spans="2:2" ht="14.4">
      <c r="B21" s="95"/>
    </row>
    <row r="22" spans="2:2" ht="28.95" customHeight="1">
      <c r="B22" s="95"/>
    </row>
    <row r="23" spans="2:2" ht="14.4">
      <c r="B23" s="95"/>
    </row>
    <row r="24" spans="2:2" ht="14.4">
      <c r="B24" s="95"/>
    </row>
    <row r="25" spans="2:2" ht="14.4">
      <c r="B25" s="95"/>
    </row>
  </sheetData>
  <mergeCells count="4">
    <mergeCell ref="B12:B13"/>
    <mergeCell ref="E8:E13"/>
    <mergeCell ref="C12:D12"/>
    <mergeCell ref="C13:D13"/>
  </mergeCells>
  <pageMargins left="0.7" right="0.7" top="0.75" bottom="0.75" header="0.3" footer="0.3"/>
  <pageSetup orientation="portrait" paperSize="9" r:id="rId2"/>
  <headerFooter scaleWithDoc="0"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FED16B3-8268-40E4-BBC3-A05884D8A605}">
  <dimension ref="B1:O52"/>
  <sheetViews>
    <sheetView showGridLines="0" rightToLeft="1" zoomScale="60" zoomScaleNormal="60" workbookViewId="0" topLeftCell="A1">
      <selection pane="topLeft" activeCell="K5" sqref="K5"/>
    </sheetView>
  </sheetViews>
  <sheetFormatPr defaultColWidth="9.114285714285714" defaultRowHeight="14.4"/>
  <cols>
    <col min="1" max="1" width="3.7142857142857144" customWidth="1"/>
    <col min="4" max="4" width="18.714285714285715" style="497" customWidth="1"/>
    <col min="5" max="5" width="80" style="497" customWidth="1"/>
  </cols>
  <sheetData>
    <row r="1" spans="2:11" ht="15" customHeight="1">
      <c r="B1" s="64"/>
      <c r="C1" s="64"/>
      <c r="D1" s="498"/>
      <c r="E1" s="498"/>
      <c r="F1" s="64"/>
      <c r="G1" s="64"/>
      <c r="H1" s="64"/>
      <c r="I1" s="64"/>
      <c r="J1" s="64"/>
      <c r="K1" s="64"/>
    </row>
    <row r="2" spans="2:11" ht="15" customHeight="1">
      <c r="B2" s="64"/>
      <c r="C2" s="64"/>
      <c r="D2" s="498"/>
      <c r="E2" s="498"/>
      <c r="F2" s="64"/>
      <c r="G2" s="64"/>
      <c r="H2" s="64"/>
      <c r="I2" s="64"/>
      <c r="J2" s="64"/>
      <c r="K2" s="64"/>
    </row>
    <row r="3" spans="2:11" ht="15" customHeight="1">
      <c r="B3" s="64"/>
      <c r="C3" s="64"/>
      <c r="D3" s="498"/>
      <c r="E3" s="498"/>
      <c r="F3" s="64"/>
      <c r="G3" s="64"/>
      <c r="H3" s="64"/>
      <c r="I3" s="64"/>
      <c r="J3" s="64"/>
      <c r="K3" s="64"/>
    </row>
    <row r="4" spans="2:15" ht="15" customHeight="1">
      <c r="B4" s="64"/>
      <c r="C4" s="64"/>
      <c r="D4" s="498"/>
      <c r="E4" s="498"/>
      <c r="F4" s="64"/>
      <c r="G4" s="64"/>
      <c r="H4" s="64"/>
      <c r="I4" s="64"/>
      <c r="J4" s="64"/>
      <c r="K4" s="64"/>
      <c r="N4" s="43"/>
      <c r="O4" s="43"/>
    </row>
    <row r="5" spans="2:15" ht="24.9" customHeight="1" thickBot="1">
      <c r="B5" s="65" t="s">
        <v>275</v>
      </c>
      <c r="C5" s="66"/>
      <c r="D5" s="499"/>
      <c r="E5" s="499"/>
      <c r="F5" s="66"/>
      <c r="G5" s="66"/>
      <c r="H5" s="66"/>
      <c r="I5" s="66"/>
      <c r="J5" s="64"/>
      <c r="K5" s="64"/>
      <c r="L5" s="64"/>
      <c r="M5" s="64"/>
      <c r="N5" s="64"/>
      <c r="O5" s="64"/>
    </row>
    <row r="6" spans="2:15" ht="15" customHeight="1" thickTop="1">
      <c r="B6" s="67"/>
      <c r="C6" s="64"/>
      <c r="D6" s="498"/>
      <c r="E6" s="498"/>
      <c r="F6" s="64"/>
      <c r="G6" s="64"/>
      <c r="H6" s="64"/>
      <c r="I6" s="64"/>
      <c r="J6" s="64"/>
      <c r="K6" s="64"/>
      <c r="L6" s="64"/>
      <c r="M6" s="64"/>
      <c r="N6" s="64"/>
      <c r="O6" s="64"/>
    </row>
    <row r="37" spans="4:5" ht="14.4">
      <c r="D37"/>
      <c r="E37"/>
    </row>
    <row r="38" spans="4:5" ht="14.4">
      <c r="D38"/>
      <c r="E38"/>
    </row>
    <row r="39" spans="4:5" ht="14.4">
      <c r="D39"/>
      <c r="E39"/>
    </row>
    <row r="40" spans="4:5" ht="14.4">
      <c r="D40"/>
      <c r="E40"/>
    </row>
    <row r="41" spans="4:5" ht="14.4">
      <c r="D41"/>
      <c r="E41"/>
    </row>
    <row r="42" spans="4:5" ht="14.4">
      <c r="D42"/>
      <c r="E42"/>
    </row>
    <row r="43" spans="4:5" ht="14.4">
      <c r="D43"/>
      <c r="E43"/>
    </row>
    <row r="44" spans="4:5" ht="14.4">
      <c r="D44"/>
      <c r="E44"/>
    </row>
    <row r="45" spans="4:5" ht="28.95" customHeight="1">
      <c r="D45"/>
      <c r="E45"/>
    </row>
    <row r="46" spans="4:5" ht="14.4">
      <c r="D46"/>
      <c r="E46"/>
    </row>
    <row r="47" spans="4:5" ht="14.4">
      <c r="D47"/>
      <c r="E47"/>
    </row>
    <row r="48" spans="4:5" ht="14.4">
      <c r="D48"/>
      <c r="E48"/>
    </row>
    <row r="49" spans="4:5" ht="14.4">
      <c r="D49"/>
      <c r="E49"/>
    </row>
    <row r="50" spans="4:5" ht="14.4">
      <c r="D50"/>
      <c r="E50"/>
    </row>
    <row r="51" spans="4:5" ht="14.4">
      <c r="D51"/>
      <c r="E51"/>
    </row>
    <row r="52" spans="4:5" ht="14.4">
      <c r="D52"/>
      <c r="E52"/>
    </row>
  </sheetData>
  <pageMargins left="0.7" right="0.7" top="0.75" bottom="0.75" header="0.3" footer="0.3"/>
  <pageSetup orientation="portrait" paperSize="9" r:id="rId2"/>
  <headerFooter scaleWithDoc="0"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B64BA68-0D15-43BC-9CC1-F654757AAFEF}">
  <dimension ref="A1:S48"/>
  <sheetViews>
    <sheetView showGridLines="0" rightToLeft="1" workbookViewId="0" topLeftCell="A10">
      <selection pane="topLeft" activeCell="M8" sqref="M8"/>
    </sheetView>
  </sheetViews>
  <sheetFormatPr defaultColWidth="9.114285714285714" defaultRowHeight="14.4"/>
  <cols>
    <col min="1" max="1" width="3.7142857142857144" customWidth="1"/>
    <col min="2" max="2" width="17.285714285714285" style="141" customWidth="1"/>
    <col min="3" max="18" width="13.714285714285714" style="141" customWidth="1"/>
  </cols>
  <sheetData>
    <row r="1" spans="2:18" ht="15" customHeight="1">
      <c r="B1" s="64"/>
      <c r="C1" s="64"/>
      <c r="D1" s="64"/>
      <c r="E1" s="64"/>
      <c r="F1" s="64"/>
      <c r="G1" s="64"/>
      <c r="H1" s="64"/>
      <c r="I1" s="64"/>
      <c r="J1" s="64"/>
      <c r="K1" s="64"/>
      <c r="L1"/>
      <c r="M1"/>
      <c r="N1"/>
      <c r="O1"/>
      <c r="P1"/>
      <c r="Q1"/>
      <c r="R1"/>
    </row>
    <row r="2" spans="2:18" ht="15" customHeight="1">
      <c r="B2" s="64"/>
      <c r="C2" s="64"/>
      <c r="D2" s="64"/>
      <c r="E2" s="64"/>
      <c r="F2" s="64"/>
      <c r="G2" s="64"/>
      <c r="H2" s="64"/>
      <c r="I2" s="64"/>
      <c r="J2" s="64"/>
      <c r="K2" s="64"/>
      <c r="L2"/>
      <c r="M2"/>
      <c r="N2"/>
      <c r="O2"/>
      <c r="P2"/>
      <c r="Q2"/>
      <c r="R2"/>
    </row>
    <row r="3" spans="2:18" ht="15" customHeight="1">
      <c r="B3" s="64"/>
      <c r="C3" s="64"/>
      <c r="D3" s="64"/>
      <c r="E3" s="64"/>
      <c r="F3" s="64"/>
      <c r="G3" s="64"/>
      <c r="H3" s="64"/>
      <c r="I3" s="64"/>
      <c r="J3" s="64"/>
      <c r="K3" s="64"/>
      <c r="L3"/>
      <c r="M3"/>
      <c r="N3"/>
      <c r="O3"/>
      <c r="P3"/>
      <c r="Q3"/>
      <c r="R3"/>
    </row>
    <row r="4" spans="2:18" ht="15" customHeight="1">
      <c r="B4" s="64"/>
      <c r="C4" s="64"/>
      <c r="D4" s="64"/>
      <c r="E4" s="64"/>
      <c r="F4" s="64"/>
      <c r="G4" s="64"/>
      <c r="H4" s="64"/>
      <c r="I4" s="64"/>
      <c r="J4" s="64"/>
      <c r="K4" s="64"/>
      <c r="L4"/>
      <c r="M4"/>
      <c r="N4" s="43"/>
      <c r="O4" s="43"/>
      <c r="P4"/>
      <c r="Q4"/>
      <c r="R4"/>
    </row>
    <row r="5" spans="2:18" ht="24.9" customHeight="1" thickBot="1">
      <c r="B5" s="637" t="s">
        <v>232</v>
      </c>
      <c r="C5" s="66"/>
      <c r="D5" s="66"/>
      <c r="E5" s="66"/>
      <c r="F5" s="66"/>
      <c r="G5" s="66"/>
      <c r="H5" s="66"/>
      <c r="I5" s="66"/>
      <c r="J5" s="66"/>
      <c r="K5" s="66"/>
      <c r="L5" s="64"/>
      <c r="M5" s="64"/>
      <c r="N5" s="64"/>
      <c r="O5" s="64"/>
      <c r="P5" s="64"/>
      <c r="Q5" s="64"/>
      <c r="R5" s="64"/>
    </row>
    <row r="6" spans="2:18" ht="15" customHeight="1" thickTop="1">
      <c r="B6" s="67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/>
      <c r="Q6"/>
      <c r="R6"/>
    </row>
    <row r="7" spans="2:11" ht="24.9" customHeight="1">
      <c r="B7" s="427" t="s">
        <v>405</v>
      </c>
      <c r="C7" s="419"/>
      <c r="D7" s="419"/>
      <c r="E7" s="419"/>
      <c r="F7" s="419"/>
      <c r="G7" s="419"/>
      <c r="H7" s="419"/>
      <c r="I7" s="419"/>
      <c r="J7" s="5"/>
      <c r="K7" s="5"/>
    </row>
    <row r="8" spans="2:2" ht="24.9" customHeight="1">
      <c r="B8" s="92" t="s">
        <v>186</v>
      </c>
    </row>
    <row r="9" spans="2:11" ht="21.15" customHeight="1">
      <c r="B9" s="201"/>
      <c r="C9" s="21">
        <v>2020</v>
      </c>
      <c r="D9" s="14"/>
      <c r="E9" s="21">
        <v>2021</v>
      </c>
      <c r="F9" s="21"/>
      <c r="G9" s="20">
        <v>2022</v>
      </c>
      <c r="H9" s="21"/>
      <c r="I9" s="20">
        <v>2023</v>
      </c>
      <c r="J9" s="14"/>
      <c r="K9" s="3" t="s">
        <v>5</v>
      </c>
    </row>
    <row r="10" spans="2:11" ht="41.25" customHeight="1">
      <c r="B10" s="144"/>
      <c r="C10" s="144" t="s">
        <v>187</v>
      </c>
      <c r="D10" s="391" t="s">
        <v>188</v>
      </c>
      <c r="E10" s="144" t="s">
        <v>187</v>
      </c>
      <c r="F10" s="391" t="s">
        <v>188</v>
      </c>
      <c r="G10" s="144" t="s">
        <v>187</v>
      </c>
      <c r="H10" s="386" t="s">
        <v>188</v>
      </c>
      <c r="I10" s="144" t="s">
        <v>187</v>
      </c>
      <c r="J10" s="739" t="s">
        <v>188</v>
      </c>
      <c r="K10" s="3"/>
    </row>
    <row r="11" spans="2:11" ht="21.15" customHeight="1">
      <c r="B11" s="239" t="s">
        <v>0</v>
      </c>
      <c r="C11" s="240">
        <v>282</v>
      </c>
      <c r="D11" s="428">
        <f>C11/'כוח אדם'!E36</f>
        <v>0.33254716981132076</v>
      </c>
      <c r="E11" s="282">
        <v>291</v>
      </c>
      <c r="F11" s="241">
        <f>'כוח אדם'!F36/'כוח אדם'!H36</f>
        <v>0.3299319727891156</v>
      </c>
      <c r="G11" s="282">
        <v>299</v>
      </c>
      <c r="H11" s="423">
        <f>'כוח אדם'!I36/'כוח אדם'!K36</f>
        <v>0.3409350057012543</v>
      </c>
      <c r="I11" s="605">
        <f>'כוח אדם'!L36</f>
        <v>353</v>
      </c>
      <c r="J11" s="424">
        <f>'כוח אדם'!L36/'כוח אדם'!N36</f>
        <v>0.3684759916492693</v>
      </c>
      <c r="K11" s="4" t="s">
        <v>14</v>
      </c>
    </row>
    <row r="12" spans="2:11" ht="21.15" customHeight="1">
      <c r="B12" s="245" t="s">
        <v>37</v>
      </c>
      <c r="C12" s="150">
        <v>90</v>
      </c>
      <c r="D12" s="429">
        <v>0.49</v>
      </c>
      <c r="E12" s="184">
        <v>81</v>
      </c>
      <c r="F12" s="252">
        <v>0.46551724137931033</v>
      </c>
      <c r="G12" s="184">
        <v>80</v>
      </c>
      <c r="H12" s="424">
        <v>0.46706586826347307</v>
      </c>
      <c r="I12" s="283">
        <f>'כוח אדם'!L53</f>
        <v>78</v>
      </c>
      <c r="J12" s="424">
        <f>'כוח אדם'!L53/'כוח אדם'!N53</f>
        <v>0.46153846153846156</v>
      </c>
      <c r="K12" s="4"/>
    </row>
    <row r="13" spans="2:11" ht="21.15" customHeight="1">
      <c r="B13" s="245" t="s">
        <v>2</v>
      </c>
      <c r="C13" s="150">
        <v>161</v>
      </c>
      <c r="D13" s="429">
        <v>0.42933333333333334</v>
      </c>
      <c r="E13" s="184">
        <v>154</v>
      </c>
      <c r="F13" s="431">
        <v>0.42191780821917807</v>
      </c>
      <c r="G13" s="184">
        <v>152</v>
      </c>
      <c r="H13" s="425">
        <v>0.4257703081232493</v>
      </c>
      <c r="I13" s="283">
        <f>'כוח אדם'!L69</f>
        <v>150</v>
      </c>
      <c r="J13" s="425">
        <f>'כוח אדם'!L69/'כוח אדם'!N69</f>
        <v>0.423728813559322</v>
      </c>
      <c r="K13" s="4"/>
    </row>
    <row r="14" spans="2:11" ht="21.15" customHeight="1">
      <c r="B14" s="312" t="s">
        <v>38</v>
      </c>
      <c r="C14" s="150">
        <v>77</v>
      </c>
      <c r="D14" s="429">
        <v>0.41</v>
      </c>
      <c r="E14" s="184">
        <v>76</v>
      </c>
      <c r="F14" s="252">
        <v>0.40</v>
      </c>
      <c r="G14" s="184">
        <v>68</v>
      </c>
      <c r="H14" s="424">
        <v>0.40</v>
      </c>
      <c r="I14" s="283">
        <f>'כוח אדם'!L85</f>
        <v>44</v>
      </c>
      <c r="J14" s="424">
        <f>'כוח אדם'!L85/'כוח אדם'!N85</f>
        <v>0.37606837606837606</v>
      </c>
      <c r="K14" s="4"/>
    </row>
    <row r="15" spans="2:11" ht="21.15" customHeight="1">
      <c r="B15" s="320" t="s">
        <v>239</v>
      </c>
      <c r="C15" s="293">
        <f>'כוח אדם'!C36+'כוח אדם'!C53+'כוח אדם'!C69+'כוח אדם'!C85</f>
        <v>604</v>
      </c>
      <c r="D15" s="430">
        <f>C15/('כוח אדם'!E36+'כוח אדם'!E53+'כוח אדם'!E69+'כוח אדם'!E85)</f>
        <v>0.3822784810126582</v>
      </c>
      <c r="E15" s="355">
        <f>E11+E12+E13+E14</f>
        <v>602</v>
      </c>
      <c r="F15" s="432">
        <f>E15/('כוח אדם'!H36+'כוח אדם'!H53+'כוח אדם'!H69+'כוח אדם'!H85)</f>
        <v>0.3810126582278481</v>
      </c>
      <c r="G15" s="355">
        <f>G11+G12+G13+G14</f>
        <v>599</v>
      </c>
      <c r="H15" s="426">
        <f>G15/('כוח אדם'!K36+'כוח אדם'!K53+'כוח אדם'!K69+'כוח אדם'!K85)</f>
        <v>0.3874514877102199</v>
      </c>
      <c r="I15" s="355">
        <f>SUM(I11:I14)</f>
        <v>625</v>
      </c>
      <c r="J15" s="426">
        <f>SUM(I11:I14)/('כוח אדם'!N36+'כוח אדם'!N53+'כוח אדם'!N69+'כוח אדם'!N85)</f>
        <v>0.3911138923654568</v>
      </c>
      <c r="K15" s="4"/>
    </row>
    <row r="16" spans="2:11" ht="21.15" customHeight="1">
      <c r="B16" s="420"/>
      <c r="C16" s="421"/>
      <c r="D16" s="421"/>
      <c r="F16" s="422"/>
      <c r="H16" s="422"/>
      <c r="K16" s="4"/>
    </row>
    <row r="17" spans="2:11" ht="21.15" customHeight="1">
      <c r="B17" s="420"/>
      <c r="C17" s="421"/>
      <c r="D17" s="421"/>
      <c r="F17" s="422"/>
      <c r="H17" s="422"/>
      <c r="K17"/>
    </row>
    <row r="18" spans="2:19" ht="24.9" customHeight="1">
      <c r="B18" s="427" t="s">
        <v>233</v>
      </c>
      <c r="C18" s="419"/>
      <c r="D18" s="419"/>
      <c r="E18" s="419"/>
      <c r="F18" s="419"/>
      <c r="G18" s="419"/>
      <c r="H18" s="419"/>
      <c r="I18" s="419"/>
      <c r="J18" s="5"/>
      <c r="K18" s="5"/>
      <c r="S18" s="141"/>
    </row>
    <row r="19" spans="2:9" ht="24.9" customHeight="1">
      <c r="B19" s="92" t="s">
        <v>402</v>
      </c>
      <c r="C19" s="92"/>
      <c r="D19" s="92"/>
      <c r="E19" s="92"/>
      <c r="F19" s="92"/>
      <c r="G19" s="92"/>
      <c r="H19" s="92"/>
      <c r="I19" s="92"/>
    </row>
    <row r="20" spans="2:11" ht="28.2" customHeight="1">
      <c r="B20" s="433"/>
      <c r="C20" s="433"/>
      <c r="D20" s="81" t="s">
        <v>0</v>
      </c>
      <c r="E20" s="81" t="s">
        <v>37</v>
      </c>
      <c r="F20" s="81" t="s">
        <v>2</v>
      </c>
      <c r="G20" s="78" t="s">
        <v>177</v>
      </c>
      <c r="H20" s="78" t="s">
        <v>144</v>
      </c>
      <c r="I20" s="78" t="s">
        <v>145</v>
      </c>
      <c r="J20" s="738"/>
      <c r="K20" s="86" t="s">
        <v>5</v>
      </c>
    </row>
    <row r="21" spans="2:11" ht="21.15" customHeight="1">
      <c r="B21" s="19">
        <v>2021</v>
      </c>
      <c r="C21" s="436" t="s">
        <v>48</v>
      </c>
      <c r="D21" s="434">
        <v>18878</v>
      </c>
      <c r="E21" s="434">
        <v>1924</v>
      </c>
      <c r="F21" s="434">
        <v>2853</v>
      </c>
      <c r="G21" s="434">
        <v>1715</v>
      </c>
      <c r="H21" s="434">
        <f>SUM(D21:G21)</f>
        <v>25370</v>
      </c>
      <c r="I21" s="23">
        <f>SUM(D21:G22)</f>
        <v>134147.35</v>
      </c>
      <c r="J21" s="23"/>
      <c r="K21" s="4" t="s">
        <v>401</v>
      </c>
    </row>
    <row r="22" spans="2:11" ht="21.15" customHeight="1">
      <c r="B22" s="18"/>
      <c r="C22" s="437" t="s">
        <v>49</v>
      </c>
      <c r="D22" s="435">
        <v>55544.35</v>
      </c>
      <c r="E22" s="435">
        <v>4286</v>
      </c>
      <c r="F22" s="435">
        <v>28522</v>
      </c>
      <c r="G22" s="435">
        <v>20425</v>
      </c>
      <c r="H22" s="435">
        <f>SUM(D22:G22)</f>
        <v>108777.35</v>
      </c>
      <c r="I22" s="22"/>
      <c r="J22" s="22"/>
      <c r="K22" s="4"/>
    </row>
    <row r="23" spans="2:11" ht="21.15" customHeight="1">
      <c r="B23" s="26">
        <v>2022</v>
      </c>
      <c r="C23" s="437" t="s">
        <v>48</v>
      </c>
      <c r="D23" s="435">
        <v>18217</v>
      </c>
      <c r="E23" s="435">
        <v>1656</v>
      </c>
      <c r="F23" s="435">
        <v>2754</v>
      </c>
      <c r="G23" s="435">
        <v>1563</v>
      </c>
      <c r="H23" s="435">
        <f>SUM(D23:G23)</f>
        <v>24190</v>
      </c>
      <c r="I23" s="10">
        <f>SUM(D23:G25)</f>
        <v>157546.62105387056</v>
      </c>
      <c r="J23" s="10"/>
      <c r="K23" s="4"/>
    </row>
    <row r="24" spans="2:11" ht="21.15" customHeight="1">
      <c r="B24" s="25"/>
      <c r="C24" s="437" t="s">
        <v>49</v>
      </c>
      <c r="D24" s="435">
        <v>54589.22</v>
      </c>
      <c r="E24" s="435">
        <v>3930</v>
      </c>
      <c r="F24" s="435">
        <v>24272</v>
      </c>
      <c r="G24" s="435">
        <v>20604</v>
      </c>
      <c r="H24" s="435">
        <f>SUM(D24:G24)</f>
        <v>103395.22</v>
      </c>
      <c r="I24" s="9"/>
      <c r="J24" s="9"/>
      <c r="K24" s="4"/>
    </row>
    <row r="25" spans="2:11" ht="21.15" customHeight="1">
      <c r="B25" s="24"/>
      <c r="C25" s="437" t="s">
        <v>389</v>
      </c>
      <c r="D25" s="107">
        <v>29961.401053870566</v>
      </c>
      <c r="E25" s="435"/>
      <c r="F25" s="435"/>
      <c r="H25" s="107">
        <v>29961.401053870566</v>
      </c>
      <c r="I25" s="23"/>
      <c r="J25" s="23"/>
      <c r="K25" s="4"/>
    </row>
    <row r="26" spans="2:11" ht="21.15" customHeight="1">
      <c r="B26" s="26">
        <v>2023</v>
      </c>
      <c r="C26" s="437" t="s">
        <v>48</v>
      </c>
      <c r="D26" s="435">
        <v>19007.21</v>
      </c>
      <c r="E26" s="176">
        <v>1560.28</v>
      </c>
      <c r="F26" s="176">
        <v>2484.78</v>
      </c>
      <c r="G26" s="176">
        <v>1743.83</v>
      </c>
      <c r="H26" s="435">
        <f>SUM(D26:G26)</f>
        <v>24796.10</v>
      </c>
      <c r="I26" s="10">
        <f>SUM(D26:G28)</f>
        <v>156640.84620190473</v>
      </c>
      <c r="J26" s="10"/>
      <c r="K26" s="4"/>
    </row>
    <row r="27" spans="2:18" ht="24.9" customHeight="1">
      <c r="B27" s="25"/>
      <c r="C27" s="437" t="s">
        <v>49</v>
      </c>
      <c r="D27" s="435">
        <v>53874.82</v>
      </c>
      <c r="E27" s="107">
        <v>3674.54</v>
      </c>
      <c r="F27" s="107">
        <v>28513.36</v>
      </c>
      <c r="G27" s="107">
        <v>26192.01</v>
      </c>
      <c r="H27" s="435">
        <f>SUM(D27:G27)</f>
        <v>112254.73</v>
      </c>
      <c r="I27" s="9"/>
      <c r="J27" s="9"/>
      <c r="K27" s="4"/>
      <c r="L27" s="92"/>
      <c r="M27" s="92"/>
      <c r="N27" s="92"/>
      <c r="O27" s="92"/>
      <c r="P27" s="92"/>
      <c r="Q27" s="92"/>
      <c r="R27" s="92"/>
    </row>
    <row r="28" spans="2:18" ht="24.9" customHeight="1">
      <c r="B28" s="25"/>
      <c r="C28" s="437" t="s">
        <v>389</v>
      </c>
      <c r="D28" s="435">
        <v>19590.016201904735</v>
      </c>
      <c r="E28" s="435"/>
      <c r="F28" s="435"/>
      <c r="G28" s="435"/>
      <c r="H28" s="435">
        <v>19590.016201904735</v>
      </c>
      <c r="I28" s="9"/>
      <c r="J28" s="9"/>
      <c r="K28" s="4"/>
      <c r="L28" s="92"/>
      <c r="M28" s="92"/>
      <c r="N28" s="92"/>
      <c r="O28" s="92"/>
      <c r="P28" s="92"/>
      <c r="Q28" s="92"/>
      <c r="R28" s="92"/>
    </row>
    <row r="29" spans="2:18" ht="24.9" customHeight="1">
      <c r="B29" s="683"/>
      <c r="C29" s="625"/>
      <c r="D29" s="496"/>
      <c r="E29" s="496"/>
      <c r="F29" s="496"/>
      <c r="G29" s="496"/>
      <c r="H29" s="496"/>
      <c r="I29" s="626"/>
      <c r="J29" s="626"/>
      <c r="K29" s="733"/>
      <c r="L29" s="92"/>
      <c r="M29" s="92"/>
      <c r="N29" s="92"/>
      <c r="O29" s="92"/>
      <c r="P29" s="92"/>
      <c r="Q29" s="92"/>
      <c r="R29" s="92"/>
    </row>
    <row r="30" spans="2:18" ht="24.9" customHeight="1">
      <c r="B30" s="427" t="s">
        <v>465</v>
      </c>
      <c r="C30" s="419"/>
      <c r="D30" s="419"/>
      <c r="E30" s="419"/>
      <c r="F30" s="419"/>
      <c r="G30" s="419"/>
      <c r="H30" s="419"/>
      <c r="I30" s="419"/>
      <c r="J30" s="5"/>
      <c r="K30" s="5"/>
      <c r="L30" s="92"/>
      <c r="M30" s="92"/>
      <c r="N30" s="92"/>
      <c r="O30" s="92"/>
      <c r="P30" s="92"/>
      <c r="Q30" s="92"/>
      <c r="R30" s="92"/>
    </row>
    <row r="31" spans="2:18" ht="24.9" customHeight="1">
      <c r="B31" s="92" t="s">
        <v>404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</row>
    <row r="32" spans="2:11" s="50" customFormat="1" ht="37.5" customHeight="1">
      <c r="B32" s="33"/>
      <c r="C32" s="13" t="s">
        <v>121</v>
      </c>
      <c r="D32" s="12"/>
      <c r="E32" s="13" t="s">
        <v>122</v>
      </c>
      <c r="F32" s="13"/>
      <c r="G32" s="11" t="s">
        <v>123</v>
      </c>
      <c r="H32" s="12"/>
      <c r="I32" s="11" t="s">
        <v>124</v>
      </c>
      <c r="J32" s="12"/>
      <c r="K32" s="86" t="s">
        <v>5</v>
      </c>
    </row>
    <row r="33" spans="2:11" s="50" customFormat="1" ht="21.15" customHeight="1">
      <c r="B33" s="438"/>
      <c r="C33" s="294">
        <v>2022</v>
      </c>
      <c r="D33" s="294">
        <v>2023</v>
      </c>
      <c r="E33" s="630">
        <v>2022</v>
      </c>
      <c r="F33" s="631">
        <v>2023</v>
      </c>
      <c r="G33" s="294">
        <v>2022</v>
      </c>
      <c r="H33" s="631">
        <v>2023</v>
      </c>
      <c r="I33" s="294">
        <v>2022</v>
      </c>
      <c r="J33" s="734">
        <v>2023</v>
      </c>
      <c r="K33" s="1" t="s">
        <v>14</v>
      </c>
    </row>
    <row r="34" spans="2:11" s="50" customFormat="1" ht="21.15" customHeight="1">
      <c r="B34" s="439" t="s">
        <v>0</v>
      </c>
      <c r="C34" s="440">
        <f>282/5610</f>
        <v>0.05026737967914439</v>
      </c>
      <c r="D34" s="443">
        <v>0.047</v>
      </c>
      <c r="E34" s="440">
        <f>62/5610</f>
        <v>0.01105169340463458</v>
      </c>
      <c r="F34" s="632">
        <v>0.01</v>
      </c>
      <c r="G34" s="173" t="s">
        <v>125</v>
      </c>
      <c r="H34" s="635">
        <v>0.015</v>
      </c>
      <c r="I34" s="627">
        <f>285/5610</f>
        <v>0.05080213903743316</v>
      </c>
      <c r="J34" s="735">
        <v>0.083</v>
      </c>
      <c r="K34" s="1"/>
    </row>
    <row r="35" spans="2:11" s="50" customFormat="1" ht="21.15" customHeight="1">
      <c r="B35" s="441" t="s">
        <v>37</v>
      </c>
      <c r="C35" s="628">
        <v>0.025</v>
      </c>
      <c r="D35" s="444">
        <v>0.003681885125184094</v>
      </c>
      <c r="E35" s="174" t="s">
        <v>125</v>
      </c>
      <c r="F35" s="633">
        <v>0.01645021645021645</v>
      </c>
      <c r="G35" s="174" t="s">
        <v>125</v>
      </c>
      <c r="H35" s="636">
        <v>0.006926406926406926</v>
      </c>
      <c r="I35" s="628">
        <f>97/1115</f>
        <v>0.08699551569506726</v>
      </c>
      <c r="J35" s="735">
        <v>0.15</v>
      </c>
      <c r="K35" s="1"/>
    </row>
    <row r="36" spans="2:11" s="50" customFormat="1" ht="21.15" customHeight="1">
      <c r="B36" s="441" t="s">
        <v>2</v>
      </c>
      <c r="C36" s="174" t="s">
        <v>125</v>
      </c>
      <c r="D36" s="444">
        <v>0.04033214709371293</v>
      </c>
      <c r="E36" s="174" t="s">
        <v>125</v>
      </c>
      <c r="F36" s="634">
        <v>0.01</v>
      </c>
      <c r="G36" s="174" t="s">
        <v>125</v>
      </c>
      <c r="H36" s="634">
        <v>0.06</v>
      </c>
      <c r="I36" s="629" t="s">
        <v>125</v>
      </c>
      <c r="J36" s="735">
        <v>0.02</v>
      </c>
      <c r="K36" s="1"/>
    </row>
    <row r="37" spans="2:11" s="50" customFormat="1" ht="21.15" customHeight="1">
      <c r="B37" s="254" t="s">
        <v>177</v>
      </c>
      <c r="C37" s="501">
        <v>0.032</v>
      </c>
      <c r="D37" s="599">
        <v>0.0256</v>
      </c>
      <c r="E37" s="169" t="s">
        <v>125</v>
      </c>
      <c r="F37" s="664">
        <v>0.0142</v>
      </c>
      <c r="G37" s="169" t="s">
        <v>125</v>
      </c>
      <c r="H37" s="664">
        <v>0.0142</v>
      </c>
      <c r="I37" s="169" t="s">
        <v>125</v>
      </c>
      <c r="J37" s="736">
        <v>0.02999</v>
      </c>
      <c r="K37" s="1"/>
    </row>
    <row r="38" spans="10:11" ht="21.15" customHeight="1">
      <c r="J38" s="737"/>
      <c r="K38"/>
    </row>
    <row r="39" spans="11:11" ht="21.15" customHeight="1">
      <c r="K39"/>
    </row>
    <row r="40" spans="11:11" ht="21.15" customHeight="1">
      <c r="K40"/>
    </row>
    <row r="41" spans="2:11" ht="24.9" customHeight="1">
      <c r="B41" s="427" t="s">
        <v>406</v>
      </c>
      <c r="C41" s="427"/>
      <c r="D41" s="427"/>
      <c r="E41" s="427"/>
      <c r="F41" s="427"/>
      <c r="G41" s="427"/>
      <c r="H41" s="427"/>
      <c r="I41" s="427"/>
      <c r="J41" s="427"/>
      <c r="K41" s="427"/>
    </row>
    <row r="42" spans="2:4" ht="24.9" customHeight="1">
      <c r="B42" s="92" t="s">
        <v>127</v>
      </c>
      <c r="C42" s="92"/>
      <c r="D42" s="92"/>
    </row>
    <row r="43" spans="1:11" s="162" customFormat="1" ht="27" customHeight="1">
      <c r="A43" s="190"/>
      <c r="B43" s="394"/>
      <c r="C43" s="6" t="s">
        <v>128</v>
      </c>
      <c r="D43" s="6"/>
      <c r="E43" s="6" t="s">
        <v>129</v>
      </c>
      <c r="F43" s="6"/>
      <c r="G43" s="6"/>
      <c r="H43" s="6"/>
      <c r="I43" s="6"/>
      <c r="J43" s="17"/>
      <c r="K43" s="86" t="s">
        <v>5</v>
      </c>
    </row>
    <row r="44" spans="1:11" ht="21.15" customHeight="1">
      <c r="A44" s="190"/>
      <c r="B44" s="187">
        <v>2021</v>
      </c>
      <c r="C44" s="8">
        <v>0.22</v>
      </c>
      <c r="D44" s="8"/>
      <c r="E44" s="8">
        <f>2/7</f>
        <v>0.2857142857142857</v>
      </c>
      <c r="F44" s="8"/>
      <c r="G44" s="8"/>
      <c r="H44" s="8"/>
      <c r="I44" s="8"/>
      <c r="J44" s="16"/>
      <c r="K44" s="1" t="s">
        <v>14</v>
      </c>
    </row>
    <row r="45" spans="1:11" ht="21.15" customHeight="1">
      <c r="A45" s="190"/>
      <c r="B45" s="31">
        <v>2022</v>
      </c>
      <c r="C45" s="7">
        <v>0.22</v>
      </c>
      <c r="D45" s="7"/>
      <c r="E45" s="7">
        <f>2/7</f>
        <v>0.2857142857142857</v>
      </c>
      <c r="F45" s="7"/>
      <c r="G45" s="7"/>
      <c r="H45" s="7"/>
      <c r="I45" s="7"/>
      <c r="J45" s="2"/>
      <c r="K45" s="1"/>
    </row>
    <row r="46" spans="2:11" ht="14.4">
      <c r="B46" s="31">
        <v>2023</v>
      </c>
      <c r="C46" s="8">
        <f>2/8</f>
        <v>0.25</v>
      </c>
      <c r="D46" s="8"/>
      <c r="E46" s="7">
        <f>2/6</f>
        <v>0.3333333333333333</v>
      </c>
      <c r="F46" s="7"/>
      <c r="G46" s="7"/>
      <c r="H46" s="7"/>
      <c r="I46" s="7"/>
      <c r="J46" s="2"/>
      <c r="K46" s="1"/>
    </row>
    <row r="47" spans="5:11" ht="14.4">
      <c r="E47" s="555"/>
      <c r="G47" s="555"/>
      <c r="I47" s="555"/>
      <c r="K47"/>
    </row>
    <row r="48" spans="11:11" ht="14.4">
      <c r="K48"/>
    </row>
  </sheetData>
  <mergeCells count="41">
    <mergeCell ref="K33:K37"/>
    <mergeCell ref="G43:H43"/>
    <mergeCell ref="I43:J43"/>
    <mergeCell ref="G44:H44"/>
    <mergeCell ref="I44:J44"/>
    <mergeCell ref="G45:H45"/>
    <mergeCell ref="I45:J45"/>
    <mergeCell ref="G46:H46"/>
    <mergeCell ref="I46:J46"/>
    <mergeCell ref="K44:K46"/>
    <mergeCell ref="J7:K7"/>
    <mergeCell ref="J30:K30"/>
    <mergeCell ref="I32:J32"/>
    <mergeCell ref="K21:K28"/>
    <mergeCell ref="J21:J22"/>
    <mergeCell ref="J23:J25"/>
    <mergeCell ref="J26:J28"/>
    <mergeCell ref="K11:K16"/>
    <mergeCell ref="K9:K10"/>
    <mergeCell ref="C46:D46"/>
    <mergeCell ref="E46:F46"/>
    <mergeCell ref="C43:D43"/>
    <mergeCell ref="C44:D44"/>
    <mergeCell ref="C45:D45"/>
    <mergeCell ref="E43:F43"/>
    <mergeCell ref="E44:F44"/>
    <mergeCell ref="E45:F45"/>
    <mergeCell ref="C32:D32"/>
    <mergeCell ref="E32:F32"/>
    <mergeCell ref="G32:H32"/>
    <mergeCell ref="I23:I25"/>
    <mergeCell ref="I26:I28"/>
    <mergeCell ref="B23:B25"/>
    <mergeCell ref="B26:B28"/>
    <mergeCell ref="I21:I22"/>
    <mergeCell ref="E9:F9"/>
    <mergeCell ref="G9:H9"/>
    <mergeCell ref="B21:B22"/>
    <mergeCell ref="C9:D9"/>
    <mergeCell ref="I9:J9"/>
    <mergeCell ref="J18:K18"/>
  </mergeCells>
  <pageMargins left="0.7" right="0.7" top="0.75" bottom="0.75" header="0.3" footer="0.3"/>
  <pageSetup orientation="portrait" paperSize="9" r:id="rId2"/>
  <headerFooter scaleWithDoc="0"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10E643C-8438-43CB-AB6F-FE31926F7C74}">
  <sheetPr>
    <tabColor rgb="FF002060"/>
  </sheetPr>
  <dimension ref="A1"/>
  <sheetViews>
    <sheetView showGridLines="0" rightToLeft="1" zoomScale="85" zoomScaleNormal="85" workbookViewId="0" topLeftCell="A1">
      <selection pane="topLeft" activeCell="D26" sqref="D26"/>
    </sheetView>
  </sheetViews>
  <sheetFormatPr defaultColWidth="9.114285714285714" defaultRowHeight="14.4"/>
  <cols>
    <col min="1" max="5" width="9.142857142857142" style="475" customWidth="1"/>
    <col min="6" max="16384" width="9.142857142857142" style="475"/>
  </cols>
  <sheetData/>
  <pageMargins left="0.7" right="0.7" top="0.75" bottom="0.75" header="0.3" footer="0.3"/>
  <pageSetup orientation="portrait" paperSize="9" r:id="rId2"/>
  <headerFooter scaleWithDoc="0"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8979F6B-B9E8-4D20-BE2A-23652A3173B7}">
  <dimension ref="B5:S47"/>
  <sheetViews>
    <sheetView showGridLines="0" rightToLeft="1" zoomScale="98" zoomScaleNormal="98" workbookViewId="0" topLeftCell="A1">
      <selection pane="topLeft" activeCell="N2" sqref="N2"/>
    </sheetView>
  </sheetViews>
  <sheetFormatPr defaultColWidth="9.114285714285714" defaultRowHeight="14.4"/>
  <cols>
    <col min="1" max="1" width="3.7142857142857144" customWidth="1"/>
    <col min="2" max="2" width="14.714285714285714" customWidth="1"/>
    <col min="3" max="9" width="10.714285714285714" customWidth="1"/>
    <col min="11" max="11" width="10.714285714285714" customWidth="1"/>
    <col min="14" max="14" width="33.285714285714285" customWidth="1"/>
    <col min="15" max="15" width="15.285714285714286" customWidth="1"/>
    <col min="16" max="16" width="16.714285714285715" customWidth="1"/>
  </cols>
  <sheetData>
    <row r="1" ht="15" customHeight="1"/>
    <row r="2" ht="15" customHeight="1"/>
    <row r="3" ht="15" customHeight="1"/>
    <row r="4" ht="15" customHeight="1"/>
    <row r="5" spans="2:18" ht="24" customHeight="1" thickBot="1">
      <c r="B5" s="65" t="s">
        <v>373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spans="2:9" ht="15" customHeight="1" thickTop="1">
      <c r="B6" s="67"/>
      <c r="C6" s="67"/>
      <c r="D6" s="67"/>
      <c r="E6" s="67"/>
      <c r="F6" s="67"/>
      <c r="G6" s="67"/>
      <c r="H6" s="67"/>
      <c r="I6" s="67"/>
    </row>
    <row r="7" spans="2:19" ht="24.9" customHeight="1">
      <c r="B7" s="752" t="s">
        <v>0</v>
      </c>
      <c r="C7" s="752"/>
      <c r="D7" s="752"/>
      <c r="E7" s="752"/>
      <c r="F7" s="752"/>
      <c r="G7" s="752"/>
      <c r="H7" s="752"/>
      <c r="M7" s="752" t="s">
        <v>400</v>
      </c>
      <c r="N7" s="752"/>
      <c r="O7" s="752"/>
      <c r="P7" s="752"/>
      <c r="Q7" s="752"/>
      <c r="R7" s="752"/>
      <c r="S7" s="752"/>
    </row>
    <row r="8" spans="2:18" ht="31.95" customHeight="1">
      <c r="B8" s="79"/>
      <c r="C8" s="81">
        <v>2017</v>
      </c>
      <c r="D8" s="81">
        <v>2018</v>
      </c>
      <c r="E8" s="81">
        <v>2019</v>
      </c>
      <c r="F8" s="81">
        <v>2020</v>
      </c>
      <c r="G8" s="81">
        <v>2021</v>
      </c>
      <c r="H8" s="81">
        <v>2022</v>
      </c>
      <c r="I8" s="81">
        <v>2023</v>
      </c>
      <c r="J8" s="86" t="s">
        <v>5</v>
      </c>
      <c r="M8" s="81" t="s">
        <v>398</v>
      </c>
      <c r="N8" s="81"/>
      <c r="O8" s="81">
        <v>2022</v>
      </c>
      <c r="P8" s="81">
        <v>2023</v>
      </c>
      <c r="Q8" s="81" t="s">
        <v>259</v>
      </c>
      <c r="R8" s="86" t="s">
        <v>5</v>
      </c>
    </row>
    <row r="9" spans="2:18" ht="21.15" customHeight="1">
      <c r="B9" s="76" t="s">
        <v>48</v>
      </c>
      <c r="C9" s="176">
        <v>22312</v>
      </c>
      <c r="D9" s="176">
        <v>21430</v>
      </c>
      <c r="E9" s="176">
        <v>21114</v>
      </c>
      <c r="F9" s="176">
        <v>17891</v>
      </c>
      <c r="G9" s="176">
        <v>18878</v>
      </c>
      <c r="H9" s="176">
        <v>18216.79</v>
      </c>
      <c r="I9" s="545">
        <v>19007.21</v>
      </c>
      <c r="J9" s="4" t="s">
        <v>401</v>
      </c>
      <c r="M9" s="176">
        <v>1</v>
      </c>
      <c r="N9" s="176" t="s">
        <v>390</v>
      </c>
      <c r="O9" s="176">
        <v>711.2691187601341</v>
      </c>
      <c r="P9" s="176">
        <v>832.4430143336951</v>
      </c>
      <c r="Q9" s="178">
        <f>(P9-O9)/O9</f>
        <v>0.17036293630291194</v>
      </c>
      <c r="R9" s="4" t="s">
        <v>419</v>
      </c>
    </row>
    <row r="10" spans="2:18" ht="21.15" customHeight="1">
      <c r="B10" s="70" t="s">
        <v>49</v>
      </c>
      <c r="C10" s="107">
        <v>87191</v>
      </c>
      <c r="D10" s="107">
        <v>84696</v>
      </c>
      <c r="E10" s="107">
        <v>80121</v>
      </c>
      <c r="F10" s="107">
        <v>73613</v>
      </c>
      <c r="G10" s="107">
        <v>55544.35</v>
      </c>
      <c r="H10" s="107">
        <v>54589</v>
      </c>
      <c r="I10" s="545">
        <v>53874.82</v>
      </c>
      <c r="J10" s="4"/>
      <c r="M10" s="107">
        <v>2</v>
      </c>
      <c r="N10" s="107" t="s">
        <v>391</v>
      </c>
      <c r="O10" s="176">
        <v>4372.236123095736</v>
      </c>
      <c r="P10" s="176">
        <v>4271.2813376378845</v>
      </c>
      <c r="Q10" s="178">
        <f t="shared" si="0" ref="Q10:Q15">(P10-O10)/O10</f>
        <v>-0.02308996646465903</v>
      </c>
      <c r="R10" s="4"/>
    </row>
    <row r="11" spans="2:18" ht="21.15" customHeight="1">
      <c r="B11" s="70" t="s">
        <v>399</v>
      </c>
      <c r="C11" s="107"/>
      <c r="D11" s="107"/>
      <c r="E11" s="107"/>
      <c r="F11" s="107"/>
      <c r="G11" s="107"/>
      <c r="H11" s="107">
        <v>29961.401053870566</v>
      </c>
      <c r="I11" s="545">
        <f>P16</f>
        <v>19590.016201904735</v>
      </c>
      <c r="J11" s="4"/>
      <c r="M11" s="107">
        <v>4</v>
      </c>
      <c r="N11" s="107" t="s">
        <v>392</v>
      </c>
      <c r="O11" s="176">
        <v>1697.1559205000005</v>
      </c>
      <c r="P11" s="176">
        <v>836.4536920384527</v>
      </c>
      <c r="Q11" s="178">
        <f t="shared" si="0"/>
        <v>-0.5071438740925911</v>
      </c>
      <c r="R11" s="4"/>
    </row>
    <row r="12" spans="2:18" ht="21.15" customHeight="1">
      <c r="B12" s="70" t="s">
        <v>8</v>
      </c>
      <c r="C12" s="177">
        <f>SUM(C9:C10)</f>
        <v>109503</v>
      </c>
      <c r="D12" s="177">
        <f>SUM(D9:D10)</f>
        <v>106126</v>
      </c>
      <c r="E12" s="177">
        <f>SUM(E9:E10)</f>
        <v>101235</v>
      </c>
      <c r="F12" s="177">
        <f>SUM(F9:F10)</f>
        <v>91504</v>
      </c>
      <c r="G12" s="177">
        <f>G9+G10</f>
        <v>74422.35</v>
      </c>
      <c r="H12" s="177">
        <f>H9+H10+H11</f>
        <v>102767.19105387057</v>
      </c>
      <c r="I12" s="546">
        <f>I9+I10+I11</f>
        <v>92472.04620190474</v>
      </c>
      <c r="J12" s="4"/>
      <c r="M12" s="107">
        <v>5</v>
      </c>
      <c r="N12" s="107" t="s">
        <v>393</v>
      </c>
      <c r="O12" s="176">
        <v>167.96508508</v>
      </c>
      <c r="P12" s="176">
        <v>144.69678632</v>
      </c>
      <c r="Q12" s="178">
        <f t="shared" si="0"/>
        <v>-0.13853056871264374</v>
      </c>
      <c r="R12" s="4"/>
    </row>
    <row r="13" spans="2:18" ht="54.6" customHeight="1">
      <c r="B13" s="72" t="s">
        <v>411</v>
      </c>
      <c r="C13" s="178"/>
      <c r="D13" s="178">
        <f t="shared" si="1" ref="D13:F13">(D12-C12)/C12</f>
        <v>-0.030839337735039222</v>
      </c>
      <c r="E13" s="178">
        <f t="shared" si="1"/>
        <v>-0.04608672709797788</v>
      </c>
      <c r="F13" s="178">
        <f t="shared" si="1"/>
        <v>-0.0961228824023312</v>
      </c>
      <c r="G13" s="178">
        <f>(G12-F12)/F12</f>
        <v>-0.18667653873054724</v>
      </c>
      <c r="H13" s="178">
        <f>((H9+H10)-G12)/G12</f>
        <v>-0.021721431801065103</v>
      </c>
      <c r="I13" s="178">
        <f>((I9+I10)-(H9+H10))/(H9+H10)</f>
        <v>0.0010471694627582598</v>
      </c>
      <c r="J13" s="4"/>
      <c r="M13" s="107">
        <v>6</v>
      </c>
      <c r="N13" s="107" t="s">
        <v>395</v>
      </c>
      <c r="O13" s="176">
        <v>19.1558</v>
      </c>
      <c r="P13" s="176">
        <v>25.232100000000003</v>
      </c>
      <c r="Q13" s="178">
        <f>(P13-O13)/O13</f>
        <v>0.31720418880965573</v>
      </c>
      <c r="R13" s="4"/>
    </row>
    <row r="14" spans="2:18" ht="35.4" customHeight="1">
      <c r="B14" s="72" t="s">
        <v>410</v>
      </c>
      <c r="C14" s="178"/>
      <c r="D14" s="178"/>
      <c r="E14" s="178"/>
      <c r="F14" s="178"/>
      <c r="G14" s="178"/>
      <c r="H14" s="178"/>
      <c r="I14" s="178">
        <f>(I12-H12)/H12</f>
        <v>-0.10017929600283727</v>
      </c>
      <c r="J14" s="4"/>
      <c r="M14" s="107">
        <v>7</v>
      </c>
      <c r="N14" s="107" t="s">
        <v>394</v>
      </c>
      <c r="O14" s="176">
        <v>922.2048660746956</v>
      </c>
      <c r="P14" s="176">
        <v>922.7171151746983</v>
      </c>
      <c r="Q14" s="178">
        <f t="shared" si="0"/>
        <v>5.554612850646145E-4</v>
      </c>
      <c r="R14" s="4"/>
    </row>
    <row r="15" spans="2:18" ht="24.9" customHeight="1">
      <c r="B15" s="753" t="s">
        <v>407</v>
      </c>
      <c r="C15" s="753"/>
      <c r="D15" s="753"/>
      <c r="E15" s="753"/>
      <c r="F15" s="753"/>
      <c r="G15" s="753"/>
      <c r="H15" s="753"/>
      <c r="I15" s="753"/>
      <c r="M15" s="107">
        <v>11</v>
      </c>
      <c r="N15" s="107" t="s">
        <v>396</v>
      </c>
      <c r="O15" s="176">
        <v>22071.41414036</v>
      </c>
      <c r="P15" s="176">
        <v>12557.192156400004</v>
      </c>
      <c r="Q15" s="178">
        <f t="shared" si="0"/>
        <v>-0.43106535555246545</v>
      </c>
      <c r="R15" s="4"/>
    </row>
    <row r="16" spans="2:18" ht="31.95" customHeight="1">
      <c r="B16" s="753"/>
      <c r="C16" s="753"/>
      <c r="D16" s="753"/>
      <c r="E16" s="753"/>
      <c r="F16" s="753"/>
      <c r="G16" s="753"/>
      <c r="H16" s="753"/>
      <c r="I16" s="753"/>
      <c r="M16" s="177" t="s">
        <v>397</v>
      </c>
      <c r="N16" s="177"/>
      <c r="O16" s="176">
        <f>SUM(O9:O15)</f>
        <v>29961.401053870566</v>
      </c>
      <c r="P16" s="176">
        <f>SUM(P9:P15)</f>
        <v>19590.016201904735</v>
      </c>
      <c r="Q16" s="178">
        <f>(P16-O16)/O16</f>
        <v>-0.3461582064643136</v>
      </c>
      <c r="R16" s="4"/>
    </row>
    <row r="17" spans="2:8" ht="21.15" customHeight="1">
      <c r="B17" s="752" t="s">
        <v>37</v>
      </c>
      <c r="C17" s="752"/>
      <c r="D17" s="752"/>
      <c r="E17" s="752"/>
      <c r="F17" s="752"/>
      <c r="G17" s="752"/>
      <c r="H17" s="752"/>
    </row>
    <row r="18" spans="2:9" ht="21.15" customHeight="1">
      <c r="B18" s="74"/>
      <c r="C18" s="74">
        <v>2021</v>
      </c>
      <c r="D18" s="74">
        <v>2022</v>
      </c>
      <c r="E18" s="74">
        <v>2023</v>
      </c>
      <c r="F18" s="74" t="s">
        <v>200</v>
      </c>
      <c r="G18" s="74"/>
      <c r="H18" s="74"/>
      <c r="I18" s="69" t="s">
        <v>5</v>
      </c>
    </row>
    <row r="19" spans="2:9" ht="21.15" customHeight="1">
      <c r="B19" s="179" t="s">
        <v>48</v>
      </c>
      <c r="C19" s="180">
        <v>1924</v>
      </c>
      <c r="D19" s="180">
        <v>1656</v>
      </c>
      <c r="E19" s="176">
        <v>1560.28</v>
      </c>
      <c r="F19" s="488">
        <f>(E19-D19)/D19</f>
        <v>-0.057801932367149776</v>
      </c>
      <c r="G19" s="181"/>
      <c r="H19" s="181"/>
      <c r="I19" s="754" t="s">
        <v>203</v>
      </c>
    </row>
    <row r="20" spans="2:9" ht="21.15" customHeight="1">
      <c r="B20" s="182" t="s">
        <v>49</v>
      </c>
      <c r="C20" s="183">
        <v>4286</v>
      </c>
      <c r="D20" s="183">
        <v>3930</v>
      </c>
      <c r="E20" s="107">
        <v>3674.54</v>
      </c>
      <c r="F20" s="488">
        <f>(E20-D20)/D20</f>
        <v>-0.0650025445292621</v>
      </c>
      <c r="G20" s="184"/>
      <c r="H20" s="184"/>
      <c r="I20" s="754"/>
    </row>
    <row r="21" spans="2:9" ht="24.9" customHeight="1">
      <c r="B21" s="31" t="s">
        <v>8</v>
      </c>
      <c r="C21" s="185">
        <f>C19+C20</f>
        <v>6210</v>
      </c>
      <c r="D21" s="185">
        <f>D19+D20</f>
        <v>5586</v>
      </c>
      <c r="E21" s="547">
        <f>E19+E20</f>
        <v>5234.82</v>
      </c>
      <c r="F21" s="491">
        <f t="shared" si="2" ref="F21">(E21-D21)/D21</f>
        <v>-0.0628678839957036</v>
      </c>
      <c r="G21" s="186"/>
      <c r="H21" s="186"/>
      <c r="I21" s="754"/>
    </row>
    <row r="22" ht="31.95" customHeight="1"/>
    <row r="23" spans="2:8" ht="21.15" customHeight="1">
      <c r="B23" s="752" t="s">
        <v>2</v>
      </c>
      <c r="C23" s="752"/>
      <c r="D23" s="752"/>
      <c r="E23" s="752"/>
      <c r="F23" s="752"/>
      <c r="G23" s="752"/>
      <c r="H23" s="752"/>
    </row>
    <row r="24" spans="2:9" ht="21.15" customHeight="1">
      <c r="B24" s="74"/>
      <c r="C24" s="74">
        <v>2021</v>
      </c>
      <c r="D24" s="74">
        <v>2022</v>
      </c>
      <c r="E24" s="74">
        <v>2023</v>
      </c>
      <c r="F24" s="74" t="s">
        <v>200</v>
      </c>
      <c r="G24" s="74"/>
      <c r="H24" s="74"/>
      <c r="I24" s="69" t="s">
        <v>5</v>
      </c>
    </row>
    <row r="25" spans="2:9" ht="21.15" customHeight="1">
      <c r="B25" s="179" t="s">
        <v>48</v>
      </c>
      <c r="C25" s="180">
        <v>2853</v>
      </c>
      <c r="D25" s="180">
        <v>2754</v>
      </c>
      <c r="E25" s="176">
        <v>2484.78</v>
      </c>
      <c r="F25" s="488">
        <f>(E25-D25)/D25</f>
        <v>-0.09775599128540298</v>
      </c>
      <c r="G25" s="181"/>
      <c r="H25" s="181"/>
      <c r="I25" s="754" t="s">
        <v>203</v>
      </c>
    </row>
    <row r="26" spans="2:9" ht="21.15" customHeight="1">
      <c r="B26" s="182" t="s">
        <v>49</v>
      </c>
      <c r="C26" s="183">
        <v>28522</v>
      </c>
      <c r="D26" s="183">
        <v>24272</v>
      </c>
      <c r="E26" s="107">
        <v>28513.36</v>
      </c>
      <c r="F26" s="488">
        <f>(E26-D26)/D26</f>
        <v>0.1747429136453527</v>
      </c>
      <c r="G26" s="184"/>
      <c r="H26" s="184"/>
      <c r="I26" s="754"/>
    </row>
    <row r="27" spans="2:9" ht="24.9" customHeight="1">
      <c r="B27" s="31" t="s">
        <v>8</v>
      </c>
      <c r="C27" s="185">
        <f>C25+C26</f>
        <v>31375</v>
      </c>
      <c r="D27" s="185">
        <f>D25+D26</f>
        <v>27026</v>
      </c>
      <c r="E27" s="547">
        <f>E26+E25</f>
        <v>30998.14</v>
      </c>
      <c r="F27" s="491">
        <f t="shared" si="3" ref="F27">(E27-D27)/D27</f>
        <v>0.14697476504107154</v>
      </c>
      <c r="G27" s="186"/>
      <c r="H27" s="186"/>
      <c r="I27" s="754"/>
    </row>
    <row r="28" ht="31.95" customHeight="1"/>
    <row r="29" spans="2:8" ht="21.15" customHeight="1">
      <c r="B29" s="752" t="s">
        <v>199</v>
      </c>
      <c r="C29" s="752"/>
      <c r="D29" s="752"/>
      <c r="E29" s="752"/>
      <c r="F29" s="752"/>
      <c r="G29" s="752"/>
      <c r="H29" s="752"/>
    </row>
    <row r="30" spans="2:9" ht="21.15" customHeight="1">
      <c r="B30" s="74"/>
      <c r="C30" s="74">
        <v>2021</v>
      </c>
      <c r="D30" s="74">
        <v>2022</v>
      </c>
      <c r="E30" s="74">
        <v>2023</v>
      </c>
      <c r="F30" s="74" t="s">
        <v>200</v>
      </c>
      <c r="G30" s="74"/>
      <c r="H30" s="74"/>
      <c r="I30" s="69" t="s">
        <v>5</v>
      </c>
    </row>
    <row r="31" spans="2:9" ht="21.15" customHeight="1">
      <c r="B31" s="187" t="s">
        <v>48</v>
      </c>
      <c r="C31" s="180">
        <v>1715</v>
      </c>
      <c r="D31" s="180">
        <v>1563</v>
      </c>
      <c r="E31" s="176">
        <v>1743.83</v>
      </c>
      <c r="F31" s="488">
        <f>(E31-D31)/D31</f>
        <v>0.11569417786308377</v>
      </c>
      <c r="G31" s="181"/>
      <c r="H31" s="181"/>
      <c r="I31" s="754" t="s">
        <v>203</v>
      </c>
    </row>
    <row r="32" spans="2:9" ht="21.15" customHeight="1">
      <c r="B32" s="188" t="s">
        <v>49</v>
      </c>
      <c r="C32" s="183">
        <v>20425</v>
      </c>
      <c r="D32" s="183">
        <v>20604</v>
      </c>
      <c r="E32" s="107">
        <v>23501</v>
      </c>
      <c r="F32" s="488">
        <f>(E32-D32)/D32</f>
        <v>0.14060376625897883</v>
      </c>
      <c r="G32" s="184"/>
      <c r="H32" s="184"/>
      <c r="I32" s="754"/>
    </row>
    <row r="33" spans="2:9" ht="24.9" customHeight="1">
      <c r="B33" s="31" t="s">
        <v>8</v>
      </c>
      <c r="C33" s="185">
        <f>C31+C32</f>
        <v>22140</v>
      </c>
      <c r="D33" s="185">
        <f>D31+D32</f>
        <v>22167</v>
      </c>
      <c r="E33" s="185">
        <f>E31+E32</f>
        <v>25244.83</v>
      </c>
      <c r="F33" s="491">
        <f t="shared" si="4" ref="F33">(E33-D33)/D33</f>
        <v>0.13884738575359776</v>
      </c>
      <c r="G33" s="186"/>
      <c r="H33" s="186"/>
      <c r="I33" s="754"/>
    </row>
    <row r="34" ht="31.95" customHeight="1"/>
    <row r="35" spans="2:8" ht="21.15" customHeight="1">
      <c r="B35" s="752" t="s">
        <v>277</v>
      </c>
      <c r="C35" s="752"/>
      <c r="D35" s="752"/>
      <c r="E35" s="752"/>
      <c r="F35" s="752"/>
      <c r="G35" s="752"/>
      <c r="H35" s="752"/>
    </row>
    <row r="36" spans="2:9" ht="50.4" customHeight="1">
      <c r="B36" s="80" t="s">
        <v>189</v>
      </c>
      <c r="C36" s="80" t="s">
        <v>201</v>
      </c>
      <c r="D36" s="80" t="s">
        <v>202</v>
      </c>
      <c r="E36" s="80" t="s">
        <v>8</v>
      </c>
      <c r="F36" s="80" t="s">
        <v>408</v>
      </c>
      <c r="G36" s="80" t="s">
        <v>409</v>
      </c>
      <c r="H36" s="80"/>
      <c r="I36" s="69" t="s">
        <v>5</v>
      </c>
    </row>
    <row r="37" spans="2:9" ht="21.15" customHeight="1">
      <c r="B37" s="15">
        <v>2021</v>
      </c>
      <c r="C37" s="189" t="s">
        <v>48</v>
      </c>
      <c r="D37" s="176">
        <f>G9+C19+C25+C31</f>
        <v>25370</v>
      </c>
      <c r="E37" s="767">
        <f>D37+D38</f>
        <v>134147.35</v>
      </c>
      <c r="F37" s="190"/>
      <c r="G37" s="190"/>
      <c r="H37" s="191"/>
      <c r="I37" s="754" t="s">
        <v>203</v>
      </c>
    </row>
    <row r="38" spans="2:9" ht="21.15" customHeight="1">
      <c r="B38" s="751"/>
      <c r="C38" s="192" t="s">
        <v>49</v>
      </c>
      <c r="D38" s="107">
        <v>108777.35</v>
      </c>
      <c r="E38" s="766"/>
      <c r="F38" s="190"/>
      <c r="G38" s="161"/>
      <c r="H38" s="161"/>
      <c r="I38" s="754"/>
    </row>
    <row r="39" spans="2:9" ht="21.15" customHeight="1">
      <c r="B39" s="751">
        <v>2022</v>
      </c>
      <c r="C39" s="192" t="s">
        <v>48</v>
      </c>
      <c r="D39" s="107">
        <f>H9+D19+D25+D31</f>
        <v>24189.79</v>
      </c>
      <c r="E39" s="766">
        <f>D39+D40+D41</f>
        <v>157546.19105387057</v>
      </c>
      <c r="F39" s="755"/>
      <c r="G39" s="755">
        <f>((D39+D40)-(D38+D37))/(D38+D37)</f>
        <v>-0.04892053402471236</v>
      </c>
      <c r="H39" s="193"/>
      <c r="I39" s="754"/>
    </row>
    <row r="40" spans="2:9" ht="24.9" customHeight="1">
      <c r="B40" s="751"/>
      <c r="C40" s="192" t="s">
        <v>49</v>
      </c>
      <c r="D40" s="107">
        <f>D32+D26+D20+H10</f>
        <v>103395</v>
      </c>
      <c r="E40" s="766"/>
      <c r="F40" s="756"/>
      <c r="G40" s="756"/>
      <c r="H40" s="190"/>
      <c r="I40" s="754"/>
    </row>
    <row r="41" spans="2:9" ht="31.95" customHeight="1">
      <c r="B41" s="751"/>
      <c r="C41" s="624" t="s">
        <v>389</v>
      </c>
      <c r="D41" s="107">
        <f>H11</f>
        <v>29961.401053870566</v>
      </c>
      <c r="E41" s="766"/>
      <c r="F41" s="757"/>
      <c r="G41" s="757"/>
      <c r="H41" s="161"/>
      <c r="I41" s="754"/>
    </row>
    <row r="42" spans="2:9" ht="21.15" customHeight="1">
      <c r="B42" s="758">
        <v>2023</v>
      </c>
      <c r="C42" s="192" t="s">
        <v>48</v>
      </c>
      <c r="D42" s="107">
        <f>I9+E19+E25+E31</f>
        <v>24796.10</v>
      </c>
      <c r="E42" s="760">
        <f>D42+D43+D44</f>
        <v>153949.83620190475</v>
      </c>
      <c r="F42" s="755">
        <f>(E42-E39)/E39</f>
        <v>-0.02282730434743485</v>
      </c>
      <c r="G42" s="755">
        <f>((D42+D43)-(D39+D40))/(D39+D40)</f>
        <v>0.05310217620768117</v>
      </c>
      <c r="H42" s="763"/>
      <c r="I42" s="754"/>
    </row>
    <row r="43" spans="2:9" ht="24.9" customHeight="1">
      <c r="B43" s="759"/>
      <c r="C43" s="192" t="s">
        <v>49</v>
      </c>
      <c r="D43" s="107">
        <f>I10+E20+E26+E32</f>
        <v>109563.72</v>
      </c>
      <c r="E43" s="761"/>
      <c r="F43" s="756"/>
      <c r="G43" s="756"/>
      <c r="H43" s="764"/>
      <c r="I43" s="754"/>
    </row>
    <row r="44" spans="2:8" ht="21.15" customHeight="1">
      <c r="B44" s="759"/>
      <c r="C44" s="624" t="s">
        <v>389</v>
      </c>
      <c r="D44" s="107">
        <f>I11</f>
        <v>19590.016201904735</v>
      </c>
      <c r="E44" s="762"/>
      <c r="F44" s="757"/>
      <c r="G44" s="757"/>
      <c r="H44" s="765"/>
    </row>
    <row r="45" ht="21.15" customHeight="1"/>
    <row r="46" ht="21.15" customHeight="1"/>
    <row r="47" spans="2:2" ht="21.15" customHeight="1">
      <c r="B47" s="483"/>
    </row>
    <row r="50" ht="33.6" customHeight="1"/>
  </sheetData>
  <mergeCells count="24">
    <mergeCell ref="B35:H35"/>
    <mergeCell ref="B42:B44"/>
    <mergeCell ref="F42:F44"/>
    <mergeCell ref="E42:E44"/>
    <mergeCell ref="G42:G44"/>
    <mergeCell ref="H42:H44"/>
    <mergeCell ref="E39:E41"/>
    <mergeCell ref="E37:E38"/>
    <mergeCell ref="B37:B38"/>
    <mergeCell ref="B39:B41"/>
    <mergeCell ref="M7:S7"/>
    <mergeCell ref="R9:R16"/>
    <mergeCell ref="B7:H7"/>
    <mergeCell ref="B15:I16"/>
    <mergeCell ref="B17:H17"/>
    <mergeCell ref="J9:J14"/>
    <mergeCell ref="I19:I21"/>
    <mergeCell ref="F39:F41"/>
    <mergeCell ref="I37:I43"/>
    <mergeCell ref="I25:I27"/>
    <mergeCell ref="G39:G41"/>
    <mergeCell ref="B23:H23"/>
    <mergeCell ref="I31:I33"/>
    <mergeCell ref="B29:H29"/>
  </mergeCells>
  <pageMargins left="0.7" right="0.7" top="0.75" bottom="0.75" header="0.3" footer="0.3"/>
  <pageSetup orientation="portrait" paperSize="9" r:id="rId4"/>
  <headerFooter scaleWithDoc="0"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C9B1C06-C890-413C-BB29-DAAD6574CE81}">
  <dimension ref="B2:AE27"/>
  <sheetViews>
    <sheetView showGridLines="0" rightToLeft="1" workbookViewId="0" topLeftCell="A1">
      <selection pane="topLeft" activeCell="L3" sqref="L3"/>
    </sheetView>
  </sheetViews>
  <sheetFormatPr defaultColWidth="9.114285714285714" defaultRowHeight="14.4"/>
  <cols>
    <col min="1" max="1" width="3.7142857142857144" customWidth="1"/>
    <col min="2" max="2" width="14.571428571428571" customWidth="1"/>
    <col min="3" max="15" width="10.714285714285714" customWidth="1"/>
    <col min="22" max="22" width="12.285714285714286" customWidth="1"/>
    <col min="23" max="23" width="14.142857142857142" customWidth="1"/>
    <col min="24" max="24" width="14.714285714285714" customWidth="1"/>
    <col min="25" max="25" width="16.428571428571427" customWidth="1"/>
    <col min="26" max="26" width="20.428571428571427" customWidth="1"/>
    <col min="27" max="27" width="17.285714285714285" customWidth="1"/>
  </cols>
  <sheetData>
    <row r="1" ht="15" customHeight="1"/>
    <row r="2" spans="16:31" ht="15" customHeight="1">
      <c r="P2" s="481"/>
      <c r="Q2" s="481"/>
      <c r="R2" s="481"/>
      <c r="S2" s="481"/>
      <c r="T2" s="481"/>
      <c r="U2" s="481"/>
      <c r="V2" s="481"/>
      <c r="W2" s="481"/>
      <c r="X2" s="481"/>
      <c r="Y2" s="481"/>
      <c r="Z2" s="481"/>
      <c r="AA2" s="481"/>
      <c r="AB2" s="481"/>
      <c r="AC2" s="481"/>
      <c r="AD2" s="481"/>
      <c r="AE2" s="481"/>
    </row>
    <row r="3" spans="16:31" ht="15" customHeight="1">
      <c r="P3" s="481"/>
      <c r="Q3" s="481"/>
      <c r="R3" s="481"/>
      <c r="S3" s="481"/>
      <c r="T3" s="481"/>
      <c r="U3" s="481"/>
      <c r="V3" s="481"/>
      <c r="W3" s="481"/>
      <c r="X3" s="481"/>
      <c r="Y3" s="481"/>
      <c r="Z3" s="481"/>
      <c r="AA3" s="481"/>
      <c r="AB3" s="481"/>
      <c r="AC3" s="481"/>
      <c r="AD3" s="481"/>
      <c r="AE3" s="481"/>
    </row>
    <row r="4" spans="16:31" ht="15" customHeight="1">
      <c r="P4" s="481"/>
      <c r="Q4" s="481"/>
      <c r="R4" s="481"/>
      <c r="S4" s="481"/>
      <c r="T4" s="481"/>
      <c r="U4" s="481"/>
      <c r="V4" s="481"/>
      <c r="W4" s="481"/>
      <c r="X4" s="481"/>
      <c r="Y4" s="481"/>
      <c r="Z4" s="481"/>
      <c r="AA4" s="481"/>
      <c r="AB4" s="481"/>
      <c r="AC4" s="481"/>
      <c r="AD4" s="481"/>
      <c r="AE4" s="481"/>
    </row>
    <row r="5" spans="2:31" ht="24" customHeight="1" thickBot="1">
      <c r="B5" s="65" t="s">
        <v>278</v>
      </c>
      <c r="C5" s="65"/>
      <c r="D5" s="65"/>
      <c r="E5" s="65"/>
      <c r="F5" s="65"/>
      <c r="G5" s="65"/>
      <c r="H5" s="65"/>
      <c r="I5" s="65"/>
      <c r="J5" s="65"/>
      <c r="K5" s="492"/>
      <c r="L5" s="492"/>
      <c r="M5" s="492"/>
      <c r="N5" s="492"/>
      <c r="O5" s="492"/>
      <c r="P5" s="646"/>
      <c r="Q5" s="646"/>
      <c r="R5" s="646"/>
      <c r="S5" s="646"/>
      <c r="T5" s="646"/>
      <c r="U5" s="646"/>
      <c r="V5" s="646"/>
      <c r="W5" s="646"/>
      <c r="X5" s="646"/>
      <c r="Y5" s="646"/>
      <c r="Z5" s="481"/>
      <c r="AA5" s="481"/>
      <c r="AB5" s="481"/>
      <c r="AC5" s="481"/>
      <c r="AD5" s="481"/>
      <c r="AE5" s="481"/>
    </row>
    <row r="6" spans="2:31" ht="15" customHeight="1" thickTop="1">
      <c r="B6" s="67"/>
      <c r="C6" s="67"/>
      <c r="D6" s="67"/>
      <c r="E6" s="67"/>
      <c r="F6" s="67"/>
      <c r="G6" s="67"/>
      <c r="H6" s="67"/>
      <c r="I6" s="67"/>
      <c r="J6" s="67"/>
      <c r="K6" s="493"/>
      <c r="P6" s="481"/>
      <c r="Q6" s="481"/>
      <c r="R6" s="481"/>
      <c r="S6" s="481"/>
      <c r="T6" s="481"/>
      <c r="U6" s="481"/>
      <c r="V6" s="481"/>
      <c r="W6" s="481"/>
      <c r="X6" s="481"/>
      <c r="Y6" s="481"/>
      <c r="Z6" s="481"/>
      <c r="AA6" s="481"/>
      <c r="AB6" s="481"/>
      <c r="AC6" s="481"/>
      <c r="AD6" s="481"/>
      <c r="AE6" s="481"/>
    </row>
    <row r="7" spans="2:31" ht="24.9" customHeight="1">
      <c r="B7" s="752" t="s">
        <v>279</v>
      </c>
      <c r="C7" s="752"/>
      <c r="D7" s="752"/>
      <c r="E7" s="752"/>
      <c r="F7" s="752"/>
      <c r="G7" s="752"/>
      <c r="H7" s="752"/>
      <c r="I7" s="752"/>
      <c r="J7" s="487"/>
      <c r="K7" s="768"/>
      <c r="L7" s="768"/>
      <c r="M7" s="768"/>
      <c r="N7" s="494"/>
      <c r="O7" s="494"/>
      <c r="P7" s="481"/>
      <c r="Q7" s="481"/>
      <c r="R7" s="481"/>
      <c r="S7" s="481"/>
      <c r="T7" s="481"/>
      <c r="U7" s="481"/>
      <c r="V7" s="772" t="s">
        <v>260</v>
      </c>
      <c r="W7" s="772"/>
      <c r="X7" s="772"/>
      <c r="Y7" s="481"/>
      <c r="Z7" s="481"/>
      <c r="AA7" s="481"/>
      <c r="AB7" s="481"/>
      <c r="AC7" s="481"/>
      <c r="AD7" s="481"/>
      <c r="AE7" s="481"/>
    </row>
    <row r="8" spans="2:31" s="83" customFormat="1" ht="21.15" customHeight="1">
      <c r="B8" s="87"/>
      <c r="C8" s="769" t="s">
        <v>48</v>
      </c>
      <c r="D8" s="769"/>
      <c r="E8" s="769"/>
      <c r="F8" s="770"/>
      <c r="G8" s="771" t="s">
        <v>49</v>
      </c>
      <c r="H8" s="769"/>
      <c r="I8" s="769"/>
      <c r="J8" s="770"/>
      <c r="K8" s="773" t="s">
        <v>8</v>
      </c>
      <c r="L8" s="773"/>
      <c r="M8" s="771"/>
      <c r="N8" s="740"/>
      <c r="O8" s="776" t="s">
        <v>403</v>
      </c>
      <c r="P8" s="774" t="s">
        <v>48</v>
      </c>
      <c r="Q8" s="774"/>
      <c r="R8" s="774"/>
      <c r="S8" s="774" t="s">
        <v>49</v>
      </c>
      <c r="T8" s="774"/>
      <c r="U8" s="774"/>
      <c r="V8" s="482"/>
      <c r="W8" s="482">
        <v>2021</v>
      </c>
      <c r="X8" s="482">
        <v>2022</v>
      </c>
      <c r="Y8" s="482">
        <v>2023</v>
      </c>
      <c r="Z8" s="482"/>
      <c r="AA8" s="482"/>
      <c r="AB8" s="482"/>
      <c r="AC8" s="482"/>
      <c r="AD8" s="482"/>
      <c r="AE8" s="482"/>
    </row>
    <row r="9" spans="2:31" s="83" customFormat="1" ht="21.15" customHeight="1">
      <c r="B9" s="88"/>
      <c r="C9" s="89">
        <v>2021</v>
      </c>
      <c r="D9" s="89">
        <v>2022</v>
      </c>
      <c r="E9" s="89">
        <v>2023</v>
      </c>
      <c r="F9" s="90" t="s">
        <v>259</v>
      </c>
      <c r="G9" s="91">
        <v>2021</v>
      </c>
      <c r="H9" s="89">
        <v>2022</v>
      </c>
      <c r="I9" s="89">
        <v>2023</v>
      </c>
      <c r="J9" s="90" t="s">
        <v>259</v>
      </c>
      <c r="K9" s="91">
        <v>2021</v>
      </c>
      <c r="L9" s="89">
        <v>2022</v>
      </c>
      <c r="M9" s="89">
        <v>2023</v>
      </c>
      <c r="N9" s="741" t="s">
        <v>259</v>
      </c>
      <c r="O9" s="776"/>
      <c r="P9" s="482">
        <v>2021</v>
      </c>
      <c r="Q9" s="482">
        <v>2022</v>
      </c>
      <c r="R9" s="482">
        <v>2023</v>
      </c>
      <c r="S9" s="482">
        <v>2021</v>
      </c>
      <c r="T9" s="482">
        <v>2022</v>
      </c>
      <c r="U9" s="482">
        <v>2023</v>
      </c>
      <c r="V9" s="647" t="s">
        <v>0</v>
      </c>
      <c r="W9" s="648">
        <v>4182</v>
      </c>
      <c r="X9" s="648">
        <v>4306</v>
      </c>
      <c r="Y9" s="482">
        <v>4182</v>
      </c>
      <c r="Z9" s="482"/>
      <c r="AA9" s="482"/>
      <c r="AB9" s="482"/>
      <c r="AC9" s="482"/>
      <c r="AD9" s="482"/>
      <c r="AE9" s="482"/>
    </row>
    <row r="10" spans="2:31" s="83" customFormat="1" ht="21.15" customHeight="1">
      <c r="B10" s="166" t="s">
        <v>0</v>
      </c>
      <c r="C10" s="194">
        <f t="shared" si="0" ref="C10:D13">P10/W9</f>
        <v>4.514108082257293</v>
      </c>
      <c r="D10" s="194">
        <f t="shared" si="0"/>
        <v>4.230559684161635</v>
      </c>
      <c r="E10" s="540">
        <f>$R10/$Y9</f>
        <v>4.545076518412243</v>
      </c>
      <c r="F10" s="541">
        <f>(E10-D10)/D10</f>
        <v>0.07434402484099097</v>
      </c>
      <c r="G10" s="542">
        <f>S10/W9</f>
        <v>13.281767097082735</v>
      </c>
      <c r="H10" s="194">
        <f>T10/X9</f>
        <v>12.677426846261032</v>
      </c>
      <c r="I10" s="548">
        <f>$U10/$Y9</f>
        <v>12.88242706838833</v>
      </c>
      <c r="J10" s="541">
        <f>(I10-H10)/H10</f>
        <v>0.016170491426480516</v>
      </c>
      <c r="K10" s="543">
        <f t="shared" si="1" ref="K10:M13">(P10+S10)/W9</f>
        <v>17.79587517934003</v>
      </c>
      <c r="L10" s="544">
        <f t="shared" si="1"/>
        <v>16.90798653042267</v>
      </c>
      <c r="M10" s="544">
        <f t="shared" si="1"/>
        <v>17.427503586800572</v>
      </c>
      <c r="N10" s="35">
        <f>(M10-L10)/L10</f>
        <v>0.030726133797370415</v>
      </c>
      <c r="O10" s="777" t="s">
        <v>353</v>
      </c>
      <c r="P10" s="649">
        <v>18878</v>
      </c>
      <c r="Q10" s="649">
        <v>18216.79</v>
      </c>
      <c r="R10" s="649">
        <v>19007.51</v>
      </c>
      <c r="S10" s="650">
        <v>55544.35</v>
      </c>
      <c r="T10" s="649">
        <v>54589</v>
      </c>
      <c r="U10" s="651">
        <v>53874.31</v>
      </c>
      <c r="V10" s="647" t="s">
        <v>37</v>
      </c>
      <c r="W10" s="648">
        <v>1270</v>
      </c>
      <c r="X10" s="648">
        <v>1277</v>
      </c>
      <c r="Y10" s="482">
        <v>1308</v>
      </c>
      <c r="Z10" s="482"/>
      <c r="AA10" s="482"/>
      <c r="AB10" s="482"/>
      <c r="AC10" s="482"/>
      <c r="AD10" s="482"/>
      <c r="AE10" s="482"/>
    </row>
    <row r="11" spans="2:31" s="83" customFormat="1" ht="21.15" customHeight="1">
      <c r="B11" s="167" t="s">
        <v>37</v>
      </c>
      <c r="C11" s="195">
        <f t="shared" si="0"/>
        <v>1.51496062992126</v>
      </c>
      <c r="D11" s="195">
        <f t="shared" si="0"/>
        <v>1.2967893500391543</v>
      </c>
      <c r="E11" s="548">
        <f>$R11/$Y10</f>
        <v>1.192874617737003</v>
      </c>
      <c r="F11" s="541">
        <f t="shared" si="2" ref="F11:F13">(E11-D11)/D11</f>
        <v>-0.08013231470401394</v>
      </c>
      <c r="G11" s="549">
        <f t="shared" si="3" ref="G11:G13">S11/W10</f>
        <v>3.3748031496062993</v>
      </c>
      <c r="H11" s="195">
        <f t="shared" si="4" ref="H11:H13">T11/X10</f>
        <v>3.07752545027408</v>
      </c>
      <c r="I11" s="548">
        <f t="shared" si="5" ref="I11:I12">$U11/$Y10</f>
        <v>2.8092813455657493</v>
      </c>
      <c r="J11" s="541">
        <f t="shared" si="6" ref="J11:J13">(I11-H11)/H11</f>
        <v>-0.08716227015586213</v>
      </c>
      <c r="K11" s="550">
        <f t="shared" si="1"/>
        <v>4.889763779527559</v>
      </c>
      <c r="L11" s="551">
        <f t="shared" si="1"/>
        <v>4.374314800313234</v>
      </c>
      <c r="M11" s="544">
        <f t="shared" si="1"/>
        <v>4.002155963302752</v>
      </c>
      <c r="N11" s="35">
        <f t="shared" si="7" ref="N11:N13">(M11-L11)/L11</f>
        <v>-0.08507820172975036</v>
      </c>
      <c r="O11" s="778"/>
      <c r="P11" s="649">
        <v>1924</v>
      </c>
      <c r="Q11" s="649">
        <v>1656</v>
      </c>
      <c r="R11" s="649">
        <v>1560.28</v>
      </c>
      <c r="S11" s="650">
        <v>4286</v>
      </c>
      <c r="T11" s="649">
        <v>3930</v>
      </c>
      <c r="U11" s="649">
        <v>3674.54</v>
      </c>
      <c r="V11" s="647" t="s">
        <v>2</v>
      </c>
      <c r="W11" s="648">
        <v>2289</v>
      </c>
      <c r="X11" s="648">
        <v>2399</v>
      </c>
      <c r="Y11" s="482">
        <v>2289</v>
      </c>
      <c r="Z11" s="482"/>
      <c r="AA11" s="482"/>
      <c r="AB11" s="482"/>
      <c r="AC11" s="482"/>
      <c r="AD11" s="482"/>
      <c r="AE11" s="482"/>
    </row>
    <row r="12" spans="2:31" s="83" customFormat="1" ht="21.15" customHeight="1">
      <c r="B12" s="167" t="s">
        <v>2</v>
      </c>
      <c r="C12" s="195">
        <f t="shared" si="0"/>
        <v>1.2463958060288336</v>
      </c>
      <c r="D12" s="195">
        <f t="shared" si="0"/>
        <v>1.1479783243017925</v>
      </c>
      <c r="E12" s="548">
        <f>$R12/$Y11</f>
        <v>1.0855307994757537</v>
      </c>
      <c r="F12" s="541">
        <f t="shared" si="2"/>
        <v>-0.054397825729000364</v>
      </c>
      <c r="G12" s="549">
        <f t="shared" si="3"/>
        <v>12.460463084316295</v>
      </c>
      <c r="H12" s="195">
        <f t="shared" si="4"/>
        <v>10.117548978741143</v>
      </c>
      <c r="I12" s="548">
        <f t="shared" si="5"/>
        <v>12.456688510266492</v>
      </c>
      <c r="J12" s="541">
        <f t="shared" si="6"/>
        <v>0.2311962646724338</v>
      </c>
      <c r="K12" s="550">
        <f t="shared" si="1"/>
        <v>13.70685889034513</v>
      </c>
      <c r="L12" s="551">
        <f t="shared" si="1"/>
        <v>11.265527303042935</v>
      </c>
      <c r="M12" s="544">
        <f t="shared" si="1"/>
        <v>13.542219309742245</v>
      </c>
      <c r="N12" s="35">
        <f t="shared" si="7"/>
        <v>0.2020936921509526</v>
      </c>
      <c r="O12" s="778"/>
      <c r="P12" s="649">
        <v>2853</v>
      </c>
      <c r="Q12" s="649">
        <v>2754</v>
      </c>
      <c r="R12" s="649">
        <v>2484.78</v>
      </c>
      <c r="S12" s="650">
        <v>28522</v>
      </c>
      <c r="T12" s="649">
        <v>24272</v>
      </c>
      <c r="U12" s="649">
        <v>28513.36</v>
      </c>
      <c r="V12" s="647" t="s">
        <v>177</v>
      </c>
      <c r="W12" s="648">
        <v>1237</v>
      </c>
      <c r="X12" s="648">
        <v>1239</v>
      </c>
      <c r="Y12" s="482">
        <v>1237</v>
      </c>
      <c r="Z12" s="482"/>
      <c r="AA12" s="482"/>
      <c r="AB12" s="482"/>
      <c r="AC12" s="482"/>
      <c r="AD12" s="482"/>
      <c r="AE12" s="482"/>
    </row>
    <row r="13" spans="2:31" s="83" customFormat="1" ht="21.15" customHeight="1">
      <c r="B13" s="168" t="s">
        <v>177</v>
      </c>
      <c r="C13" s="196">
        <f t="shared" si="0"/>
        <v>1.3864187550525464</v>
      </c>
      <c r="D13" s="196">
        <f t="shared" si="0"/>
        <v>1.261501210653753</v>
      </c>
      <c r="E13" s="548">
        <f>$R13/$Y12</f>
        <v>1.4097251414713015</v>
      </c>
      <c r="F13" s="541">
        <f t="shared" si="2"/>
        <v>0.1174980488054654</v>
      </c>
      <c r="G13" s="552">
        <f t="shared" si="3"/>
        <v>16.51172190784155</v>
      </c>
      <c r="H13" s="196">
        <f t="shared" si="4"/>
        <v>16.62953995157385</v>
      </c>
      <c r="I13" s="553">
        <f>$U13/$Y12</f>
        <v>18.998383185125302</v>
      </c>
      <c r="J13" s="541">
        <f t="shared" si="6"/>
        <v>0.14244791139440152</v>
      </c>
      <c r="K13" s="485">
        <f t="shared" si="1"/>
        <v>17.8981406628941</v>
      </c>
      <c r="L13" s="486">
        <f t="shared" si="1"/>
        <v>17.8910411622276</v>
      </c>
      <c r="M13" s="544">
        <f t="shared" si="1"/>
        <v>20.408108326596604</v>
      </c>
      <c r="N13" s="35">
        <f t="shared" si="7"/>
        <v>0.14068869114689378</v>
      </c>
      <c r="O13" s="778"/>
      <c r="P13" s="649">
        <v>1715</v>
      </c>
      <c r="Q13" s="649">
        <v>1563</v>
      </c>
      <c r="R13" s="176">
        <v>1743.83</v>
      </c>
      <c r="S13" s="183">
        <v>20425</v>
      </c>
      <c r="T13" s="183">
        <v>20604</v>
      </c>
      <c r="U13" s="107">
        <v>23501</v>
      </c>
      <c r="V13" s="482" t="s">
        <v>350</v>
      </c>
      <c r="W13" s="648">
        <f>SUM(W9:W12)</f>
        <v>8978</v>
      </c>
      <c r="X13" s="648">
        <f>SUM(X9:X12)</f>
        <v>9221</v>
      </c>
      <c r="Y13" s="648">
        <f>SUM(Y9:Y12)</f>
        <v>9016</v>
      </c>
      <c r="Z13" s="482"/>
      <c r="AA13" s="482"/>
      <c r="AB13" s="482"/>
      <c r="AC13" s="482"/>
      <c r="AD13" s="482"/>
      <c r="AE13" s="482"/>
    </row>
    <row r="14" spans="2:31" s="83" customFormat="1" ht="21.15" customHeight="1">
      <c r="B14" s="168" t="s">
        <v>8</v>
      </c>
      <c r="C14" s="168"/>
      <c r="D14" s="168"/>
      <c r="E14" s="168"/>
      <c r="F14" s="168"/>
      <c r="G14" s="485"/>
      <c r="H14" s="486"/>
      <c r="I14" s="486"/>
      <c r="J14" s="35"/>
      <c r="K14" s="485">
        <f>(P14+S14)/(W$9+W$10+W$11+W$12)</f>
        <v>14.94178547560704</v>
      </c>
      <c r="L14" s="486">
        <f>(Q14+T14)/($X$9+$X$10+$X$11+$X$12)</f>
        <v>13.8363290315584</v>
      </c>
      <c r="M14" s="486">
        <f>(R14+U14)/($Y$9+$Y$10+$Y$11+$Y$12)</f>
        <v>14.902440106477373</v>
      </c>
      <c r="N14" s="35">
        <f>(M14-L14)/L14</f>
        <v>0.07705158445476028</v>
      </c>
      <c r="O14" s="778"/>
      <c r="P14" s="649">
        <f>SUM(P10:P13)</f>
        <v>25370</v>
      </c>
      <c r="Q14" s="649">
        <f t="shared" si="8" ref="Q14:T14">SUM(Q10:Q13)</f>
        <v>24189.79</v>
      </c>
      <c r="R14" s="649">
        <f>SUM(R10:R13)</f>
        <v>24796.399999999994</v>
      </c>
      <c r="S14" s="649">
        <f t="shared" si="8"/>
        <v>108777.35</v>
      </c>
      <c r="T14" s="649">
        <f t="shared" si="8"/>
        <v>103395</v>
      </c>
      <c r="U14" s="649">
        <v>109564</v>
      </c>
      <c r="V14" s="482"/>
      <c r="W14" s="482"/>
      <c r="X14" s="482"/>
      <c r="Y14" s="652"/>
      <c r="Z14" s="482"/>
      <c r="AA14" s="482"/>
      <c r="AB14" s="482"/>
      <c r="AC14" s="482"/>
      <c r="AD14" s="482"/>
      <c r="AE14" s="482"/>
    </row>
    <row r="15" spans="2:31" s="83" customFormat="1" ht="24.9" customHeight="1">
      <c r="B15" s="92" t="s">
        <v>280</v>
      </c>
      <c r="C15" s="92"/>
      <c r="D15" s="92"/>
      <c r="E15" s="92"/>
      <c r="F15" s="92"/>
      <c r="P15" s="482"/>
      <c r="Q15" s="482"/>
      <c r="R15" s="482"/>
      <c r="S15" s="482"/>
      <c r="T15" s="482"/>
      <c r="U15" s="482"/>
      <c r="V15" s="482"/>
      <c r="W15" s="482"/>
      <c r="X15" s="482"/>
      <c r="Y15" s="482"/>
      <c r="Z15" s="482"/>
      <c r="AA15" s="482"/>
      <c r="AB15" s="482"/>
      <c r="AC15" s="482"/>
      <c r="AD15" s="482"/>
      <c r="AE15" s="482"/>
    </row>
    <row r="16" spans="2:31" s="83" customFormat="1" ht="27" customHeight="1">
      <c r="B16" s="81"/>
      <c r="C16" s="81">
        <v>2021</v>
      </c>
      <c r="D16" s="81">
        <v>2022</v>
      </c>
      <c r="E16" s="81">
        <v>2023</v>
      </c>
      <c r="F16" s="81" t="s">
        <v>259</v>
      </c>
      <c r="G16" s="81"/>
      <c r="H16" s="81"/>
      <c r="I16" s="81"/>
      <c r="J16" s="81"/>
      <c r="K16" s="81"/>
      <c r="L16" s="81"/>
      <c r="M16" s="81"/>
      <c r="N16" s="742"/>
      <c r="O16" s="645" t="s">
        <v>403</v>
      </c>
      <c r="P16" s="482"/>
      <c r="Q16" s="482"/>
      <c r="R16" s="482"/>
      <c r="S16" s="482"/>
      <c r="T16" s="482"/>
      <c r="U16" s="482"/>
      <c r="V16" s="482"/>
      <c r="W16" s="482"/>
      <c r="X16" s="482"/>
      <c r="Y16" s="482"/>
      <c r="Z16" s="482"/>
      <c r="AA16" s="482"/>
      <c r="AB16" s="482"/>
      <c r="AC16" s="482"/>
      <c r="AD16" s="482"/>
      <c r="AE16" s="482"/>
    </row>
    <row r="17" spans="2:31" s="83" customFormat="1" ht="21.15" customHeight="1">
      <c r="B17" s="166" t="s">
        <v>0</v>
      </c>
      <c r="C17" s="197">
        <f t="shared" si="9" ref="C17:E20">(Y20/W9)/1000000</f>
        <v>0.03495512099473936</v>
      </c>
      <c r="D17" s="197">
        <f t="shared" si="9"/>
        <v>0.03398917742684626</v>
      </c>
      <c r="E17" s="197">
        <f t="shared" si="9"/>
        <v>0.035411471066475374</v>
      </c>
      <c r="F17" s="35">
        <f>(E17-D17)/D17</f>
        <v>0.041845485748817114</v>
      </c>
      <c r="G17" s="35"/>
      <c r="H17" s="35"/>
      <c r="I17" s="35"/>
      <c r="J17" s="35"/>
      <c r="K17" s="35"/>
      <c r="L17" s="35"/>
      <c r="M17" s="35"/>
      <c r="N17" s="35"/>
      <c r="O17" s="775" t="s">
        <v>355</v>
      </c>
      <c r="P17" s="482"/>
      <c r="Q17" s="482"/>
      <c r="R17" s="482"/>
      <c r="S17" s="482"/>
      <c r="T17" s="482"/>
      <c r="U17" s="482"/>
      <c r="V17" s="482"/>
      <c r="W17" s="482"/>
      <c r="X17" s="482"/>
      <c r="Y17" s="482"/>
      <c r="Z17" s="482"/>
      <c r="AA17" s="482"/>
      <c r="AB17" s="482"/>
      <c r="AC17" s="482"/>
      <c r="AD17" s="482"/>
      <c r="AE17" s="482"/>
    </row>
    <row r="18" spans="2:31" s="83" customFormat="1" ht="21.15" customHeight="1">
      <c r="B18" s="167" t="s">
        <v>37</v>
      </c>
      <c r="C18" s="198">
        <f t="shared" si="9"/>
        <v>0.007177162992125985</v>
      </c>
      <c r="D18" s="198">
        <f t="shared" si="9"/>
        <v>0.006544733750978857</v>
      </c>
      <c r="E18" s="198">
        <f t="shared" si="9"/>
        <v>0.005975483944954129</v>
      </c>
      <c r="F18" s="35">
        <f t="shared" si="10" ref="F18:F21">(E18-D18)/D18</f>
        <v>-0.08697829853499976</v>
      </c>
      <c r="G18" s="35"/>
      <c r="H18" s="35"/>
      <c r="I18" s="35"/>
      <c r="J18" s="35"/>
      <c r="K18" s="35"/>
      <c r="L18" s="35"/>
      <c r="M18" s="35"/>
      <c r="N18" s="35"/>
      <c r="O18" s="775"/>
      <c r="P18" s="482"/>
      <c r="Q18" s="482"/>
      <c r="R18" s="482"/>
      <c r="S18" s="482"/>
      <c r="T18" s="482"/>
      <c r="U18" s="482"/>
      <c r="V18" s="482"/>
      <c r="W18" s="482"/>
      <c r="X18" s="482"/>
      <c r="Y18" s="482"/>
      <c r="Z18" s="482"/>
      <c r="AA18" s="482"/>
      <c r="AB18" s="482"/>
      <c r="AC18" s="482"/>
      <c r="AD18" s="482"/>
      <c r="AE18" s="482"/>
    </row>
    <row r="19" spans="2:31" s="83" customFormat="1" ht="21.15" customHeight="1">
      <c r="B19" s="167" t="s">
        <v>2</v>
      </c>
      <c r="C19" s="198">
        <f t="shared" si="9"/>
        <v>0.02652680733944954</v>
      </c>
      <c r="D19" s="198">
        <f t="shared" si="9"/>
        <v>0.02151654647769904</v>
      </c>
      <c r="E19" s="198">
        <f t="shared" si="9"/>
        <v>0.02649603494975972</v>
      </c>
      <c r="F19" s="35">
        <f t="shared" si="10"/>
        <v>0.2314260086869285</v>
      </c>
      <c r="G19" s="35"/>
      <c r="H19" s="35"/>
      <c r="I19" s="35"/>
      <c r="J19" s="35"/>
      <c r="K19" s="35"/>
      <c r="L19" s="35"/>
      <c r="M19" s="35"/>
      <c r="N19" s="35"/>
      <c r="O19" s="775"/>
      <c r="P19" s="482"/>
      <c r="Q19" s="482"/>
      <c r="R19" s="482"/>
      <c r="S19" s="482"/>
      <c r="T19" s="482"/>
      <c r="U19" s="482"/>
      <c r="V19" s="482"/>
      <c r="W19" s="653"/>
      <c r="X19" s="653">
        <v>2020</v>
      </c>
      <c r="Y19" s="653">
        <v>2021</v>
      </c>
      <c r="Z19" s="653">
        <v>2022</v>
      </c>
      <c r="AA19" s="482">
        <v>2023</v>
      </c>
      <c r="AB19" s="482"/>
      <c r="AC19" s="482"/>
      <c r="AD19" s="482"/>
      <c r="AE19" s="482"/>
    </row>
    <row r="20" spans="2:31" s="83" customFormat="1" ht="21.15" customHeight="1">
      <c r="B20" s="167" t="s">
        <v>177</v>
      </c>
      <c r="C20" s="198">
        <f t="shared" si="9"/>
        <v>0.04240656911883589</v>
      </c>
      <c r="D20" s="198">
        <f t="shared" si="9"/>
        <v>0.04222835108958838</v>
      </c>
      <c r="E20" s="198">
        <f t="shared" si="9"/>
        <v>0.045819713156831046</v>
      </c>
      <c r="F20" s="35">
        <f t="shared" si="10"/>
        <v>0.08504623018842268</v>
      </c>
      <c r="G20" s="35"/>
      <c r="H20" s="35"/>
      <c r="I20" s="35"/>
      <c r="J20" s="35"/>
      <c r="K20" s="35"/>
      <c r="L20" s="35"/>
      <c r="M20" s="35"/>
      <c r="N20" s="35"/>
      <c r="O20" s="775"/>
      <c r="P20" s="482"/>
      <c r="Q20" s="482"/>
      <c r="R20" s="482"/>
      <c r="S20" s="482"/>
      <c r="T20" s="482"/>
      <c r="U20" s="482"/>
      <c r="V20" s="482"/>
      <c r="W20" s="653" t="s">
        <v>0</v>
      </c>
      <c r="X20" s="654">
        <v>147995000</v>
      </c>
      <c r="Y20" s="654">
        <v>146182316</v>
      </c>
      <c r="Z20" s="654">
        <v>146357398</v>
      </c>
      <c r="AA20" s="655">
        <v>148090772</v>
      </c>
      <c r="AB20" s="482"/>
      <c r="AC20" s="482"/>
      <c r="AD20" s="482"/>
      <c r="AE20" s="482"/>
    </row>
    <row r="21" spans="2:31" s="83" customFormat="1" ht="21.15" customHeight="1">
      <c r="B21" s="168" t="s">
        <v>8</v>
      </c>
      <c r="C21" s="199">
        <f>(Y24/W12)/1000000</f>
        <v>0.21703645998383186</v>
      </c>
      <c r="D21" s="199">
        <f>(Z24/X12)/1000000</f>
        <v>0.21668611864406778</v>
      </c>
      <c r="E21" s="199">
        <f>(AA24/Y12)/1000000</f>
        <v>0.2208852984438157</v>
      </c>
      <c r="F21" s="495">
        <f t="shared" si="10"/>
        <v>0.019379090022123412</v>
      </c>
      <c r="G21" s="495"/>
      <c r="H21" s="495"/>
      <c r="I21" s="495"/>
      <c r="J21" s="495"/>
      <c r="K21" s="495"/>
      <c r="L21" s="495"/>
      <c r="M21" s="495"/>
      <c r="N21" s="495"/>
      <c r="O21" s="775"/>
      <c r="P21" s="482"/>
      <c r="Q21" s="482"/>
      <c r="R21" s="482"/>
      <c r="S21" s="482"/>
      <c r="T21" s="482"/>
      <c r="U21" s="482"/>
      <c r="V21" s="482"/>
      <c r="W21" s="653" t="s">
        <v>1</v>
      </c>
      <c r="X21" s="656">
        <v>9053880</v>
      </c>
      <c r="Y21" s="654">
        <v>9114997</v>
      </c>
      <c r="Z21" s="654">
        <v>8357625</v>
      </c>
      <c r="AA21" s="482">
        <v>7815933</v>
      </c>
      <c r="AB21" s="482"/>
      <c r="AC21" s="482"/>
      <c r="AD21" s="482"/>
      <c r="AE21" s="482"/>
    </row>
    <row r="22" spans="16:31" ht="27.6" customHeight="1">
      <c r="P22" s="481"/>
      <c r="Q22" s="481"/>
      <c r="R22" s="481"/>
      <c r="S22" s="481"/>
      <c r="T22" s="481"/>
      <c r="U22" s="481"/>
      <c r="V22" s="481"/>
      <c r="W22" s="657" t="s">
        <v>2</v>
      </c>
      <c r="X22" s="658">
        <v>65379951</v>
      </c>
      <c r="Y22" s="658">
        <v>60719862</v>
      </c>
      <c r="Z22" s="658">
        <v>51618195</v>
      </c>
      <c r="AA22" s="481">
        <v>60649424</v>
      </c>
      <c r="AB22" s="481"/>
      <c r="AC22" s="481"/>
      <c r="AD22" s="481"/>
      <c r="AE22" s="481"/>
    </row>
    <row r="23" spans="16:31" ht="14.4">
      <c r="P23" s="481"/>
      <c r="Q23" s="481"/>
      <c r="R23" s="481"/>
      <c r="S23" s="481"/>
      <c r="T23" s="481"/>
      <c r="U23" s="481"/>
      <c r="V23" s="481"/>
      <c r="W23" s="659" t="s">
        <v>3</v>
      </c>
      <c r="X23" s="660">
        <v>53134581</v>
      </c>
      <c r="Y23" s="660">
        <v>52456926</v>
      </c>
      <c r="Z23" s="660">
        <v>52320927</v>
      </c>
      <c r="AA23" s="481">
        <v>5.6678985175E7</v>
      </c>
      <c r="AB23" s="481"/>
      <c r="AC23" s="481"/>
      <c r="AD23" s="481"/>
      <c r="AE23" s="481"/>
    </row>
    <row r="24" spans="16:31" ht="28.2">
      <c r="P24" s="481"/>
      <c r="Q24" s="481"/>
      <c r="R24" s="481"/>
      <c r="S24" s="481"/>
      <c r="T24" s="481"/>
      <c r="U24" s="481"/>
      <c r="V24" s="481"/>
      <c r="W24" s="659" t="s">
        <v>149</v>
      </c>
      <c r="X24" s="660">
        <v>275563412</v>
      </c>
      <c r="Y24" s="660">
        <v>268474101</v>
      </c>
      <c r="Z24" s="658">
        <f>SUM(Y20:Y23)</f>
        <v>268474101</v>
      </c>
      <c r="AA24" s="481">
        <f>SUM(AA20:AA23)</f>
        <v>2.73235114175E8</v>
      </c>
      <c r="AB24" s="481"/>
      <c r="AC24" s="481"/>
      <c r="AD24" s="481"/>
      <c r="AE24" s="481"/>
    </row>
    <row r="25" spans="16:31" ht="14.4">
      <c r="P25" s="481"/>
      <c r="Q25" s="481"/>
      <c r="R25" s="481"/>
      <c r="S25" s="481"/>
      <c r="T25" s="481"/>
      <c r="U25" s="481"/>
      <c r="V25" s="481"/>
      <c r="W25" s="481"/>
      <c r="X25" s="481"/>
      <c r="Y25" s="481"/>
      <c r="Z25" s="481"/>
      <c r="AA25" s="481"/>
      <c r="AB25" s="481"/>
      <c r="AC25" s="481"/>
      <c r="AD25" s="481"/>
      <c r="AE25" s="481"/>
    </row>
    <row r="26" spans="16:31" ht="14.4">
      <c r="P26" s="481"/>
      <c r="Q26" s="481"/>
      <c r="R26" s="481"/>
      <c r="S26" s="481"/>
      <c r="T26" s="481"/>
      <c r="U26" s="481"/>
      <c r="V26" s="481"/>
      <c r="W26" s="481"/>
      <c r="X26" s="481"/>
      <c r="Y26" s="481"/>
      <c r="Z26" s="481"/>
      <c r="AA26" s="481"/>
      <c r="AB26" s="481"/>
      <c r="AC26" s="481"/>
      <c r="AD26" s="481"/>
      <c r="AE26" s="481"/>
    </row>
    <row r="27" spans="16:31" ht="14.4">
      <c r="P27" s="481"/>
      <c r="Q27" s="481"/>
      <c r="R27" s="481"/>
      <c r="S27" s="481"/>
      <c r="T27" s="481"/>
      <c r="U27" s="481"/>
      <c r="V27" s="481"/>
      <c r="W27" s="481"/>
      <c r="X27" s="481"/>
      <c r="Y27" s="481"/>
      <c r="Z27" s="481"/>
      <c r="AA27" s="481"/>
      <c r="AB27" s="481"/>
      <c r="AC27" s="481"/>
      <c r="AD27" s="481"/>
      <c r="AE27" s="481"/>
    </row>
  </sheetData>
  <mergeCells count="11">
    <mergeCell ref="O17:O21"/>
    <mergeCell ref="O8:O9"/>
    <mergeCell ref="O10:O14"/>
    <mergeCell ref="B7:I7"/>
    <mergeCell ref="K7:M7"/>
    <mergeCell ref="C8:F8"/>
    <mergeCell ref="G8:J8"/>
    <mergeCell ref="V7:X7"/>
    <mergeCell ref="K8:M8"/>
    <mergeCell ref="P8:R8"/>
    <mergeCell ref="S8:U8"/>
  </mergeCells>
  <pageMargins left="0.7" right="0.7" top="0.75" bottom="0.75" header="0.3" footer="0.3"/>
  <pageSetup orientation="portrait" paperSize="9" r:id="rId4"/>
  <headerFooter scaleWithDoc="0"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FCD2708-4E0E-4C33-A2F6-0DCDD008E28B}">
  <dimension ref="B4:T80"/>
  <sheetViews>
    <sheetView showGridLines="0" rightToLeft="1" zoomScale="106" zoomScaleNormal="106" workbookViewId="0" topLeftCell="A4">
      <selection pane="topLeft" activeCell="G16" sqref="G16"/>
    </sheetView>
  </sheetViews>
  <sheetFormatPr defaultColWidth="9.114285714285714" defaultRowHeight="14.4"/>
  <cols>
    <col min="1" max="1" width="3.7142857142857144" style="41" customWidth="1"/>
    <col min="2" max="10" width="14.714285714285714" style="41" customWidth="1"/>
    <col min="11" max="11" width="11.571428571428571" style="41" customWidth="1"/>
    <col min="12" max="12" width="10" style="41" customWidth="1"/>
    <col min="13" max="14" width="10.571428571428571" style="41" customWidth="1"/>
    <col min="15" max="15" width="10.714285714285714" style="41" customWidth="1"/>
    <col min="16" max="16" width="10.285714285714286" style="41" customWidth="1"/>
    <col min="17" max="17" width="10.142857142857142" style="41" customWidth="1"/>
    <col min="18" max="18" width="11.571428571428571" style="41" customWidth="1"/>
    <col min="19" max="21" width="9.142857142857142" style="41" customWidth="1"/>
    <col min="22" max="22" width="15.142857142857142" style="41" customWidth="1"/>
    <col min="23" max="23" width="10.285714285714286" style="41" customWidth="1"/>
    <col min="24" max="29" width="9.142857142857142" style="41" customWidth="1"/>
    <col min="30" max="16384" width="9.142857142857142" style="41"/>
  </cols>
  <sheetData>
    <row r="1" s="0" customFormat="1" ht="15" customHeight="1"/>
    <row r="2" s="0" customFormat="1" ht="15" customHeight="1"/>
    <row r="3" s="0" customFormat="1" ht="15" customHeight="1"/>
    <row r="4" spans="11:11" s="0" customFormat="1" ht="15" customHeight="1">
      <c r="K4" s="41"/>
    </row>
    <row r="5" spans="2:20" s="0" customFormat="1" ht="24" customHeight="1" thickBot="1">
      <c r="B5" s="65" t="s">
        <v>266</v>
      </c>
      <c r="C5" s="65"/>
      <c r="D5" s="65"/>
      <c r="E5" s="65"/>
      <c r="F5" s="65"/>
      <c r="G5" s="65"/>
      <c r="H5" s="65"/>
      <c r="I5" s="65"/>
      <c r="J5" s="65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spans="2:18" s="0" customFormat="1" ht="15" customHeight="1" thickTop="1">
      <c r="B6" s="67"/>
      <c r="C6" s="67"/>
      <c r="D6" s="67"/>
      <c r="E6" s="67"/>
      <c r="F6" s="67"/>
      <c r="G6" s="67"/>
      <c r="H6" s="554"/>
      <c r="I6" s="67"/>
      <c r="K6" s="41"/>
      <c r="L6" s="41"/>
      <c r="M6" s="41"/>
      <c r="N6" s="41"/>
      <c r="O6" s="41"/>
      <c r="P6" s="41"/>
      <c r="Q6" s="41"/>
      <c r="R6" s="41"/>
    </row>
    <row r="7" spans="2:6" ht="24.9" customHeight="1">
      <c r="B7" s="752" t="s">
        <v>281</v>
      </c>
      <c r="C7" s="752"/>
      <c r="D7" s="752"/>
      <c r="E7" s="752"/>
      <c r="F7" s="752"/>
    </row>
    <row r="8" spans="2:11" ht="31.95" customHeight="1">
      <c r="B8" s="200"/>
      <c r="C8" s="78" t="s">
        <v>282</v>
      </c>
      <c r="D8" s="78" t="s">
        <v>283</v>
      </c>
      <c r="E8" s="78" t="s">
        <v>284</v>
      </c>
      <c r="F8" s="78" t="s">
        <v>351</v>
      </c>
      <c r="G8" s="74" t="s">
        <v>381</v>
      </c>
      <c r="H8" s="140"/>
      <c r="I8" s="200"/>
      <c r="J8" s="69" t="s">
        <v>5</v>
      </c>
      <c r="K8"/>
    </row>
    <row r="9" spans="2:11" s="96" customFormat="1" ht="21.15" customHeight="1">
      <c r="B9" s="39" t="s">
        <v>0</v>
      </c>
      <c r="C9" s="202">
        <v>147995000</v>
      </c>
      <c r="D9" s="202">
        <v>146182316</v>
      </c>
      <c r="E9" s="202">
        <v>146357398</v>
      </c>
      <c r="F9" s="202">
        <v>1.48090772188E8</v>
      </c>
      <c r="G9" s="203">
        <f>(F9-E9)/E9</f>
        <v>0.011843434029894366</v>
      </c>
      <c r="H9" s="204"/>
      <c r="I9" s="205"/>
      <c r="J9" s="782" t="s">
        <v>198</v>
      </c>
      <c r="K9" s="50"/>
    </row>
    <row r="10" spans="2:11" s="96" customFormat="1" ht="21.15" customHeight="1">
      <c r="B10" s="38" t="s">
        <v>37</v>
      </c>
      <c r="C10" s="202">
        <v>9053880</v>
      </c>
      <c r="D10" s="71">
        <v>9114997</v>
      </c>
      <c r="E10" s="71">
        <v>8357625</v>
      </c>
      <c r="F10" s="202">
        <v>7815933</v>
      </c>
      <c r="G10" s="203">
        <f t="shared" si="0" ref="G10:G13">(F10-E10)/E10</f>
        <v>-0.06481410687844932</v>
      </c>
      <c r="H10" s="104"/>
      <c r="I10" s="206"/>
      <c r="J10" s="782"/>
      <c r="K10" s="50"/>
    </row>
    <row r="11" spans="2:11" s="96" customFormat="1" ht="21.15" customHeight="1">
      <c r="B11" s="38" t="s">
        <v>2</v>
      </c>
      <c r="C11" s="71">
        <v>65379951</v>
      </c>
      <c r="D11" s="71">
        <v>60719862</v>
      </c>
      <c r="E11" s="71">
        <v>51618195</v>
      </c>
      <c r="F11" s="202">
        <v>60649424</v>
      </c>
      <c r="G11" s="203">
        <f t="shared" si="0"/>
        <v>0.1749621233365483</v>
      </c>
      <c r="H11" s="207"/>
      <c r="I11" s="206"/>
      <c r="J11" s="782"/>
      <c r="K11" s="50"/>
    </row>
    <row r="12" spans="2:11" s="96" customFormat="1" ht="21.15" customHeight="1">
      <c r="B12" s="208" t="s">
        <v>3</v>
      </c>
      <c r="C12" s="209">
        <v>53134581</v>
      </c>
      <c r="D12" s="209">
        <v>52456926</v>
      </c>
      <c r="E12" s="209">
        <v>52320927</v>
      </c>
      <c r="F12" s="202">
        <v>5.6678985175E7</v>
      </c>
      <c r="G12" s="203">
        <f t="shared" si="0"/>
        <v>0.08329474313404266</v>
      </c>
      <c r="H12" s="207"/>
      <c r="I12" s="206"/>
      <c r="J12" s="782"/>
      <c r="K12" s="50"/>
    </row>
    <row r="13" spans="2:18" s="96" customFormat="1" ht="21.15" customHeight="1">
      <c r="B13" s="210" t="s">
        <v>149</v>
      </c>
      <c r="C13" s="211">
        <v>275563412</v>
      </c>
      <c r="D13" s="211">
        <v>268474101</v>
      </c>
      <c r="E13" s="73">
        <f>SUM(E9:E12)</f>
        <v>258654145</v>
      </c>
      <c r="F13" s="73">
        <f>SUM(F9:F12)</f>
        <v>2.73235114363E8</v>
      </c>
      <c r="G13" s="203">
        <f t="shared" si="0"/>
        <v>0.05637245582513273</v>
      </c>
      <c r="H13" s="212"/>
      <c r="I13" s="213"/>
      <c r="J13" s="782"/>
      <c r="K13" s="50"/>
      <c r="L13" s="97"/>
      <c r="M13" s="98"/>
      <c r="N13" s="98"/>
      <c r="O13" s="98"/>
      <c r="P13" s="98"/>
      <c r="Q13" s="98"/>
      <c r="R13" s="98"/>
    </row>
    <row r="14" spans="2:18" s="96" customFormat="1" ht="21.15" customHeight="1">
      <c r="B14" s="99"/>
      <c r="C14" s="94"/>
      <c r="D14" s="94"/>
      <c r="E14" s="100"/>
      <c r="F14" s="98"/>
      <c r="J14" s="95"/>
      <c r="K14" s="50"/>
      <c r="L14" s="97"/>
      <c r="M14" s="98"/>
      <c r="N14" s="98"/>
      <c r="O14" s="98"/>
      <c r="P14" s="98"/>
      <c r="Q14" s="98"/>
      <c r="R14" s="98"/>
    </row>
    <row r="15" spans="2:9" ht="24.9" customHeight="1">
      <c r="B15" s="752" t="s">
        <v>382</v>
      </c>
      <c r="C15" s="752"/>
      <c r="D15" s="752"/>
      <c r="E15" s="752"/>
      <c r="F15" s="752"/>
      <c r="G15" s="752"/>
      <c r="H15" s="752"/>
      <c r="I15" s="752"/>
    </row>
    <row r="16" spans="2:15" ht="31.95" customHeight="1">
      <c r="B16" s="214"/>
      <c r="C16" s="215"/>
      <c r="D16" s="216" t="s">
        <v>289</v>
      </c>
      <c r="E16" s="216" t="s">
        <v>288</v>
      </c>
      <c r="F16" s="215" t="s">
        <v>287</v>
      </c>
      <c r="G16" s="216" t="s">
        <v>286</v>
      </c>
      <c r="H16" s="217" t="s">
        <v>285</v>
      </c>
      <c r="I16" s="217" t="s">
        <v>146</v>
      </c>
      <c r="J16" s="69" t="s">
        <v>5</v>
      </c>
      <c r="K16"/>
      <c r="L16"/>
      <c r="M16"/>
      <c r="N16"/>
      <c r="O16"/>
    </row>
    <row r="17" spans="2:15" s="96" customFormat="1" ht="21.15" customHeight="1">
      <c r="B17" s="751">
        <v>2021</v>
      </c>
      <c r="C17" s="218" t="s">
        <v>50</v>
      </c>
      <c r="D17" s="107">
        <v>720000</v>
      </c>
      <c r="E17" s="183">
        <v>1100139</v>
      </c>
      <c r="F17" s="183">
        <v>733994</v>
      </c>
      <c r="G17" s="183">
        <v>3915060.07000003</v>
      </c>
      <c r="H17" s="183">
        <f>SUM(D17:G17)</f>
        <v>6469193.07000003</v>
      </c>
      <c r="I17" s="780">
        <f>H17+H18</f>
        <v>9445026.07000003</v>
      </c>
      <c r="J17" s="782" t="s">
        <v>198</v>
      </c>
      <c r="K17" s="50"/>
      <c r="L17"/>
      <c r="M17"/>
      <c r="N17"/>
      <c r="O17"/>
    </row>
    <row r="18" spans="2:15" s="96" customFormat="1" ht="21.15" customHeight="1">
      <c r="B18" s="751"/>
      <c r="C18" s="218" t="s">
        <v>51</v>
      </c>
      <c r="D18" s="107">
        <v>88000</v>
      </c>
      <c r="E18" s="183">
        <v>102535</v>
      </c>
      <c r="F18" s="183">
        <v>0</v>
      </c>
      <c r="G18" s="183">
        <v>2785298</v>
      </c>
      <c r="H18" s="183">
        <f t="shared" si="1" ref="H18:H20">SUM(D18:G18)</f>
        <v>2975833</v>
      </c>
      <c r="I18" s="780"/>
      <c r="J18" s="782"/>
      <c r="K18" s="50"/>
      <c r="L18"/>
      <c r="M18"/>
      <c r="N18"/>
      <c r="O18"/>
    </row>
    <row r="19" spans="2:15" s="96" customFormat="1" ht="21.15" customHeight="1">
      <c r="B19" s="751">
        <v>2022</v>
      </c>
      <c r="C19" s="218" t="s">
        <v>50</v>
      </c>
      <c r="D19" s="107">
        <v>603000</v>
      </c>
      <c r="E19" s="183">
        <v>1069647</v>
      </c>
      <c r="F19" s="183">
        <v>668759</v>
      </c>
      <c r="G19" s="183">
        <v>4771864</v>
      </c>
      <c r="H19" s="183">
        <f t="shared" si="1"/>
        <v>7113270</v>
      </c>
      <c r="I19" s="780">
        <f>H19+H20</f>
        <v>9401640</v>
      </c>
      <c r="J19" s="782"/>
      <c r="K19" s="50"/>
      <c r="L19"/>
      <c r="M19"/>
      <c r="N19"/>
      <c r="O19"/>
    </row>
    <row r="20" spans="2:10" s="96" customFormat="1" ht="21.15" customHeight="1">
      <c r="B20" s="758"/>
      <c r="C20" s="219" t="s">
        <v>51</v>
      </c>
      <c r="D20" s="108">
        <v>90000</v>
      </c>
      <c r="E20" s="220">
        <v>92514</v>
      </c>
      <c r="F20" s="183">
        <v>0</v>
      </c>
      <c r="G20" s="220">
        <v>2105856</v>
      </c>
      <c r="H20" s="220">
        <f t="shared" si="1"/>
        <v>2288370</v>
      </c>
      <c r="I20" s="781"/>
      <c r="J20" s="782"/>
    </row>
    <row r="21" spans="2:14" s="96" customFormat="1" ht="21.15" customHeight="1">
      <c r="B21" s="751">
        <v>2023</v>
      </c>
      <c r="C21" s="218" t="s">
        <v>50</v>
      </c>
      <c r="D21" s="107">
        <v>601000</v>
      </c>
      <c r="E21" s="220">
        <v>966855</v>
      </c>
      <c r="F21" s="183">
        <v>596053</v>
      </c>
      <c r="G21" s="183">
        <v>5223494.70</v>
      </c>
      <c r="H21" s="183">
        <f>SUM(D21:G21)</f>
        <v>7387402.7</v>
      </c>
      <c r="I21" s="780">
        <f>H21+H22</f>
        <v>9455876.71</v>
      </c>
      <c r="J21" s="490"/>
      <c r="K21" s="50"/>
      <c r="L21" s="50"/>
      <c r="M21" s="50"/>
      <c r="N21" s="50"/>
    </row>
    <row r="22" spans="2:10" s="96" customFormat="1" ht="21.15" customHeight="1">
      <c r="B22" s="758"/>
      <c r="C22" s="219" t="s">
        <v>51</v>
      </c>
      <c r="D22" s="108">
        <v>58000</v>
      </c>
      <c r="E22" s="220">
        <v>84070</v>
      </c>
      <c r="F22" s="220">
        <v>0</v>
      </c>
      <c r="G22" s="220">
        <v>1926404.01</v>
      </c>
      <c r="H22" s="220">
        <f t="shared" si="2" ref="H22">SUM(D22:G22)</f>
        <v>2068474.01</v>
      </c>
      <c r="I22" s="781"/>
      <c r="J22" s="490"/>
    </row>
    <row r="23" spans="2:18" s="96" customFormat="1" ht="21.15" customHeight="1">
      <c r="B23" s="99"/>
      <c r="C23" s="94"/>
      <c r="D23" s="94"/>
      <c r="E23" s="100"/>
      <c r="F23" s="98"/>
      <c r="J23" s="95"/>
      <c r="K23" s="50"/>
      <c r="L23" s="97"/>
      <c r="M23" s="98"/>
      <c r="N23" s="98"/>
      <c r="O23" s="98"/>
      <c r="P23" s="98"/>
      <c r="Q23" s="98"/>
      <c r="R23" s="98"/>
    </row>
    <row r="24" spans="2:10" ht="24.9" customHeight="1">
      <c r="B24" s="752" t="s">
        <v>290</v>
      </c>
      <c r="C24" s="752"/>
      <c r="D24" s="752"/>
      <c r="E24" s="752"/>
      <c r="F24" s="752"/>
      <c r="G24" s="42"/>
      <c r="H24" s="42"/>
      <c r="I24" s="45"/>
      <c r="J24"/>
    </row>
    <row r="25" spans="2:10" ht="31.95" customHeight="1">
      <c r="B25" s="81" t="s">
        <v>189</v>
      </c>
      <c r="C25" s="81" t="s">
        <v>0</v>
      </c>
      <c r="D25" s="81" t="s">
        <v>2</v>
      </c>
      <c r="E25" s="81" t="s">
        <v>37</v>
      </c>
      <c r="F25" s="81" t="s">
        <v>177</v>
      </c>
      <c r="G25" s="81"/>
      <c r="H25" s="81"/>
      <c r="I25" s="81"/>
      <c r="J25" s="69" t="s">
        <v>5</v>
      </c>
    </row>
    <row r="26" spans="2:10" ht="21.15" customHeight="1">
      <c r="B26" s="39">
        <v>2021</v>
      </c>
      <c r="C26" s="176">
        <f>G17+G18</f>
        <v>6700358.07000003</v>
      </c>
      <c r="D26" s="176">
        <f>E17+E18</f>
        <v>1202674</v>
      </c>
      <c r="E26" s="176">
        <f>D17+D18</f>
        <v>808000</v>
      </c>
      <c r="F26" s="176">
        <f>F17</f>
        <v>733994</v>
      </c>
      <c r="G26" s="221"/>
      <c r="H26" s="176"/>
      <c r="I26" s="176"/>
      <c r="J26" s="782" t="s">
        <v>198</v>
      </c>
    </row>
    <row r="27" spans="2:10" ht="21.15" customHeight="1">
      <c r="B27" s="37">
        <v>2022</v>
      </c>
      <c r="C27" s="108">
        <f>G19+G20</f>
        <v>6877720</v>
      </c>
      <c r="D27" s="108">
        <f>E19+E20</f>
        <v>1162161</v>
      </c>
      <c r="E27" s="108">
        <f>D19+D20</f>
        <v>693000</v>
      </c>
      <c r="F27" s="108">
        <f>F19</f>
        <v>668759</v>
      </c>
      <c r="G27" s="222"/>
      <c r="H27" s="108"/>
      <c r="I27" s="108"/>
      <c r="J27" s="782"/>
    </row>
    <row r="28" spans="2:10" ht="21.15" customHeight="1">
      <c r="B28" s="37">
        <v>2023</v>
      </c>
      <c r="C28" s="108">
        <f>G21+G22</f>
        <v>7149898.71</v>
      </c>
      <c r="D28" s="108">
        <f>E21+E22</f>
        <v>1050925</v>
      </c>
      <c r="E28" s="108">
        <f>D21+D22</f>
        <v>659000</v>
      </c>
      <c r="F28" s="108">
        <f>F21</f>
        <v>596053</v>
      </c>
      <c r="G28" s="222"/>
      <c r="H28" s="108"/>
      <c r="I28" s="108"/>
      <c r="J28" s="490"/>
    </row>
    <row r="29" spans="2:9" ht="21.15" customHeight="1">
      <c r="B29"/>
      <c r="C29" s="555"/>
      <c r="D29"/>
      <c r="E29"/>
      <c r="F29"/>
      <c r="G29" s="42"/>
      <c r="H29" s="42"/>
      <c r="I29" s="45"/>
    </row>
    <row r="30" spans="2:8" ht="24.9" customHeight="1">
      <c r="B30" s="752" t="s">
        <v>191</v>
      </c>
      <c r="C30" s="752"/>
      <c r="D30" s="752"/>
      <c r="E30" s="752"/>
      <c r="F30" s="752"/>
      <c r="G30" s="752"/>
      <c r="H30" s="752"/>
    </row>
    <row r="31" spans="2:10" ht="55.2">
      <c r="B31" s="78"/>
      <c r="C31" s="78" t="s">
        <v>50</v>
      </c>
      <c r="D31" s="78" t="s">
        <v>51</v>
      </c>
      <c r="E31" s="78" t="s">
        <v>52</v>
      </c>
      <c r="F31" s="78" t="s">
        <v>53</v>
      </c>
      <c r="G31" s="78" t="s">
        <v>185</v>
      </c>
      <c r="H31" s="78" t="s">
        <v>147</v>
      </c>
      <c r="I31" s="78"/>
      <c r="J31" s="69" t="s">
        <v>5</v>
      </c>
    </row>
    <row r="32" spans="2:10" ht="21.15" customHeight="1">
      <c r="B32" s="76" t="s">
        <v>54</v>
      </c>
      <c r="C32" s="176">
        <v>1168</v>
      </c>
      <c r="D32" s="176">
        <v>775</v>
      </c>
      <c r="E32" s="176">
        <v>212</v>
      </c>
      <c r="F32" s="176"/>
      <c r="G32" s="35">
        <f>(F32+E32)/(H32)</f>
        <v>0.09837587006960556</v>
      </c>
      <c r="H32" s="221">
        <f t="shared" si="3" ref="H32">SUM(C32:F32)</f>
        <v>2155</v>
      </c>
      <c r="I32" s="221"/>
      <c r="J32" s="779" t="s">
        <v>354</v>
      </c>
    </row>
    <row r="33" spans="2:10" ht="21.15" customHeight="1">
      <c r="B33" s="70" t="s">
        <v>23</v>
      </c>
      <c r="C33" s="107">
        <v>783</v>
      </c>
      <c r="D33" s="107">
        <v>474</v>
      </c>
      <c r="E33" s="107">
        <v>1093</v>
      </c>
      <c r="F33" s="107"/>
      <c r="G33" s="164">
        <f>(F33+E33)/(H33)</f>
        <v>0.4651063829787234</v>
      </c>
      <c r="H33" s="223">
        <f>SUM(C33:F33)</f>
        <v>2350</v>
      </c>
      <c r="I33" s="223"/>
      <c r="J33" s="779"/>
    </row>
    <row r="34" spans="2:14" ht="21.15" customHeight="1">
      <c r="B34" s="72" t="s">
        <v>24</v>
      </c>
      <c r="C34" s="108">
        <v>453</v>
      </c>
      <c r="D34" s="108">
        <v>346</v>
      </c>
      <c r="E34" s="108">
        <v>1762</v>
      </c>
      <c r="F34" s="108">
        <v>1</v>
      </c>
      <c r="G34" s="34">
        <f>(F34+E34)/(H34)</f>
        <v>0.6881342701014832</v>
      </c>
      <c r="H34" s="223">
        <f>SUM(C34:F34)</f>
        <v>2562</v>
      </c>
      <c r="I34" s="223"/>
      <c r="J34" s="779"/>
      <c r="K34"/>
      <c r="L34"/>
      <c r="M34"/>
      <c r="N34"/>
    </row>
    <row r="35" spans="2:14" ht="21.15" customHeight="1">
      <c r="B35" s="573">
        <v>2023</v>
      </c>
      <c r="C35" s="108">
        <v>442</v>
      </c>
      <c r="D35" s="108">
        <v>291</v>
      </c>
      <c r="E35" s="108">
        <v>1795</v>
      </c>
      <c r="F35" s="108">
        <v>72</v>
      </c>
      <c r="G35" s="34">
        <f>(F35+E35)/(H35)</f>
        <v>0.7180769230769231</v>
      </c>
      <c r="H35" s="223">
        <f>SUM(C35:F35)</f>
        <v>2600</v>
      </c>
      <c r="I35" s="223"/>
      <c r="J35" s="779"/>
      <c r="K35"/>
      <c r="L35"/>
      <c r="M35"/>
      <c r="N35"/>
    </row>
    <row r="36" spans="2:14" ht="21.15" customHeight="1">
      <c r="B36" s="46"/>
      <c r="C36" s="42"/>
      <c r="D36" s="42"/>
      <c r="E36" s="42"/>
      <c r="F36" s="42"/>
      <c r="G36" s="44"/>
      <c r="H36" s="47"/>
      <c r="K36"/>
      <c r="L36"/>
      <c r="M36"/>
      <c r="N36"/>
    </row>
    <row r="37" spans="2:14" ht="21.15" customHeight="1">
      <c r="B37" s="752" t="s">
        <v>418</v>
      </c>
      <c r="C37" s="752"/>
      <c r="D37" s="752"/>
      <c r="E37" s="752"/>
      <c r="F37" s="752"/>
      <c r="G37" s="44"/>
      <c r="H37" s="47"/>
      <c r="K37"/>
      <c r="L37"/>
      <c r="M37"/>
      <c r="N37"/>
    </row>
    <row r="38" spans="2:14" ht="36" customHeight="1">
      <c r="B38" s="667"/>
      <c r="C38" s="668" t="s">
        <v>413</v>
      </c>
      <c r="D38" s="668" t="s">
        <v>414</v>
      </c>
      <c r="E38" s="668" t="s">
        <v>415</v>
      </c>
      <c r="F38" s="668" t="s">
        <v>416</v>
      </c>
      <c r="G38" s="668" t="s">
        <v>185</v>
      </c>
      <c r="H38" s="668" t="s">
        <v>147</v>
      </c>
      <c r="I38" s="668"/>
      <c r="J38" s="69" t="s">
        <v>5</v>
      </c>
      <c r="K38"/>
      <c r="L38"/>
      <c r="M38"/>
      <c r="N38"/>
    </row>
    <row r="39" spans="2:14" ht="21.15" customHeight="1">
      <c r="B39" s="666">
        <v>2020</v>
      </c>
      <c r="C39" s="176">
        <v>70</v>
      </c>
      <c r="D39" s="176">
        <v>25</v>
      </c>
      <c r="E39" s="176">
        <v>291</v>
      </c>
      <c r="F39" s="176">
        <v>0</v>
      </c>
      <c r="G39" s="35">
        <v>0.75</v>
      </c>
      <c r="H39" s="221">
        <v>386</v>
      </c>
      <c r="I39" s="221"/>
      <c r="J39" s="779" t="s">
        <v>354</v>
      </c>
      <c r="K39"/>
      <c r="L39"/>
      <c r="M39"/>
      <c r="N39"/>
    </row>
    <row r="40" spans="2:14" ht="21.15" customHeight="1">
      <c r="B40" s="70" t="s">
        <v>23</v>
      </c>
      <c r="C40" s="176">
        <v>71</v>
      </c>
      <c r="D40" s="176">
        <v>24</v>
      </c>
      <c r="E40" s="176">
        <v>237</v>
      </c>
      <c r="F40" s="176">
        <v>0</v>
      </c>
      <c r="G40" s="35">
        <v>0.71</v>
      </c>
      <c r="H40" s="223">
        <v>332</v>
      </c>
      <c r="I40" s="223"/>
      <c r="J40" s="779"/>
      <c r="K40"/>
      <c r="L40"/>
      <c r="M40"/>
      <c r="N40"/>
    </row>
    <row r="41" spans="2:14" ht="21.15" customHeight="1">
      <c r="B41" s="72" t="s">
        <v>24</v>
      </c>
      <c r="C41" s="176">
        <v>57</v>
      </c>
      <c r="D41" s="176">
        <v>25</v>
      </c>
      <c r="E41" s="176">
        <v>252</v>
      </c>
      <c r="F41" s="176">
        <v>0</v>
      </c>
      <c r="G41" s="35">
        <v>0.75</v>
      </c>
      <c r="H41" s="223">
        <v>334</v>
      </c>
      <c r="I41" s="223"/>
      <c r="J41" s="779"/>
      <c r="K41"/>
      <c r="L41"/>
      <c r="M41"/>
      <c r="N41"/>
    </row>
    <row r="42" spans="2:14" ht="21.15" customHeight="1">
      <c r="B42" s="669">
        <v>2023</v>
      </c>
      <c r="C42" s="545">
        <v>51</v>
      </c>
      <c r="D42" s="545">
        <v>13</v>
      </c>
      <c r="E42" s="545">
        <v>247</v>
      </c>
      <c r="F42" s="545">
        <v>0</v>
      </c>
      <c r="G42" s="670">
        <f>(E42)/H42</f>
        <v>0.7942122186495176</v>
      </c>
      <c r="H42" s="222">
        <v>311</v>
      </c>
      <c r="I42" s="223"/>
      <c r="J42" s="779"/>
      <c r="K42"/>
      <c r="L42"/>
      <c r="M42"/>
      <c r="N42"/>
    </row>
    <row r="43" spans="2:14" ht="21.15" customHeight="1">
      <c r="B43" s="743"/>
      <c r="C43" s="545"/>
      <c r="D43" s="545"/>
      <c r="E43" s="545"/>
      <c r="F43" s="545"/>
      <c r="G43" s="670"/>
      <c r="H43" s="671"/>
      <c r="K43"/>
      <c r="L43"/>
      <c r="M43"/>
      <c r="N43"/>
    </row>
    <row r="44" spans="2:14" ht="21.15" customHeight="1">
      <c r="B44" s="752" t="s">
        <v>417</v>
      </c>
      <c r="C44" s="752"/>
      <c r="D44" s="752"/>
      <c r="E44" s="752"/>
      <c r="F44" s="752"/>
      <c r="G44" s="44"/>
      <c r="H44" s="47"/>
      <c r="K44"/>
      <c r="L44"/>
      <c r="M44"/>
      <c r="N44"/>
    </row>
    <row r="45" spans="2:14" ht="39" customHeight="1">
      <c r="B45" s="667"/>
      <c r="C45" s="668" t="s">
        <v>413</v>
      </c>
      <c r="D45" s="668" t="s">
        <v>414</v>
      </c>
      <c r="E45" s="668" t="s">
        <v>415</v>
      </c>
      <c r="F45" s="668" t="s">
        <v>416</v>
      </c>
      <c r="G45" s="668" t="s">
        <v>185</v>
      </c>
      <c r="H45" s="668" t="s">
        <v>147</v>
      </c>
      <c r="I45" s="668"/>
      <c r="J45" s="69" t="s">
        <v>5</v>
      </c>
      <c r="K45"/>
      <c r="L45"/>
      <c r="M45"/>
      <c r="N45"/>
    </row>
    <row r="46" spans="2:14" ht="21.15" customHeight="1">
      <c r="B46" s="666">
        <v>2020</v>
      </c>
      <c r="C46" s="176">
        <v>418</v>
      </c>
      <c r="D46" s="176">
        <v>36</v>
      </c>
      <c r="E46" s="176">
        <v>78</v>
      </c>
      <c r="F46" s="176">
        <v>0</v>
      </c>
      <c r="G46" s="35">
        <v>0.15</v>
      </c>
      <c r="H46" s="221">
        <v>532</v>
      </c>
      <c r="I46" s="221"/>
      <c r="J46" s="779" t="s">
        <v>354</v>
      </c>
      <c r="K46"/>
      <c r="L46"/>
      <c r="M46"/>
      <c r="N46"/>
    </row>
    <row r="47" spans="2:14" ht="21.15" customHeight="1">
      <c r="B47" s="70" t="s">
        <v>23</v>
      </c>
      <c r="C47" s="176">
        <v>358</v>
      </c>
      <c r="D47" s="176">
        <v>33</v>
      </c>
      <c r="E47" s="176">
        <v>95</v>
      </c>
      <c r="F47" s="176">
        <v>0</v>
      </c>
      <c r="G47" s="35">
        <v>0.195</v>
      </c>
      <c r="H47" s="223">
        <v>486</v>
      </c>
      <c r="I47" s="223"/>
      <c r="J47" s="779"/>
      <c r="K47"/>
      <c r="L47"/>
      <c r="M47"/>
      <c r="N47"/>
    </row>
    <row r="48" spans="2:14" ht="21.15" customHeight="1">
      <c r="B48" s="72" t="s">
        <v>24</v>
      </c>
      <c r="C48" s="176">
        <v>294</v>
      </c>
      <c r="D48" s="176">
        <v>30</v>
      </c>
      <c r="E48" s="176">
        <v>140</v>
      </c>
      <c r="F48" s="176">
        <v>1</v>
      </c>
      <c r="G48" s="35">
        <v>0.303</v>
      </c>
      <c r="H48" s="223">
        <v>465</v>
      </c>
      <c r="I48" s="223"/>
      <c r="J48" s="779"/>
      <c r="K48"/>
      <c r="L48"/>
      <c r="M48"/>
      <c r="N48"/>
    </row>
    <row r="49" spans="2:14" ht="21.15" customHeight="1">
      <c r="B49" s="669">
        <v>2023</v>
      </c>
      <c r="C49" s="176">
        <v>263</v>
      </c>
      <c r="D49" s="176">
        <v>27</v>
      </c>
      <c r="E49" s="176">
        <v>154</v>
      </c>
      <c r="F49" s="176">
        <v>1</v>
      </c>
      <c r="G49" s="35">
        <v>0.348</v>
      </c>
      <c r="H49" s="223">
        <v>445</v>
      </c>
      <c r="I49" s="223"/>
      <c r="J49" s="779"/>
      <c r="K49"/>
      <c r="L49"/>
      <c r="M49"/>
      <c r="N49"/>
    </row>
    <row r="50" spans="2:14" ht="21.15" customHeight="1">
      <c r="B50" s="672"/>
      <c r="C50" s="545"/>
      <c r="D50" s="545"/>
      <c r="E50" s="545"/>
      <c r="F50" s="545"/>
      <c r="G50" s="670"/>
      <c r="H50" s="671"/>
      <c r="I50"/>
      <c r="K50"/>
      <c r="L50"/>
      <c r="M50"/>
      <c r="N50"/>
    </row>
    <row r="51" spans="2:14" ht="21.15" customHeight="1">
      <c r="B51" s="752" t="s">
        <v>412</v>
      </c>
      <c r="C51" s="752"/>
      <c r="D51" s="752"/>
      <c r="E51" s="752"/>
      <c r="F51" s="752"/>
      <c r="G51" s="44"/>
      <c r="H51" s="47"/>
      <c r="K51"/>
      <c r="L51"/>
      <c r="M51"/>
      <c r="N51"/>
    </row>
    <row r="52" spans="2:14" ht="35.4" customHeight="1">
      <c r="B52" s="78"/>
      <c r="C52" s="78" t="s">
        <v>50</v>
      </c>
      <c r="D52" s="78" t="s">
        <v>51</v>
      </c>
      <c r="E52" s="78" t="s">
        <v>52</v>
      </c>
      <c r="F52" s="78" t="s">
        <v>53</v>
      </c>
      <c r="G52" s="78" t="s">
        <v>185</v>
      </c>
      <c r="H52" s="78" t="s">
        <v>147</v>
      </c>
      <c r="I52" s="78"/>
      <c r="J52" s="69" t="s">
        <v>5</v>
      </c>
      <c r="K52"/>
      <c r="L52"/>
      <c r="M52"/>
      <c r="N52"/>
    </row>
    <row r="53" spans="2:14" ht="21.15" customHeight="1">
      <c r="B53" s="666">
        <v>2020</v>
      </c>
      <c r="C53" s="176">
        <v>336</v>
      </c>
      <c r="D53" s="176">
        <v>0</v>
      </c>
      <c r="E53" s="176">
        <v>119</v>
      </c>
      <c r="F53" s="176">
        <v>0</v>
      </c>
      <c r="G53" s="35">
        <f>(F53+E53)/(H53)</f>
        <v>0.26153846153846155</v>
      </c>
      <c r="H53" s="221">
        <v>455</v>
      </c>
      <c r="I53" s="221"/>
      <c r="J53" s="779" t="s">
        <v>354</v>
      </c>
      <c r="K53"/>
      <c r="L53"/>
      <c r="M53"/>
      <c r="N53"/>
    </row>
    <row r="54" spans="2:14" ht="21.15" customHeight="1">
      <c r="B54" s="70" t="s">
        <v>23</v>
      </c>
      <c r="C54" s="107">
        <v>147</v>
      </c>
      <c r="D54" s="107">
        <v>0</v>
      </c>
      <c r="E54" s="107">
        <v>224</v>
      </c>
      <c r="F54" s="107">
        <v>0</v>
      </c>
      <c r="G54" s="35">
        <f t="shared" si="4" ref="G54:G55">(F54+E54)/(H54)</f>
        <v>0.6037735849056604</v>
      </c>
      <c r="H54" s="223">
        <v>371</v>
      </c>
      <c r="I54" s="223"/>
      <c r="J54" s="779"/>
      <c r="K54"/>
      <c r="L54"/>
      <c r="M54"/>
      <c r="N54"/>
    </row>
    <row r="55" spans="2:14" ht="21.15" customHeight="1">
      <c r="B55" s="72" t="s">
        <v>24</v>
      </c>
      <c r="C55" s="108">
        <v>142</v>
      </c>
      <c r="D55" s="108">
        <v>0</v>
      </c>
      <c r="E55" s="108">
        <v>216</v>
      </c>
      <c r="F55" s="108">
        <v>0</v>
      </c>
      <c r="G55" s="35">
        <f t="shared" si="4"/>
        <v>0.6033519553072626</v>
      </c>
      <c r="H55" s="223">
        <v>358</v>
      </c>
      <c r="I55" s="223"/>
      <c r="J55" s="779"/>
      <c r="K55"/>
      <c r="L55"/>
      <c r="M55"/>
      <c r="N55"/>
    </row>
    <row r="56" spans="2:14" ht="21.15" customHeight="1">
      <c r="B56" s="573">
        <v>2023</v>
      </c>
      <c r="C56" s="108">
        <v>135</v>
      </c>
      <c r="D56" s="108">
        <v>0</v>
      </c>
      <c r="E56" s="108">
        <v>208</v>
      </c>
      <c r="F56" s="108">
        <v>0</v>
      </c>
      <c r="G56" s="35">
        <f>(F56+E56)/(H56)</f>
        <v>0.6064139941690962</v>
      </c>
      <c r="H56" s="223">
        <v>343</v>
      </c>
      <c r="I56" s="223"/>
      <c r="J56" s="779"/>
      <c r="K56"/>
      <c r="L56"/>
      <c r="M56"/>
      <c r="N56"/>
    </row>
    <row r="57" spans="2:14" ht="24.9" customHeight="1">
      <c r="B57" s="752" t="s">
        <v>192</v>
      </c>
      <c r="C57" s="752"/>
      <c r="D57" s="752"/>
      <c r="E57" s="752"/>
      <c r="F57" s="752"/>
      <c r="K57"/>
      <c r="L57"/>
      <c r="M57"/>
      <c r="N57"/>
    </row>
    <row r="58" spans="2:14" ht="21.15" customHeight="1">
      <c r="B58" s="78"/>
      <c r="C58" s="78" t="s">
        <v>55</v>
      </c>
      <c r="D58" s="78" t="s">
        <v>56</v>
      </c>
      <c r="E58" s="78" t="s">
        <v>177</v>
      </c>
      <c r="F58" s="78" t="s">
        <v>57</v>
      </c>
      <c r="G58" s="78" t="s">
        <v>8</v>
      </c>
      <c r="H58" s="78"/>
      <c r="I58" s="78"/>
      <c r="J58" s="78"/>
      <c r="K58"/>
      <c r="L58"/>
      <c r="M58"/>
      <c r="N58"/>
    </row>
    <row r="59" spans="2:10" ht="21.15" customHeight="1">
      <c r="B59" s="224">
        <v>2020</v>
      </c>
      <c r="C59" s="35">
        <v>0.75</v>
      </c>
      <c r="D59" s="35">
        <v>0.15</v>
      </c>
      <c r="E59" s="225">
        <f t="shared" si="5" ref="E59:E62">G53</f>
        <v>0.26153846153846155</v>
      </c>
      <c r="F59" s="665">
        <v>0.10</v>
      </c>
      <c r="G59" s="663">
        <f>(E53+E46+E39+E32)/(H32+H39+H46+H53)</f>
        <v>0.1984126984126984</v>
      </c>
      <c r="H59" s="663"/>
      <c r="I59" s="663"/>
      <c r="J59" s="663"/>
    </row>
    <row r="60" spans="2:10" ht="21.15" customHeight="1">
      <c r="B60" s="226" t="s">
        <v>23</v>
      </c>
      <c r="C60" s="35">
        <v>0.71</v>
      </c>
      <c r="D60" s="35">
        <v>0.195</v>
      </c>
      <c r="E60" s="164">
        <f t="shared" si="5"/>
        <v>0.6037735849056604</v>
      </c>
      <c r="F60" s="665">
        <v>0.47</v>
      </c>
      <c r="G60" s="663">
        <f>(E54+E47+E40+E33)/(H33+H40+H47+H54)</f>
        <v>0.46595083356880473</v>
      </c>
      <c r="H60" s="663"/>
      <c r="I60" s="663"/>
      <c r="J60" s="663"/>
    </row>
    <row r="61" spans="2:10" ht="21.15" customHeight="1">
      <c r="B61" s="227" t="s">
        <v>24</v>
      </c>
      <c r="C61" s="35">
        <v>0.75</v>
      </c>
      <c r="D61" s="35">
        <v>0.303</v>
      </c>
      <c r="E61" s="34">
        <f>G55</f>
        <v>0.6033519553072626</v>
      </c>
      <c r="F61" s="665">
        <f>G34</f>
        <v>0.6881342701014832</v>
      </c>
      <c r="G61" s="663">
        <f>(E55+E48+F48+E41+E34+F34)/(H34+H41+H48+H55)</f>
        <v>0.637805861790804</v>
      </c>
      <c r="H61" s="663"/>
      <c r="I61" s="663"/>
      <c r="J61" s="663"/>
    </row>
    <row r="62" spans="2:10" ht="21.15" customHeight="1">
      <c r="B62" s="227">
        <v>2023</v>
      </c>
      <c r="C62" s="35">
        <v>0.79</v>
      </c>
      <c r="D62" s="35">
        <v>0.348</v>
      </c>
      <c r="E62" s="34">
        <f t="shared" si="5"/>
        <v>0.6064139941690962</v>
      </c>
      <c r="F62" s="665">
        <f t="shared" si="6" ref="F62">G35</f>
        <v>0.7180769230769231</v>
      </c>
      <c r="G62" s="663">
        <f>(E56+E49+F49+E42+E35+F35)/(H35+H42+H49+H56)</f>
        <v>0.669640443363071</v>
      </c>
      <c r="H62" s="663"/>
      <c r="I62" s="663"/>
      <c r="J62" s="663"/>
    </row>
    <row r="63" ht="15" customHeight="1"/>
    <row r="65" ht="29.4" customHeight="1"/>
    <row r="66" ht="57" customHeight="1"/>
    <row r="67" ht="80.4" customHeight="1"/>
    <row r="69" ht="30.15" customHeight="1"/>
    <row r="70" ht="15" customHeight="1"/>
    <row r="71" ht="15" customHeight="1"/>
    <row r="74" ht="14.25" customHeight="1"/>
    <row r="75" ht="14.25" customHeight="1"/>
    <row r="77" spans="2:3" ht="14.4">
      <c r="B77"/>
      <c r="C77"/>
    </row>
    <row r="78" spans="2:3" ht="14.4">
      <c r="B78"/>
      <c r="C78"/>
    </row>
    <row r="79" spans="2:3" ht="14.4">
      <c r="B79"/>
      <c r="C79"/>
    </row>
    <row r="80" spans="2:3" ht="14.4">
      <c r="B80"/>
      <c r="C80"/>
    </row>
  </sheetData>
  <mergeCells count="23">
    <mergeCell ref="G15:I15"/>
    <mergeCell ref="J26:J27"/>
    <mergeCell ref="B30:F30"/>
    <mergeCell ref="G30:H30"/>
    <mergeCell ref="B7:F7"/>
    <mergeCell ref="J9:J13"/>
    <mergeCell ref="J17:J20"/>
    <mergeCell ref="B15:F15"/>
    <mergeCell ref="B21:B22"/>
    <mergeCell ref="I21:I22"/>
    <mergeCell ref="B57:F57"/>
    <mergeCell ref="B17:B18"/>
    <mergeCell ref="I17:I18"/>
    <mergeCell ref="I19:I20"/>
    <mergeCell ref="B19:B20"/>
    <mergeCell ref="B24:F24"/>
    <mergeCell ref="J32:J35"/>
    <mergeCell ref="B51:F51"/>
    <mergeCell ref="J53:J56"/>
    <mergeCell ref="B37:F37"/>
    <mergeCell ref="J39:J42"/>
    <mergeCell ref="B44:F44"/>
    <mergeCell ref="J46:J49"/>
  </mergeCells>
  <pageMargins left="0.7" right="0.7" top="0.75" bottom="0.75" header="0.3" footer="0.3"/>
  <pageSetup orientation="portrait" paperSize="9" r:id="rId4"/>
  <headerFooter scaleWithDoc="0"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D36B004-8BC0-4400-9E6E-1775996CABB0}">
  <dimension ref="B5:U10"/>
  <sheetViews>
    <sheetView showGridLines="0" rightToLeft="1" workbookViewId="0" topLeftCell="A1">
      <selection pane="topLeft" activeCell="K8" sqref="K8"/>
    </sheetView>
  </sheetViews>
  <sheetFormatPr defaultColWidth="9.114285714285714" defaultRowHeight="14.4"/>
  <cols>
    <col min="1" max="1" width="3.7142857142857144" customWidth="1"/>
    <col min="2" max="2" width="10.714285714285714" customWidth="1"/>
    <col min="3" max="3" width="13.142857142857142" customWidth="1"/>
    <col min="4" max="8" width="10.714285714285714" customWidth="1"/>
  </cols>
  <sheetData>
    <row r="1" ht="15" customHeight="1"/>
    <row r="2" ht="15" customHeight="1"/>
    <row r="3" ht="15" customHeight="1"/>
    <row r="4" ht="15" customHeight="1"/>
    <row r="5" spans="2:21" ht="24" customHeight="1">
      <c r="B5" s="752" t="s">
        <v>291</v>
      </c>
      <c r="C5" s="752"/>
      <c r="D5" s="752"/>
      <c r="E5" s="752"/>
      <c r="F5" s="752"/>
      <c r="G5" s="487"/>
      <c r="Q5" s="41"/>
      <c r="R5" s="41"/>
      <c r="S5" s="41"/>
      <c r="T5" s="41"/>
      <c r="U5" s="41"/>
    </row>
    <row r="6" spans="2:8" ht="15" customHeight="1">
      <c r="B6" s="228"/>
      <c r="C6" s="228" t="s">
        <v>0</v>
      </c>
      <c r="D6" s="228" t="s">
        <v>55</v>
      </c>
      <c r="E6" s="228" t="s">
        <v>56</v>
      </c>
      <c r="F6" s="228" t="s">
        <v>177</v>
      </c>
      <c r="G6" s="228" t="s">
        <v>8</v>
      </c>
      <c r="H6" s="229" t="s">
        <v>5</v>
      </c>
    </row>
    <row r="7" spans="2:8" ht="24.9" customHeight="1">
      <c r="B7" s="230" t="s">
        <v>23</v>
      </c>
      <c r="C7" s="180">
        <v>57798</v>
      </c>
      <c r="D7" s="180">
        <v>4218.1</v>
      </c>
      <c r="E7" s="180">
        <v>10021</v>
      </c>
      <c r="F7" s="180">
        <v>21000</v>
      </c>
      <c r="G7" s="496">
        <f>SUM(C7:F7)</f>
        <v>93037.10</v>
      </c>
      <c r="H7" s="779" t="s">
        <v>204</v>
      </c>
    </row>
    <row r="8" spans="2:8" ht="29.25" customHeight="1">
      <c r="B8" s="231" t="s">
        <v>24</v>
      </c>
      <c r="C8" s="220">
        <v>45754</v>
      </c>
      <c r="D8" s="220">
        <v>5129.17</v>
      </c>
      <c r="E8" s="220">
        <v>9302</v>
      </c>
      <c r="F8" s="220">
        <v>21860</v>
      </c>
      <c r="G8" s="496">
        <f t="shared" si="0" ref="G8:G9">SUM(C8:F8)</f>
        <v>82045.17</v>
      </c>
      <c r="H8" s="779"/>
    </row>
    <row r="9" spans="2:20" ht="21.15" customHeight="1">
      <c r="B9" s="572">
        <v>2023</v>
      </c>
      <c r="C9" s="220">
        <v>42567</v>
      </c>
      <c r="D9" s="220">
        <v>4091</v>
      </c>
      <c r="E9" s="220">
        <v>5983</v>
      </c>
      <c r="F9" s="220">
        <v>13254</v>
      </c>
      <c r="G9" s="496">
        <f t="shared" si="0"/>
        <v>65895</v>
      </c>
      <c r="H9" s="779"/>
      <c r="T9" s="571"/>
    </row>
    <row r="10" spans="2:8" ht="121.8" customHeight="1">
      <c r="B10" s="693" t="s">
        <v>4</v>
      </c>
      <c r="C10" t="s">
        <v>375</v>
      </c>
      <c r="F10" s="497" t="s">
        <v>454</v>
      </c>
      <c r="G10" s="555"/>
      <c r="H10" s="779"/>
    </row>
  </sheetData>
  <mergeCells count="2">
    <mergeCell ref="B5:F5"/>
    <mergeCell ref="H7:H10"/>
  </mergeCells>
  <pageMargins left="0.7" right="0.7" top="0.75" bottom="0.75" header="0.3" footer="0.3"/>
  <headerFooter scaleWithDoc="0"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0E17A87-3C41-4E7A-AE84-64C9E8B56AC8}">
  <dimension ref="B5:N45"/>
  <sheetViews>
    <sheetView showGridLines="0" rightToLeft="1" workbookViewId="0" topLeftCell="A23">
      <selection pane="topLeft" activeCell="B28" sqref="B28:J28"/>
    </sheetView>
  </sheetViews>
  <sheetFormatPr defaultColWidth="9.114285714285714" defaultRowHeight="14.4"/>
  <cols>
    <col min="1" max="1" width="3.7142857142857144" customWidth="1"/>
    <col min="2" max="6" width="10.714285714285714" style="64" customWidth="1"/>
    <col min="7" max="7" width="14.428571428571429" style="64" customWidth="1"/>
    <col min="8" max="11" width="10.714285714285714" style="64" customWidth="1"/>
    <col min="12" max="12" width="10" customWidth="1"/>
  </cols>
  <sheetData>
    <row r="1" ht="15" customHeight="1"/>
    <row r="2" ht="15" customHeight="1"/>
    <row r="3" ht="15" customHeight="1"/>
    <row r="4" ht="15" customHeight="1"/>
    <row r="5" spans="2:12" ht="24" customHeight="1" thickBot="1">
      <c r="B5" s="65" t="s">
        <v>269</v>
      </c>
      <c r="C5" s="66"/>
      <c r="D5" s="66"/>
      <c r="E5" s="66"/>
      <c r="F5" s="66"/>
      <c r="G5" s="66"/>
      <c r="H5" s="66"/>
      <c r="I5" s="66"/>
      <c r="J5" s="66"/>
      <c r="K5" s="66"/>
      <c r="L5" s="66"/>
    </row>
    <row r="6" ht="15" customHeight="1" thickTop="1"/>
    <row r="7" spans="2:11" ht="24.9" customHeight="1">
      <c r="B7" s="752" t="s">
        <v>292</v>
      </c>
      <c r="C7" s="752"/>
      <c r="D7" s="752"/>
      <c r="E7" s="752"/>
      <c r="F7" s="752"/>
      <c r="G7" s="752"/>
      <c r="H7" s="752"/>
      <c r="I7" s="752"/>
      <c r="J7" s="752"/>
      <c r="K7" s="102"/>
    </row>
    <row r="8" spans="2:12" ht="55.2" customHeight="1">
      <c r="B8" s="68"/>
      <c r="C8" s="68" t="s">
        <v>303</v>
      </c>
      <c r="D8" s="68" t="s">
        <v>420</v>
      </c>
      <c r="E8" s="68" t="s">
        <v>193</v>
      </c>
      <c r="F8" s="68" t="s">
        <v>194</v>
      </c>
      <c r="G8" s="68" t="s">
        <v>195</v>
      </c>
      <c r="H8" s="68" t="s">
        <v>196</v>
      </c>
      <c r="I8" s="68" t="s">
        <v>197</v>
      </c>
      <c r="J8" s="103"/>
      <c r="K8" s="103"/>
      <c r="L8" s="69" t="s">
        <v>5</v>
      </c>
    </row>
    <row r="9" spans="2:13" s="50" customFormat="1" ht="21.15" customHeight="1">
      <c r="B9" s="70" t="s">
        <v>23</v>
      </c>
      <c r="C9" s="71">
        <v>96970</v>
      </c>
      <c r="D9" s="680">
        <v>0.89</v>
      </c>
      <c r="E9" s="71">
        <v>311000</v>
      </c>
      <c r="F9" s="71">
        <v>104500</v>
      </c>
      <c r="G9" s="71">
        <f>1000*580.1114</f>
        <v>580111.40</v>
      </c>
      <c r="H9" s="71">
        <v>3400</v>
      </c>
      <c r="I9" s="71">
        <v>64400</v>
      </c>
      <c r="J9" s="104"/>
      <c r="K9" s="104"/>
      <c r="L9" s="4" t="s">
        <v>421</v>
      </c>
      <c r="M9"/>
    </row>
    <row r="10" spans="2:13" s="50" customFormat="1" ht="21.15" customHeight="1">
      <c r="B10" s="72" t="s">
        <v>24</v>
      </c>
      <c r="C10" s="73">
        <v>103580</v>
      </c>
      <c r="D10" s="681">
        <v>0.92</v>
      </c>
      <c r="E10" s="73">
        <v>287280</v>
      </c>
      <c r="F10" s="73">
        <v>185900</v>
      </c>
      <c r="G10" s="73">
        <f>1000*321.62508</f>
        <v>321625.08</v>
      </c>
      <c r="H10" s="73">
        <v>5100</v>
      </c>
      <c r="I10" s="73">
        <v>72000</v>
      </c>
      <c r="J10" s="105"/>
      <c r="K10" s="105"/>
      <c r="L10" s="4"/>
      <c r="M10"/>
    </row>
    <row r="11" spans="2:13" s="50" customFormat="1" ht="21.15" customHeight="1">
      <c r="B11" s="574">
        <v>2023</v>
      </c>
      <c r="C11" s="73">
        <f>1000*117.22</f>
        <v>117220</v>
      </c>
      <c r="D11" s="681">
        <v>0.88</v>
      </c>
      <c r="E11" s="73">
        <f>1000*78.11</f>
        <v>78110</v>
      </c>
      <c r="F11" s="73">
        <f>1000*166.71177</f>
        <v>166711.77</v>
      </c>
      <c r="G11" s="73">
        <f>1000*181.06755</f>
        <v>181067.55000000002</v>
      </c>
      <c r="H11" s="73">
        <f>1000*0.29</f>
        <v>290</v>
      </c>
      <c r="I11" s="73">
        <f>1000*69.66</f>
        <v>69660</v>
      </c>
      <c r="J11" s="105"/>
      <c r="K11" s="105"/>
      <c r="L11" s="4"/>
      <c r="M11"/>
    </row>
    <row r="12" spans="2:13" s="50" customFormat="1" ht="72">
      <c r="B12" t="s">
        <v>4</v>
      </c>
      <c r="C12"/>
      <c r="D12"/>
      <c r="E12"/>
      <c r="F12"/>
      <c r="G12" s="497" t="s">
        <v>376</v>
      </c>
      <c r="H12"/>
      <c r="I12"/>
      <c r="J12"/>
      <c r="K12"/>
      <c r="L12" s="4"/>
      <c r="M12" s="484"/>
    </row>
    <row r="13" spans="2:10" ht="24.9" customHeight="1">
      <c r="B13" s="752" t="s">
        <v>467</v>
      </c>
      <c r="C13" s="752"/>
      <c r="D13" s="752"/>
      <c r="E13" s="752"/>
      <c r="F13" s="752"/>
      <c r="G13" s="752"/>
      <c r="H13" s="752"/>
      <c r="I13" s="752"/>
      <c r="J13" s="752"/>
    </row>
    <row r="14" spans="2:12" ht="55.2" customHeight="1">
      <c r="B14" s="68"/>
      <c r="C14" s="68" t="s">
        <v>293</v>
      </c>
      <c r="D14" s="68" t="s">
        <v>294</v>
      </c>
      <c r="E14" s="68" t="s">
        <v>295</v>
      </c>
      <c r="F14" s="68" t="s">
        <v>58</v>
      </c>
      <c r="G14" s="68" t="s">
        <v>296</v>
      </c>
      <c r="H14" s="68" t="s">
        <v>377</v>
      </c>
      <c r="I14" s="68" t="s">
        <v>297</v>
      </c>
      <c r="J14" s="68" t="s">
        <v>298</v>
      </c>
      <c r="K14" s="68"/>
      <c r="L14" s="69" t="s">
        <v>5</v>
      </c>
    </row>
    <row r="15" spans="2:12" s="50" customFormat="1" ht="21.15" customHeight="1">
      <c r="B15" s="70" t="s">
        <v>23</v>
      </c>
      <c r="C15" s="71">
        <v>41437</v>
      </c>
      <c r="D15" s="71">
        <v>2780</v>
      </c>
      <c r="E15" s="71">
        <v>13780</v>
      </c>
      <c r="F15" s="71">
        <v>370240</v>
      </c>
      <c r="G15" s="71">
        <v>54170</v>
      </c>
      <c r="H15" s="71">
        <v>20320</v>
      </c>
      <c r="I15" s="71">
        <v>1477</v>
      </c>
      <c r="J15" s="71">
        <v>28880</v>
      </c>
      <c r="K15" s="71"/>
      <c r="L15" s="4" t="s">
        <v>205</v>
      </c>
    </row>
    <row r="16" spans="2:12" s="50" customFormat="1" ht="21.15" customHeight="1">
      <c r="B16" s="72" t="s">
        <v>24</v>
      </c>
      <c r="C16" s="73">
        <v>37817</v>
      </c>
      <c r="D16" s="73">
        <v>1700</v>
      </c>
      <c r="E16" s="73">
        <v>15340</v>
      </c>
      <c r="F16" s="73">
        <v>211923</v>
      </c>
      <c r="G16" s="73">
        <v>76620</v>
      </c>
      <c r="H16" s="71">
        <v>21615</v>
      </c>
      <c r="I16" s="73">
        <v>1656</v>
      </c>
      <c r="J16" s="73">
        <v>21991</v>
      </c>
      <c r="K16" s="73"/>
      <c r="L16" s="4"/>
    </row>
    <row r="17" spans="2:12" s="50" customFormat="1" ht="21.15" customHeight="1">
      <c r="B17" s="574">
        <v>2023</v>
      </c>
      <c r="C17" s="73">
        <v>33935</v>
      </c>
      <c r="D17" s="73">
        <v>3311</v>
      </c>
      <c r="E17" s="73">
        <v>9550</v>
      </c>
      <c r="F17" s="73">
        <v>47006</v>
      </c>
      <c r="G17" s="73">
        <v>39650</v>
      </c>
      <c r="H17" s="71">
        <v>22804</v>
      </c>
      <c r="I17" s="73">
        <v>2809</v>
      </c>
      <c r="J17" s="73">
        <v>17700</v>
      </c>
      <c r="K17" s="73"/>
      <c r="L17" s="4"/>
    </row>
    <row r="18" spans="2:12" s="50" customFormat="1" ht="96.6" customHeight="1">
      <c r="B18" s="75" t="s">
        <v>4</v>
      </c>
      <c r="C18" s="106"/>
      <c r="D18" s="106"/>
      <c r="E18" s="106"/>
      <c r="F18" s="106"/>
      <c r="G18" s="106"/>
      <c r="H18" s="691" t="s">
        <v>378</v>
      </c>
      <c r="I18" s="691"/>
      <c r="J18" s="691" t="s">
        <v>455</v>
      </c>
      <c r="K18" s="691"/>
      <c r="L18" s="4"/>
    </row>
    <row r="19" spans="2:13" ht="24.9" customHeight="1">
      <c r="B19" s="752" t="s">
        <v>468</v>
      </c>
      <c r="C19" s="752"/>
      <c r="D19" s="752"/>
      <c r="E19" s="752"/>
      <c r="F19" s="752"/>
      <c r="G19" s="752"/>
      <c r="H19" s="752"/>
      <c r="I19" s="752"/>
      <c r="J19" s="752"/>
      <c r="L19" s="50"/>
      <c r="M19" s="50"/>
    </row>
    <row r="20" spans="2:13" ht="55.2" customHeight="1">
      <c r="B20" s="68"/>
      <c r="C20" s="783" t="s">
        <v>299</v>
      </c>
      <c r="D20" s="783"/>
      <c r="E20" s="68" t="s">
        <v>294</v>
      </c>
      <c r="F20" s="68" t="s">
        <v>295</v>
      </c>
      <c r="G20" s="68" t="s">
        <v>58</v>
      </c>
      <c r="H20" s="68" t="s">
        <v>377</v>
      </c>
      <c r="I20" s="68" t="s">
        <v>297</v>
      </c>
      <c r="J20" s="68" t="s">
        <v>380</v>
      </c>
      <c r="K20" s="68" t="s">
        <v>379</v>
      </c>
      <c r="L20" s="69" t="s">
        <v>5</v>
      </c>
      <c r="M20" s="50"/>
    </row>
    <row r="21" spans="2:12" s="50" customFormat="1" ht="21.15" customHeight="1">
      <c r="B21" s="786" t="s">
        <v>23</v>
      </c>
      <c r="C21" s="71" t="s">
        <v>206</v>
      </c>
      <c r="D21" s="107" t="s">
        <v>300</v>
      </c>
      <c r="E21" s="784">
        <v>1085012</v>
      </c>
      <c r="F21" s="784">
        <v>314145</v>
      </c>
      <c r="G21" s="784">
        <v>510911</v>
      </c>
      <c r="H21" s="784">
        <v>4840</v>
      </c>
      <c r="I21" s="784">
        <v>5518</v>
      </c>
      <c r="J21" s="784">
        <v>9310</v>
      </c>
      <c r="K21" s="784">
        <v>25300</v>
      </c>
      <c r="L21" s="4" t="s">
        <v>205</v>
      </c>
    </row>
    <row r="22" spans="2:14" s="50" customFormat="1" ht="21.15" customHeight="1">
      <c r="B22" s="789"/>
      <c r="C22" s="71" t="s">
        <v>207</v>
      </c>
      <c r="D22" s="107" t="s">
        <v>208</v>
      </c>
      <c r="E22" s="788"/>
      <c r="F22" s="788"/>
      <c r="G22" s="788"/>
      <c r="H22" s="788"/>
      <c r="I22" s="788"/>
      <c r="J22" s="785"/>
      <c r="K22" s="785"/>
      <c r="L22" s="4"/>
      <c r="M22"/>
      <c r="N22"/>
    </row>
    <row r="23" spans="2:14" s="50" customFormat="1" ht="21.15" customHeight="1">
      <c r="B23" s="786" t="s">
        <v>24</v>
      </c>
      <c r="C23" s="73" t="s">
        <v>206</v>
      </c>
      <c r="D23" s="108" t="s">
        <v>209</v>
      </c>
      <c r="E23" s="784">
        <v>710628</v>
      </c>
      <c r="F23" s="784">
        <v>54812</v>
      </c>
      <c r="G23" s="784">
        <v>319061</v>
      </c>
      <c r="H23" s="784">
        <v>1980</v>
      </c>
      <c r="I23" s="784">
        <v>1500</v>
      </c>
      <c r="J23" s="784">
        <v>20760</v>
      </c>
      <c r="K23" s="784">
        <v>25800</v>
      </c>
      <c r="L23" s="4"/>
      <c r="M23"/>
      <c r="N23"/>
    </row>
    <row r="24" spans="2:14" s="50" customFormat="1" ht="21.15" customHeight="1">
      <c r="B24" s="787"/>
      <c r="C24" s="73" t="s">
        <v>207</v>
      </c>
      <c r="D24" s="108" t="s">
        <v>210</v>
      </c>
      <c r="E24" s="785"/>
      <c r="F24" s="785"/>
      <c r="G24" s="785"/>
      <c r="H24" s="785"/>
      <c r="I24" s="785"/>
      <c r="J24" s="785"/>
      <c r="K24" s="785"/>
      <c r="L24" s="4"/>
      <c r="M24"/>
      <c r="N24"/>
    </row>
    <row r="25" spans="2:14" s="50" customFormat="1" ht="21.15" customHeight="1">
      <c r="B25" s="786">
        <v>2023</v>
      </c>
      <c r="C25" s="73" t="s">
        <v>206</v>
      </c>
      <c r="D25" s="108">
        <v>22830</v>
      </c>
      <c r="E25" s="784">
        <v>689713</v>
      </c>
      <c r="F25" s="784">
        <v>66000</v>
      </c>
      <c r="G25" s="784">
        <v>289000</v>
      </c>
      <c r="H25" s="784">
        <v>200</v>
      </c>
      <c r="I25" s="784">
        <v>1293</v>
      </c>
      <c r="J25" s="784">
        <v>9460</v>
      </c>
      <c r="K25" s="784">
        <v>4525</v>
      </c>
      <c r="L25" s="4"/>
      <c r="M25"/>
      <c r="N25"/>
    </row>
    <row r="26" spans="2:14" s="50" customFormat="1" ht="21.15" customHeight="1">
      <c r="B26" s="787"/>
      <c r="C26" s="73" t="s">
        <v>207</v>
      </c>
      <c r="D26" s="108">
        <v>25900</v>
      </c>
      <c r="E26" s="785"/>
      <c r="F26" s="785"/>
      <c r="G26" s="785"/>
      <c r="H26" s="785"/>
      <c r="I26" s="785"/>
      <c r="J26" s="785"/>
      <c r="K26" s="785"/>
      <c r="L26" s="4"/>
      <c r="M26"/>
      <c r="N26"/>
    </row>
    <row r="27" spans="2:12" ht="93.6" customHeight="1">
      <c r="B27" s="692" t="s">
        <v>4</v>
      </c>
      <c r="H27" s="498"/>
      <c r="J27" s="498" t="s">
        <v>456</v>
      </c>
      <c r="L27" s="4"/>
    </row>
    <row r="28" spans="2:10" ht="24.9" customHeight="1">
      <c r="B28" s="752" t="s">
        <v>469</v>
      </c>
      <c r="C28" s="752"/>
      <c r="D28" s="752"/>
      <c r="E28" s="752"/>
      <c r="F28" s="752"/>
      <c r="G28" s="752"/>
      <c r="H28" s="752"/>
      <c r="I28" s="752"/>
      <c r="J28" s="752"/>
    </row>
    <row r="29" spans="2:12" ht="55.2" customHeight="1">
      <c r="B29" s="68"/>
      <c r="C29" s="68" t="s">
        <v>299</v>
      </c>
      <c r="D29" s="68" t="s">
        <v>301</v>
      </c>
      <c r="E29" s="68" t="s">
        <v>302</v>
      </c>
      <c r="F29" s="68" t="s">
        <v>58</v>
      </c>
      <c r="G29" s="68" t="s">
        <v>374</v>
      </c>
      <c r="H29" s="68"/>
      <c r="I29" s="68"/>
      <c r="J29" s="68"/>
      <c r="K29" s="68"/>
      <c r="L29" s="69" t="s">
        <v>5</v>
      </c>
    </row>
    <row r="30" spans="2:14" s="50" customFormat="1" ht="21.15" customHeight="1">
      <c r="B30" s="109">
        <v>2021</v>
      </c>
      <c r="C30" s="71">
        <v>13480</v>
      </c>
      <c r="D30" s="71">
        <v>3990</v>
      </c>
      <c r="E30" s="71">
        <v>9756</v>
      </c>
      <c r="F30" s="71">
        <v>24795</v>
      </c>
      <c r="G30" s="71">
        <v>40160</v>
      </c>
      <c r="H30" s="71"/>
      <c r="I30" s="71"/>
      <c r="J30" s="71"/>
      <c r="K30" s="71"/>
      <c r="L30" s="4" t="s">
        <v>356</v>
      </c>
      <c r="M30"/>
      <c r="N30"/>
    </row>
    <row r="31" spans="2:14" s="50" customFormat="1" ht="21.15" customHeight="1">
      <c r="B31" s="110">
        <v>2022</v>
      </c>
      <c r="C31" s="73">
        <v>12660</v>
      </c>
      <c r="D31" s="73">
        <v>6610</v>
      </c>
      <c r="E31" s="73">
        <v>13371</v>
      </c>
      <c r="F31" s="73">
        <v>24265</v>
      </c>
      <c r="G31" s="73">
        <v>43600</v>
      </c>
      <c r="H31" s="73"/>
      <c r="I31" s="73"/>
      <c r="J31" s="73"/>
      <c r="K31" s="73"/>
      <c r="L31" s="4"/>
      <c r="M31"/>
      <c r="N31"/>
    </row>
    <row r="32" spans="2:14" s="50" customFormat="1" ht="21.15" customHeight="1">
      <c r="B32" s="110">
        <v>2023</v>
      </c>
      <c r="C32" s="71">
        <v>35567</v>
      </c>
      <c r="D32" s="71">
        <f>6060+2760</f>
        <v>8820</v>
      </c>
      <c r="E32" s="71">
        <f>9837</f>
        <v>9837</v>
      </c>
      <c r="F32" s="71">
        <f>11200</f>
        <v>11200</v>
      </c>
      <c r="G32" s="71">
        <v>35440</v>
      </c>
      <c r="H32" s="73"/>
      <c r="I32" s="73"/>
      <c r="J32" s="73"/>
      <c r="K32" s="73"/>
      <c r="L32" s="4"/>
      <c r="M32"/>
      <c r="N32"/>
    </row>
    <row r="36" spans="6:11" ht="14.4">
      <c r="F36"/>
      <c r="G36"/>
      <c r="H36"/>
      <c r="I36"/>
      <c r="J36"/>
      <c r="K36"/>
    </row>
    <row r="37" spans="6:11" ht="14.4">
      <c r="F37"/>
      <c r="G37"/>
      <c r="H37"/>
      <c r="I37"/>
      <c r="J37"/>
      <c r="K37"/>
    </row>
    <row r="38" spans="6:11" ht="14.4">
      <c r="F38"/>
      <c r="G38"/>
      <c r="H38"/>
      <c r="I38"/>
      <c r="J38"/>
      <c r="K38"/>
    </row>
    <row r="39" spans="6:11" ht="14.4">
      <c r="F39"/>
      <c r="G39"/>
      <c r="H39"/>
      <c r="I39"/>
      <c r="J39"/>
      <c r="K39"/>
    </row>
    <row r="40" spans="6:11" ht="14.4">
      <c r="F40"/>
      <c r="G40"/>
      <c r="H40"/>
      <c r="I40"/>
      <c r="J40"/>
      <c r="K40"/>
    </row>
    <row r="41" spans="2:11" ht="14.4">
      <c r="B41"/>
      <c r="C41"/>
      <c r="D41"/>
      <c r="E41"/>
      <c r="F41"/>
      <c r="G41"/>
      <c r="H41"/>
      <c r="I41"/>
      <c r="J41"/>
      <c r="K41"/>
    </row>
    <row r="42" spans="2:11" ht="14.4">
      <c r="B42"/>
      <c r="C42"/>
      <c r="D42"/>
      <c r="E42"/>
      <c r="F42"/>
      <c r="G42"/>
      <c r="H42"/>
      <c r="I42"/>
      <c r="J42"/>
      <c r="K42"/>
    </row>
    <row r="43" spans="2:11" ht="14.4">
      <c r="B43"/>
      <c r="C43"/>
      <c r="D43"/>
      <c r="E43"/>
      <c r="F43"/>
      <c r="G43"/>
      <c r="H43"/>
      <c r="I43"/>
      <c r="J43"/>
      <c r="K43"/>
    </row>
    <row r="44" spans="2:11" ht="14.4">
      <c r="B44"/>
      <c r="C44"/>
      <c r="D44"/>
      <c r="E44"/>
      <c r="F44"/>
      <c r="G44"/>
      <c r="H44"/>
      <c r="I44"/>
      <c r="J44"/>
      <c r="K44"/>
    </row>
    <row r="45" spans="2:11" ht="14.4">
      <c r="B45"/>
      <c r="C45"/>
      <c r="D45"/>
      <c r="E45"/>
      <c r="F45"/>
      <c r="G45"/>
      <c r="H45"/>
      <c r="I45"/>
      <c r="J45"/>
      <c r="K45"/>
    </row>
  </sheetData>
  <mergeCells count="33">
    <mergeCell ref="B7:J7"/>
    <mergeCell ref="B13:J13"/>
    <mergeCell ref="B19:J19"/>
    <mergeCell ref="J21:J22"/>
    <mergeCell ref="J23:J24"/>
    <mergeCell ref="I23:I24"/>
    <mergeCell ref="H23:H24"/>
    <mergeCell ref="G23:G24"/>
    <mergeCell ref="E21:E22"/>
    <mergeCell ref="F21:F22"/>
    <mergeCell ref="G21:G22"/>
    <mergeCell ref="H21:H22"/>
    <mergeCell ref="I21:I22"/>
    <mergeCell ref="E23:E24"/>
    <mergeCell ref="B21:B22"/>
    <mergeCell ref="B23:B24"/>
    <mergeCell ref="L30:L32"/>
    <mergeCell ref="B25:B26"/>
    <mergeCell ref="E25:E26"/>
    <mergeCell ref="F25:F26"/>
    <mergeCell ref="G25:G26"/>
    <mergeCell ref="H25:H26"/>
    <mergeCell ref="B28:J28"/>
    <mergeCell ref="K25:K26"/>
    <mergeCell ref="L21:L27"/>
    <mergeCell ref="F23:F24"/>
    <mergeCell ref="I25:I26"/>
    <mergeCell ref="J25:J26"/>
    <mergeCell ref="C20:D20"/>
    <mergeCell ref="L9:L12"/>
    <mergeCell ref="L15:L18"/>
    <mergeCell ref="K21:K22"/>
    <mergeCell ref="K23:K24"/>
  </mergeCells>
  <pageMargins left="0.7" right="0.7" top="0.75" bottom="0.75" header="0.3" footer="0.3"/>
  <pageSetup orientation="portrait" paperSize="9" r:id="rId2"/>
  <headerFooter scaleWithDoc="0"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פתיח</vt:lpstr>
      <vt:lpstr>בית</vt:lpstr>
      <vt:lpstr>יעדי קבוצת בזק</vt:lpstr>
      <vt:lpstr>סביבה&gt;&gt;&gt;</vt:lpstr>
      <vt:lpstr>פליטות גזי חממה</vt:lpstr>
      <vt:lpstr>עצימות</vt:lpstr>
      <vt:lpstr>צריכת אנרגיה</vt:lpstr>
      <vt:lpstr>מים</vt:lpstr>
      <vt:lpstr>פסולת</vt:lpstr>
      <vt:lpstr>חברה&gt;&gt;&gt; </vt:lpstr>
      <vt:lpstr>כוח אדם</vt:lpstr>
      <vt:lpstr>אופי העסקה</vt:lpstr>
      <vt:lpstr>ותק עובדים</vt:lpstr>
      <vt:lpstr>תחלופת עובדים</vt:lpstr>
      <vt:lpstr>גיוון והכללה</vt:lpstr>
      <vt:lpstr>הדרכות, משוב והערכה</vt:lpstr>
      <vt:lpstr>בטיחות וגהות</vt:lpstr>
      <vt:lpstr>ממשל תאגידי&gt;&gt;&gt;</vt:lpstr>
      <vt:lpstr>מבנה אחזקות</vt:lpstr>
      <vt:lpstr>חברי הדירקטוריון</vt:lpstr>
      <vt:lpstr>מענק שנתי לנושאי משרה</vt:lpstr>
      <vt:lpstr>פניות למבקר החברה</vt:lpstr>
      <vt:lpstr>ביצועים כספיים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2015-06-05T18:19:34Z</dcterms:created>
  <dcterms:modified xsi:type="dcterms:W3CDTF">2024-09-15T09:47:03Z</dcterms:modified>
  <cp:category/>
</cp:coreProperties>
</file>