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darom\hanhala\ksafim\אגף מימון ושוק ההון\קשרי משקיעים\קבצים רגישים - רבעון נוכחי\Metrics\METRICS without formulas\"/>
    </mc:Choice>
  </mc:AlternateContent>
  <xr:revisionPtr revIDLastSave="0" documentId="13_ncr:1_{20666ACB-D2A2-450E-8432-D0BF88B2CAF0}" xr6:coauthVersionLast="47" xr6:coauthVersionMax="47" xr10:uidLastSave="{00000000-0000-0000-0000-000000000000}"/>
  <bookViews>
    <workbookView xWindow="-28920" yWindow="-1875" windowWidth="29040" windowHeight="15720" xr2:uid="{00000000-000D-0000-FFFF-FFFF00000000}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B. Intl" sheetId="13" r:id="rId10"/>
    <sheet name="yes" sheetId="14" r:id="rId11"/>
    <sheet name="Subs-Adj #s" sheetId="15" r:id="rId12"/>
    <sheet name="KPIs" sheetId="3" r:id="rId13"/>
    <sheet name="Group Guidance" sheetId="22" r:id="rId14"/>
    <sheet name="Debt Repayments" sheetId="8" r:id="rId15"/>
    <sheet name="Debt Terms" sheetId="9" r:id="rId16"/>
    <sheet name="Shareholder Remuneration" sheetId="6" r:id="rId17"/>
    <sheet name="Glossary " sheetId="4" r:id="rId18"/>
  </sheets>
  <definedNames>
    <definedName name="_ftn1" localSheetId="12">KPIs!$AQ$119</definedName>
    <definedName name="_ftn2" localSheetId="12">KPIs!#REF!</definedName>
    <definedName name="_ftnref1" localSheetId="12">KPIs!#REF!</definedName>
    <definedName name="_ftnref2" localSheetId="12">KPIs!#REF!</definedName>
    <definedName name="_Hlk182751718" localSheetId="3">'Group BS'!$B$14</definedName>
    <definedName name="ProjectName">{"Client Name or Project Name"}</definedName>
    <definedName name="_xlnm.Print_Area" localSheetId="6">' Segments'!$A$1:$IH$26</definedName>
    <definedName name="_xlnm.Print_Area" localSheetId="9">'B. Intl'!$A$1:$AW$75</definedName>
    <definedName name="_xlnm.Print_Area" localSheetId="14">'Debt Repayments'!$B$2:$F$58</definedName>
    <definedName name="_xlnm.Print_Area" localSheetId="15">'Debt Terms'!$B$1:$H$20</definedName>
    <definedName name="_xlnm.Print_Area" localSheetId="7">'Fixed-Line'!$B$1:$AX$138</definedName>
    <definedName name="_xlnm.Print_Area" localSheetId="17">'Glossary '!$B$1:$M$20</definedName>
    <definedName name="_xlnm.Print_Area" localSheetId="3">'Group BS'!$B$2:$AE$51</definedName>
    <definedName name="_xlnm.Print_Area" localSheetId="2">'Group CF'!$B$1:$AO$54</definedName>
    <definedName name="_xlnm.Print_Area" localSheetId="13">'Group Guidance'!$A$1:$K$32</definedName>
    <definedName name="_xlnm.Print_Area" localSheetId="1">'Group P&amp;L'!$A$1:$AO$90</definedName>
    <definedName name="_xlnm.Print_Area" localSheetId="4">'Group-Adj #s'!$A$1:$AS$62</definedName>
    <definedName name="_xlnm.Print_Area" localSheetId="5">'Group-Other'!$A$4:$BL$80</definedName>
    <definedName name="_xlnm.Print_Area" localSheetId="0">Index!$A$1:$O$39</definedName>
    <definedName name="_xlnm.Print_Area" localSheetId="12">KPIs!$A$1:$CO$178</definedName>
    <definedName name="_xlnm.Print_Area" localSheetId="8">Pelephone!$A$1:$AX$81</definedName>
    <definedName name="_xlnm.Print_Area" localSheetId="16">'Shareholder Remuneration'!$B$9:$E$51</definedName>
    <definedName name="_xlnm.Print_Area" localSheetId="11">'Subs-Adj #s'!$A$1:$AT$68</definedName>
    <definedName name="_xlnm.Print_Area" localSheetId="10">yes!$A$1:$AX$105</definedName>
    <definedName name="_xlnm.Print_Titles" localSheetId="9">'B. Intl'!$1:$4</definedName>
    <definedName name="_xlnm.Print_Titles" localSheetId="14">'Debt Repayments'!$2:$7</definedName>
    <definedName name="_xlnm.Print_Titles" localSheetId="7">'Fixed-Line'!$2:$5</definedName>
    <definedName name="_xlnm.Print_Titles" localSheetId="1">'Group P&amp;L'!$1:$5</definedName>
    <definedName name="_xlnm.Print_Titles" localSheetId="5">'Group-Other'!$5:$7</definedName>
    <definedName name="_xlnm.Print_Titles" localSheetId="12">KPIs!$1:$5</definedName>
    <definedName name="_xlnm.Print_Titles" localSheetId="8">Pelephone!$2:$4</definedName>
    <definedName name="_xlnm.Print_Titles" localSheetId="16">'Shareholder Remuneration'!$1:$8</definedName>
    <definedName name="_xlnm.Print_Titles" localSheetId="11">'Subs-Adj #s'!$1:$6</definedName>
    <definedName name="_xlnm.Print_Titles" localSheetId="10">yes!$1:$5</definedName>
    <definedName name="Z_44BC518B_F505_4956_BE42_792973965029_.wvu.PrintArea" localSheetId="17" hidden="1">'Glossary '!$B$1:$M$21</definedName>
    <definedName name="Z_44BC518B_F505_4956_BE42_792973965029_.wvu.PrintArea" localSheetId="1" hidden="1">'Group P&amp;L'!$B$1:$B$90</definedName>
    <definedName name="Z_44BC518B_F505_4956_BE42_792973965029_.wvu.PrintArea" localSheetId="0" hidden="1">Index!$A$1:$F$32</definedName>
    <definedName name="Z_44BC518B_F505_4956_BE42_792973965029_.wvu.PrintArea" localSheetId="12" hidden="1">KPIs!$B$1:$S$174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KPIs!$C:$G,KPIs!$I:$L,KPIs!$N:$Q</definedName>
    <definedName name="Z_67DDFA58_7FF7_4BDB_BFFF_31DB4021D095_.wvu.PrintArea" localSheetId="17" hidden="1">'Glossary '!$B$1:$M$21</definedName>
    <definedName name="Z_67DDFA58_7FF7_4BDB_BFFF_31DB4021D095_.wvu.PrintArea" localSheetId="1" hidden="1">'Group P&amp;L'!$B$1:$B$90</definedName>
    <definedName name="Z_67DDFA58_7FF7_4BDB_BFFF_31DB4021D095_.wvu.PrintArea" localSheetId="0" hidden="1">Index!$A$1:$F$32</definedName>
    <definedName name="Z_67DDFA58_7FF7_4BDB_BFFF_31DB4021D095_.wvu.PrintArea" localSheetId="12" hidden="1">KPIs!$B$1:$AE$174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7DDFA58_7FF7_4BDB_BFFF_31DB4021D095_.wvu.PrintTitles" localSheetId="16" hidden="1">'Shareholder Remuneration'!$1:$8</definedName>
    <definedName name="Z_6A44E415_E6EC_4CA2_8B4C_A374F00F0261_.wvu.PrintArea" localSheetId="17" hidden="1">'Glossary '!$B$1:$M$20</definedName>
    <definedName name="Z_6A44E415_E6EC_4CA2_8B4C_A374F00F0261_.wvu.PrintArea" localSheetId="1" hidden="1">'Group P&amp;L'!$B$1:$B$90</definedName>
    <definedName name="Z_6A44E415_E6EC_4CA2_8B4C_A374F00F0261_.wvu.PrintArea" localSheetId="0" hidden="1">Index!$A$1:$F$32</definedName>
    <definedName name="Z_6A44E415_E6EC_4CA2_8B4C_A374F00F0261_.wvu.PrintArea" localSheetId="12" hidden="1">KPIs!$B$1:$J$174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KPIs!$C:$G,KPIs!$I:$L,KPIs!$N:$Q</definedName>
    <definedName name="Z_7DC6D345_C4C0_4162_8636_D495A245EBF8_.wvu.PrintArea" localSheetId="17" hidden="1">'Glossary '!$B$1:$M$21</definedName>
    <definedName name="Z_7DC6D345_C4C0_4162_8636_D495A245EBF8_.wvu.PrintArea" localSheetId="1" hidden="1">'Group P&amp;L'!$B$1:$B$90</definedName>
    <definedName name="Z_7DC6D345_C4C0_4162_8636_D495A245EBF8_.wvu.PrintArea" localSheetId="0" hidden="1">Index!$A$1:$F$32</definedName>
    <definedName name="Z_7DC6D345_C4C0_4162_8636_D495A245EBF8_.wvu.PrintArea" localSheetId="12" hidden="1">KPIs!$B$1:$AE$174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'!$B$1:$M$21</definedName>
    <definedName name="Z_C32ED439_2914_4073_BFBF_7718D6CFE811_.wvu.PrintArea" localSheetId="1" hidden="1">'Group P&amp;L'!$B$1:$B$90</definedName>
    <definedName name="Z_C32ED439_2914_4073_BFBF_7718D6CFE811_.wvu.PrintArea" localSheetId="0" hidden="1">Index!$A$1:$F$32</definedName>
    <definedName name="Z_C32ED439_2914_4073_BFBF_7718D6CFE811_.wvu.PrintArea" localSheetId="12" hidden="1">KPIs!$B$1:$S$174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'!$B$1:$M$20</definedName>
    <definedName name="Z_C6BBAF30_1E81_42FB_BA93_01B6813E2C8C_.wvu.PrintArea" localSheetId="1" hidden="1">'Group P&amp;L'!$B$1:$B$90</definedName>
    <definedName name="Z_C6BBAF30_1E81_42FB_BA93_01B6813E2C8C_.wvu.PrintArea" localSheetId="0" hidden="1">Index!$A$1:$F$32</definedName>
    <definedName name="Z_C6BBAF30_1E81_42FB_BA93_01B6813E2C8C_.wvu.PrintArea" localSheetId="12" hidden="1">KPIs!$B$1:$P$174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'!$B$1:$M$20</definedName>
    <definedName name="Z_F07085DA_2B2D_4BE1_891D_F25D604A092E_.wvu.PrintArea" localSheetId="1" hidden="1">'Group P&amp;L'!$B$1:$B$90</definedName>
    <definedName name="Z_F07085DA_2B2D_4BE1_891D_F25D604A092E_.wvu.PrintArea" localSheetId="0" hidden="1">Index!$A$1:$F$32</definedName>
    <definedName name="Z_F07085DA_2B2D_4BE1_891D_F25D604A092E_.wvu.PrintArea" localSheetId="12" hidden="1">KPIs!$B$1:$N$174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91029"/>
  <customWorkbookViews>
    <customWorkbookView name="eknettel - Personal View" guid="{67DDFA58-7FF7-4BDB-BFFF-31DB4021D095}" mergeInterval="0" personalView="1" maximized="1" xWindow="1" yWindow="1" windowWidth="1362" windowHeight="538" tabRatio="675" activeSheetId="6"/>
    <customWorkbookView name="נפתלי שטרנליכט - חטיבת כספים - Naftali Shternlicht - תצוגה אישית" guid="{7DC6D345-C4C0-4162-8636-D495A245EBF8}" mergeInterval="0" personalView="1" maximized="1" xWindow="240" yWindow="120" windowWidth="1280" windowHeight="743" tabRatio="675" activeSheetId="2"/>
    <customWorkbookView name="30210485 - תצוגה אישית" guid="{44BC518B-F505-4956-BE42-792973965029}" mergeInterval="0" personalView="1" maximized="1" xWindow="1" yWindow="1" windowWidth="1024" windowHeight="548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703826 - תצוגה אישית" guid="{6A44E415-E6EC-4CA2-8B4C-A374F00F0261}" mergeInterval="0" personalView="1" maximized="1" xWindow="240" yWindow="120" windowWidth="1276" windowHeight="661" activeSheetId="2"/>
    <customWorkbookView name="Administrator - תצוגה אישית" guid="{F07085DA-2B2D-4BE1-891D-F25D604A092E}" mergeInterval="0" personalView="1" maximized="1" xWindow="240" yWindow="120" windowWidth="796" windowHeight="371" activeSheetId="2"/>
    <customWorkbookView name="Administrator - Personal View" guid="{C6BBAF30-1E81-42FB-BA93-01B6813E2C8C}" mergeInterval="0" personalView="1" maximized="1" xWindow="240" yWindow="120" windowWidth="1020" windowHeight="569" tabRatio="59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40" i="7" l="1"/>
  <c r="CN175" i="3"/>
  <c r="CI175" i="3"/>
  <c r="CN130" i="3"/>
  <c r="CI130" i="3"/>
  <c r="CI120" i="3"/>
  <c r="CN120" i="3"/>
  <c r="CN81" i="3"/>
  <c r="CI81" i="3"/>
  <c r="CO176" i="3" l="1"/>
  <c r="CO131" i="3"/>
  <c r="CO121" i="3"/>
  <c r="CO82" i="3"/>
  <c r="BL49" i="7" l="1"/>
  <c r="BL60" i="7" s="1"/>
  <c r="BL42" i="7"/>
  <c r="CO111" i="3"/>
  <c r="CN111" i="3"/>
  <c r="CM111" i="3"/>
  <c r="CN110" i="3"/>
  <c r="CM110" i="3"/>
  <c r="CL110" i="3"/>
  <c r="CK110" i="3"/>
  <c r="CI110" i="3"/>
  <c r="AD23" i="20"/>
  <c r="AC23" i="20"/>
  <c r="AB23" i="20"/>
  <c r="AA23" i="20"/>
  <c r="Z23" i="20"/>
  <c r="Y23" i="20"/>
  <c r="X23" i="20"/>
  <c r="W23" i="20"/>
  <c r="BG60" i="7"/>
  <c r="BK36" i="7"/>
  <c r="CO174" i="3"/>
  <c r="CN56" i="3"/>
  <c r="CN173" i="3"/>
  <c r="CN171" i="3"/>
  <c r="CO169" i="3"/>
  <c r="CN169" i="3"/>
  <c r="CN168" i="3"/>
  <c r="CO166" i="3"/>
  <c r="CN166" i="3"/>
  <c r="CN165" i="3"/>
  <c r="CO163" i="3"/>
  <c r="CO162" i="3"/>
  <c r="CN160" i="3"/>
  <c r="CO159" i="3"/>
  <c r="CO158" i="3"/>
  <c r="CO157" i="3"/>
  <c r="CN155" i="3"/>
  <c r="CO153" i="3"/>
  <c r="CO152" i="3"/>
  <c r="CN150" i="3"/>
  <c r="CN151" i="3" s="1"/>
  <c r="CO143" i="3"/>
  <c r="CO142" i="3"/>
  <c r="CN140" i="3"/>
  <c r="CO129" i="3"/>
  <c r="CN128" i="3"/>
  <c r="CO119" i="3"/>
  <c r="CN118" i="3"/>
  <c r="CN116" i="3"/>
  <c r="CO115" i="3"/>
  <c r="CN115" i="3"/>
  <c r="CN114" i="3"/>
  <c r="CO108" i="3"/>
  <c r="CO107" i="3"/>
  <c r="CO106" i="3"/>
  <c r="CN104" i="3"/>
  <c r="CO103" i="3"/>
  <c r="CO102" i="3"/>
  <c r="CN100" i="3"/>
  <c r="CN103" i="3" s="1"/>
  <c r="CO99" i="3"/>
  <c r="CO98" i="3"/>
  <c r="CN96" i="3"/>
  <c r="CO91" i="3"/>
  <c r="CO80" i="3"/>
  <c r="CN79" i="3"/>
  <c r="CO75" i="3"/>
  <c r="CN75" i="3"/>
  <c r="CN74" i="3"/>
  <c r="CO72" i="3"/>
  <c r="CO71" i="3"/>
  <c r="CN69" i="3"/>
  <c r="CN70" i="3" s="1"/>
  <c r="CO63" i="3"/>
  <c r="CN62" i="3"/>
  <c r="CN63" i="3" s="1"/>
  <c r="CO60" i="3"/>
  <c r="CN59" i="3"/>
  <c r="CN60" i="3" s="1"/>
  <c r="CO58" i="3"/>
  <c r="CN57" i="3"/>
  <c r="CO55" i="3"/>
  <c r="CN55" i="3"/>
  <c r="CN54" i="3"/>
  <c r="CO52" i="3"/>
  <c r="CO51" i="3"/>
  <c r="CN49" i="3"/>
  <c r="CO47" i="3"/>
  <c r="CO46" i="3"/>
  <c r="CN44" i="3"/>
  <c r="CO43" i="3"/>
  <c r="CO42" i="3"/>
  <c r="CN40" i="3"/>
  <c r="CO36" i="3"/>
  <c r="CO34" i="3"/>
  <c r="CO33" i="3"/>
  <c r="CN31" i="3"/>
  <c r="CO30" i="3"/>
  <c r="CO29" i="3"/>
  <c r="CN27" i="3"/>
  <c r="CO20" i="3"/>
  <c r="CO14" i="3"/>
  <c r="CO18" i="3" s="1"/>
  <c r="CO5" i="3"/>
  <c r="CN5" i="3"/>
  <c r="AT5" i="15"/>
  <c r="AS5" i="15"/>
  <c r="AX5" i="14"/>
  <c r="AW5" i="14"/>
  <c r="AW5" i="13"/>
  <c r="AV5" i="13"/>
  <c r="AX5" i="12"/>
  <c r="AW5" i="12"/>
  <c r="AX5" i="11"/>
  <c r="AW5" i="11"/>
  <c r="BL79" i="7"/>
  <c r="BL70" i="7"/>
  <c r="BK70" i="7"/>
  <c r="BK58" i="7"/>
  <c r="BK57" i="7"/>
  <c r="BK56" i="7"/>
  <c r="BK55" i="7"/>
  <c r="BK52" i="7"/>
  <c r="BK50" i="7"/>
  <c r="BK49" i="7"/>
  <c r="BK48" i="7"/>
  <c r="BK46" i="7"/>
  <c r="BK34" i="7"/>
  <c r="BK32" i="7"/>
  <c r="BK28" i="7"/>
  <c r="BK26" i="7"/>
  <c r="BK24" i="7"/>
  <c r="BK22" i="7"/>
  <c r="BK20" i="7"/>
  <c r="BK18" i="7"/>
  <c r="BK16" i="7"/>
  <c r="BL8" i="7"/>
  <c r="BK8" i="7"/>
  <c r="AS5" i="19"/>
  <c r="AR5" i="19"/>
  <c r="AE48" i="20"/>
  <c r="AE47" i="20"/>
  <c r="AE44" i="20"/>
  <c r="AE36" i="20"/>
  <c r="AE25" i="20"/>
  <c r="AE15" i="20"/>
  <c r="AE6" i="20"/>
  <c r="AO5" i="21"/>
  <c r="AN5" i="21"/>
  <c r="AO5" i="2"/>
  <c r="AN5" i="2"/>
  <c r="BK40" i="7" l="1"/>
  <c r="CN72" i="3"/>
  <c r="CN156" i="3"/>
  <c r="CN158" i="3"/>
  <c r="CN50" i="3"/>
  <c r="AE49" i="20"/>
  <c r="CN153" i="3"/>
  <c r="CN41" i="3"/>
  <c r="CN43" i="3"/>
  <c r="CN52" i="3"/>
  <c r="CN145" i="3"/>
  <c r="CN148" i="3" s="1"/>
  <c r="CN159" i="3"/>
  <c r="CN105" i="3"/>
  <c r="CN107" i="3"/>
  <c r="CN101" i="3"/>
  <c r="CN99" i="3"/>
  <c r="CN97" i="3"/>
  <c r="CN36" i="3"/>
  <c r="CN20" i="3"/>
  <c r="CN24" i="3" s="1"/>
  <c r="CO24" i="3"/>
  <c r="CN28" i="3"/>
  <c r="CN91" i="3"/>
  <c r="CN163" i="3"/>
  <c r="CO9" i="3"/>
  <c r="CN14" i="3"/>
  <c r="CN108" i="3"/>
  <c r="CN30" i="3"/>
  <c r="CN161" i="3"/>
  <c r="AE26" i="20"/>
  <c r="AE45" i="20" s="1"/>
  <c r="CN146" i="3" l="1"/>
  <c r="CN9" i="3"/>
  <c r="CN18" i="3"/>
  <c r="HY19" i="23" l="1"/>
  <c r="HZ23" i="23"/>
  <c r="HZ19" i="23"/>
  <c r="BJ60" i="7"/>
  <c r="CM44" i="3"/>
  <c r="CN47" i="3" l="1"/>
  <c r="CN45" i="3"/>
  <c r="AE50" i="20"/>
  <c r="CM31" i="3"/>
  <c r="CM33" i="3" s="1"/>
  <c r="CM70" i="3"/>
  <c r="CM169" i="3"/>
  <c r="CM168" i="3"/>
  <c r="CM166" i="3"/>
  <c r="CM165" i="3"/>
  <c r="CM163" i="3"/>
  <c r="CM162" i="3"/>
  <c r="CM161" i="3"/>
  <c r="CM158" i="3"/>
  <c r="CM157" i="3"/>
  <c r="CM156" i="3"/>
  <c r="CM153" i="3"/>
  <c r="CM152" i="3"/>
  <c r="CM151" i="3"/>
  <c r="CM148" i="3"/>
  <c r="CM146" i="3"/>
  <c r="CM140" i="3"/>
  <c r="CM115" i="3"/>
  <c r="CM114" i="3"/>
  <c r="CM108" i="3"/>
  <c r="CM107" i="3"/>
  <c r="CM106" i="3"/>
  <c r="CM105" i="3"/>
  <c r="CM103" i="3"/>
  <c r="CM102" i="3"/>
  <c r="CM101" i="3"/>
  <c r="CM99" i="3"/>
  <c r="CM98" i="3"/>
  <c r="CM97" i="3"/>
  <c r="CM91" i="3"/>
  <c r="CM75" i="3"/>
  <c r="CM74" i="3"/>
  <c r="CM72" i="3"/>
  <c r="CM71" i="3"/>
  <c r="CM63" i="3"/>
  <c r="CM60" i="3"/>
  <c r="CM58" i="3"/>
  <c r="CM57" i="3"/>
  <c r="CM55" i="3"/>
  <c r="CM54" i="3"/>
  <c r="CM52" i="3"/>
  <c r="CM51" i="3"/>
  <c r="CM50" i="3"/>
  <c r="CM47" i="3"/>
  <c r="CM46" i="3"/>
  <c r="CM45" i="3"/>
  <c r="CM43" i="3"/>
  <c r="CM42" i="3"/>
  <c r="CM41" i="3"/>
  <c r="CM36" i="3"/>
  <c r="CM30" i="3"/>
  <c r="CM29" i="3"/>
  <c r="CM28" i="3"/>
  <c r="CM14" i="3"/>
  <c r="CM5" i="3"/>
  <c r="AR5" i="15"/>
  <c r="AQ5" i="15"/>
  <c r="AV5" i="14"/>
  <c r="AU5" i="14"/>
  <c r="AU5" i="13"/>
  <c r="AT5" i="13"/>
  <c r="AV5" i="12"/>
  <c r="AU5" i="12"/>
  <c r="AV5" i="11"/>
  <c r="AU5" i="11"/>
  <c r="HY25" i="23"/>
  <c r="HZ25" i="23" s="1"/>
  <c r="HZ21" i="23"/>
  <c r="HX19" i="23"/>
  <c r="HX25" i="23" s="1"/>
  <c r="HW19" i="23"/>
  <c r="HW25" i="23" s="1"/>
  <c r="HV19" i="23"/>
  <c r="HV25" i="23" s="1"/>
  <c r="HU19" i="23"/>
  <c r="HT19" i="23"/>
  <c r="HT25" i="23" s="1"/>
  <c r="HZ17" i="23"/>
  <c r="HZ15" i="23"/>
  <c r="HZ13" i="23"/>
  <c r="HZ12" i="23"/>
  <c r="HZ11" i="23"/>
  <c r="HY9" i="23"/>
  <c r="HX9" i="23"/>
  <c r="HU9" i="23"/>
  <c r="HT9" i="23"/>
  <c r="HZ8" i="23"/>
  <c r="HZ7" i="23"/>
  <c r="BJ70" i="7"/>
  <c r="BJ8" i="7"/>
  <c r="AQ5" i="19"/>
  <c r="AP5" i="19"/>
  <c r="AD48" i="20"/>
  <c r="AD47" i="20"/>
  <c r="AD44" i="20"/>
  <c r="AD36" i="20"/>
  <c r="AD25" i="20"/>
  <c r="AD15" i="20"/>
  <c r="AD6" i="20"/>
  <c r="AM5" i="21"/>
  <c r="AL5" i="21"/>
  <c r="AM5" i="2"/>
  <c r="AL5" i="2"/>
  <c r="BH60" i="7"/>
  <c r="CM32" i="3" l="1"/>
  <c r="CN39" i="3"/>
  <c r="CN37" i="3"/>
  <c r="CN94" i="3"/>
  <c r="CN92" i="3"/>
  <c r="CM18" i="3"/>
  <c r="CN15" i="3"/>
  <c r="CN17" i="3"/>
  <c r="CN143" i="3"/>
  <c r="CN141" i="3"/>
  <c r="CN32" i="3"/>
  <c r="CN34" i="3"/>
  <c r="CM20" i="3"/>
  <c r="CM9" i="3" s="1"/>
  <c r="CM34" i="3"/>
  <c r="AD49" i="20"/>
  <c r="CM159" i="3"/>
  <c r="CM142" i="3"/>
  <c r="HZ9" i="23"/>
  <c r="HU25" i="23"/>
  <c r="AD26" i="20"/>
  <c r="AD45" i="20" s="1"/>
  <c r="HQ9" i="23"/>
  <c r="BI60" i="7"/>
  <c r="BK60" i="7" s="1"/>
  <c r="CN10" i="3" l="1"/>
  <c r="CN12" i="3"/>
  <c r="CM24" i="3"/>
  <c r="CN23" i="3"/>
  <c r="CN21" i="3"/>
  <c r="CL140" i="3"/>
  <c r="CL169" i="3"/>
  <c r="CL168" i="3"/>
  <c r="CL166" i="3"/>
  <c r="CL165" i="3"/>
  <c r="CL163" i="3"/>
  <c r="CL162" i="3"/>
  <c r="CL161" i="3"/>
  <c r="CL158" i="3"/>
  <c r="CL157" i="3"/>
  <c r="CL156" i="3"/>
  <c r="CL153" i="3"/>
  <c r="CL152" i="3"/>
  <c r="CL151" i="3"/>
  <c r="CL148" i="3"/>
  <c r="CL115" i="3"/>
  <c r="CL114" i="3"/>
  <c r="CL108" i="3"/>
  <c r="CL107" i="3"/>
  <c r="CL106" i="3"/>
  <c r="CL105" i="3"/>
  <c r="CL103" i="3"/>
  <c r="CL102" i="3"/>
  <c r="CL101" i="3"/>
  <c r="CL99" i="3"/>
  <c r="CL98" i="3"/>
  <c r="CL97" i="3"/>
  <c r="CL91" i="3"/>
  <c r="CL75" i="3"/>
  <c r="CL74" i="3"/>
  <c r="CL72" i="3"/>
  <c r="CL71" i="3"/>
  <c r="CL70" i="3"/>
  <c r="CL63" i="3"/>
  <c r="CL60" i="3"/>
  <c r="CL58" i="3"/>
  <c r="CL57" i="3"/>
  <c r="CL55" i="3"/>
  <c r="CL54" i="3"/>
  <c r="CL52" i="3"/>
  <c r="CL51" i="3"/>
  <c r="CL50" i="3"/>
  <c r="CL47" i="3"/>
  <c r="CL46" i="3"/>
  <c r="CL45" i="3"/>
  <c r="CL43" i="3"/>
  <c r="CL42" i="3"/>
  <c r="CL41" i="3"/>
  <c r="CL36" i="3"/>
  <c r="CL34" i="3"/>
  <c r="CL33" i="3"/>
  <c r="CL32" i="3"/>
  <c r="CL30" i="3"/>
  <c r="CL29" i="3"/>
  <c r="CL28" i="3"/>
  <c r="CL20" i="3"/>
  <c r="CL14" i="3"/>
  <c r="CL5" i="3"/>
  <c r="AP5" i="15"/>
  <c r="AO5" i="15"/>
  <c r="AT5" i="14"/>
  <c r="AS5" i="14"/>
  <c r="AS5" i="13"/>
  <c r="AR5" i="13"/>
  <c r="AT5" i="12"/>
  <c r="AS5" i="12"/>
  <c r="AT5" i="11"/>
  <c r="AS5" i="11"/>
  <c r="HQ25" i="23"/>
  <c r="HR23" i="23"/>
  <c r="HR21" i="23"/>
  <c r="HP19" i="23"/>
  <c r="HO19" i="23"/>
  <c r="HO25" i="23" s="1"/>
  <c r="HN19" i="23"/>
  <c r="HN25" i="23" s="1"/>
  <c r="HM19" i="23"/>
  <c r="HM25" i="23" s="1"/>
  <c r="HL19" i="23"/>
  <c r="HL25" i="23" s="1"/>
  <c r="HR17" i="23"/>
  <c r="HR15" i="23"/>
  <c r="HR13" i="23"/>
  <c r="HR12" i="23"/>
  <c r="HR11" i="23"/>
  <c r="HP9" i="23"/>
  <c r="HO9" i="23"/>
  <c r="HN9" i="23"/>
  <c r="HM9" i="23"/>
  <c r="HL9" i="23"/>
  <c r="HR8" i="23"/>
  <c r="HR7" i="23"/>
  <c r="BI70" i="7"/>
  <c r="BI8" i="7"/>
  <c r="AO5" i="19"/>
  <c r="AN5" i="19"/>
  <c r="AC48" i="20"/>
  <c r="AC47" i="20"/>
  <c r="AC44" i="20"/>
  <c r="AC36" i="20"/>
  <c r="AC25" i="20"/>
  <c r="AC15" i="20"/>
  <c r="AC6" i="20"/>
  <c r="AK5" i="21"/>
  <c r="AJ5" i="21"/>
  <c r="AK5" i="2"/>
  <c r="AJ5" i="2"/>
  <c r="BF58" i="7"/>
  <c r="BF57" i="7"/>
  <c r="BF56" i="7"/>
  <c r="BF55" i="7"/>
  <c r="BF52" i="7"/>
  <c r="BF50" i="7"/>
  <c r="BF49" i="7"/>
  <c r="BF48" i="7"/>
  <c r="BF46" i="7"/>
  <c r="BE60" i="7"/>
  <c r="BA54" i="7"/>
  <c r="BD60" i="7"/>
  <c r="CM92" i="3" l="1"/>
  <c r="CM94" i="3"/>
  <c r="CM143" i="3"/>
  <c r="CM141" i="3"/>
  <c r="CM17" i="3"/>
  <c r="CM15" i="3"/>
  <c r="CL142" i="3"/>
  <c r="CN26" i="3"/>
  <c r="CM23" i="3"/>
  <c r="CM21" i="3"/>
  <c r="CL24" i="3"/>
  <c r="CM26" i="3" s="1"/>
  <c r="CM39" i="3"/>
  <c r="CM37" i="3"/>
  <c r="CL159" i="3"/>
  <c r="AC26" i="20"/>
  <c r="AC45" i="20" s="1"/>
  <c r="AC49" i="20"/>
  <c r="CL146" i="3"/>
  <c r="CL18" i="3"/>
  <c r="CL9" i="3"/>
  <c r="HR19" i="23"/>
  <c r="HR9" i="23"/>
  <c r="HP25" i="23"/>
  <c r="HR25" i="23" s="1"/>
  <c r="CD162" i="3"/>
  <c r="CC162" i="3"/>
  <c r="CH162" i="3"/>
  <c r="CG162" i="3"/>
  <c r="CF162" i="3"/>
  <c r="CE162" i="3"/>
  <c r="CC161" i="3"/>
  <c r="CK162" i="3"/>
  <c r="CJ162" i="3"/>
  <c r="HJ12" i="23"/>
  <c r="HJ11" i="23"/>
  <c r="HF9" i="23"/>
  <c r="AB36" i="20"/>
  <c r="CK166" i="3"/>
  <c r="CK165" i="3"/>
  <c r="CJ166" i="3"/>
  <c r="CI166" i="3"/>
  <c r="CH166" i="3"/>
  <c r="CG166" i="3"/>
  <c r="CF166" i="3"/>
  <c r="CE166" i="3"/>
  <c r="CD166" i="3"/>
  <c r="CC166" i="3"/>
  <c r="CB166" i="3"/>
  <c r="CA166" i="3"/>
  <c r="BZ166" i="3"/>
  <c r="BY166" i="3"/>
  <c r="BX166" i="3"/>
  <c r="BW166" i="3"/>
  <c r="BV166" i="3"/>
  <c r="BU166" i="3"/>
  <c r="BT166" i="3"/>
  <c r="BS166" i="3"/>
  <c r="BR166" i="3"/>
  <c r="BQ166" i="3"/>
  <c r="BP166" i="3"/>
  <c r="BO166" i="3"/>
  <c r="BN166" i="3"/>
  <c r="BM166" i="3"/>
  <c r="BL166" i="3"/>
  <c r="BK166" i="3"/>
  <c r="BJ166" i="3"/>
  <c r="BI166" i="3"/>
  <c r="BH166" i="3"/>
  <c r="BG166" i="3"/>
  <c r="BF166" i="3"/>
  <c r="BE166" i="3"/>
  <c r="BD166" i="3"/>
  <c r="BC166" i="3"/>
  <c r="BB166" i="3"/>
  <c r="BA166" i="3"/>
  <c r="AZ166" i="3"/>
  <c r="AY166" i="3"/>
  <c r="AX166" i="3"/>
  <c r="AW166" i="3"/>
  <c r="AV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C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CI165" i="3"/>
  <c r="CH165" i="3"/>
  <c r="CG165" i="3"/>
  <c r="CF165" i="3"/>
  <c r="CD165" i="3"/>
  <c r="CC165" i="3"/>
  <c r="CB165" i="3"/>
  <c r="CA165" i="3"/>
  <c r="BY165" i="3"/>
  <c r="BX165" i="3"/>
  <c r="BW165" i="3"/>
  <c r="BV165" i="3"/>
  <c r="BT165" i="3"/>
  <c r="BS165" i="3"/>
  <c r="BR165" i="3"/>
  <c r="BQ165" i="3"/>
  <c r="BO165" i="3"/>
  <c r="BN165" i="3"/>
  <c r="BM165" i="3"/>
  <c r="BL165" i="3"/>
  <c r="BJ165" i="3"/>
  <c r="BI165" i="3"/>
  <c r="BH165" i="3"/>
  <c r="BG165" i="3"/>
  <c r="BE165" i="3"/>
  <c r="BD165" i="3"/>
  <c r="BC165" i="3"/>
  <c r="BB165" i="3"/>
  <c r="AZ165" i="3"/>
  <c r="AY165" i="3"/>
  <c r="AX165" i="3"/>
  <c r="AW165" i="3"/>
  <c r="AU165" i="3"/>
  <c r="AT165" i="3"/>
  <c r="AS165" i="3"/>
  <c r="AR165" i="3"/>
  <c r="AP165" i="3"/>
  <c r="AO165" i="3"/>
  <c r="AN165" i="3"/>
  <c r="AM165" i="3"/>
  <c r="AK165" i="3"/>
  <c r="AJ165" i="3"/>
  <c r="AI165" i="3"/>
  <c r="AH165" i="3"/>
  <c r="AF165" i="3"/>
  <c r="AE165" i="3"/>
  <c r="AD165" i="3"/>
  <c r="AC165" i="3"/>
  <c r="AA165" i="3"/>
  <c r="Z165" i="3"/>
  <c r="Y165" i="3"/>
  <c r="X165" i="3"/>
  <c r="V165" i="3"/>
  <c r="U165" i="3"/>
  <c r="T165" i="3"/>
  <c r="S165" i="3"/>
  <c r="Q165" i="3"/>
  <c r="P165" i="3"/>
  <c r="O165" i="3"/>
  <c r="N165" i="3"/>
  <c r="L165" i="3"/>
  <c r="K165" i="3"/>
  <c r="J165" i="3"/>
  <c r="I165" i="3"/>
  <c r="G165" i="3"/>
  <c r="F165" i="3"/>
  <c r="E165" i="3"/>
  <c r="CM10" i="3" l="1"/>
  <c r="CM12" i="3"/>
  <c r="AD50" i="20"/>
  <c r="BC60" i="7"/>
  <c r="BF60" i="7" s="1"/>
  <c r="AW60" i="7"/>
  <c r="EP11" i="23"/>
  <c r="EP12" i="23"/>
  <c r="FV11" i="23"/>
  <c r="FV12" i="23"/>
  <c r="HB12" i="23"/>
  <c r="HB11" i="23"/>
  <c r="CK169" i="3"/>
  <c r="CK168" i="3"/>
  <c r="CK157" i="3"/>
  <c r="CK152" i="3"/>
  <c r="CK147" i="3"/>
  <c r="CK115" i="3"/>
  <c r="CK114" i="3"/>
  <c r="CK106" i="3"/>
  <c r="CK102" i="3"/>
  <c r="CK98" i="3"/>
  <c r="CK75" i="3"/>
  <c r="CK74" i="3"/>
  <c r="CK71" i="3"/>
  <c r="CK58" i="3"/>
  <c r="CK55" i="3"/>
  <c r="CK54" i="3"/>
  <c r="CK51" i="3"/>
  <c r="CK46" i="3"/>
  <c r="CK42" i="3"/>
  <c r="CK33" i="3"/>
  <c r="CK29" i="3"/>
  <c r="CK140" i="3"/>
  <c r="CK108" i="3"/>
  <c r="CK91" i="3"/>
  <c r="CK36" i="3"/>
  <c r="CK20" i="3"/>
  <c r="CK24" i="3" s="1"/>
  <c r="CL26" i="3" s="1"/>
  <c r="CK14" i="3"/>
  <c r="CK5" i="3"/>
  <c r="AN5" i="15"/>
  <c r="AR5" i="14"/>
  <c r="AQ5" i="13"/>
  <c r="AR5" i="12"/>
  <c r="AR5" i="11"/>
  <c r="HI25" i="23"/>
  <c r="HJ23" i="23"/>
  <c r="HJ21" i="23"/>
  <c r="HH19" i="23"/>
  <c r="HG19" i="23"/>
  <c r="HG25" i="23" s="1"/>
  <c r="HF19" i="23"/>
  <c r="HF25" i="23" s="1"/>
  <c r="HE19" i="23"/>
  <c r="HE25" i="23" s="1"/>
  <c r="HD19" i="23"/>
  <c r="HD25" i="23" s="1"/>
  <c r="HJ17" i="23"/>
  <c r="HJ15" i="23"/>
  <c r="HJ13" i="23"/>
  <c r="HI9" i="23"/>
  <c r="HH9" i="23"/>
  <c r="HG9" i="23"/>
  <c r="HE9" i="23"/>
  <c r="HD9" i="23"/>
  <c r="HJ8" i="23"/>
  <c r="HJ7" i="23"/>
  <c r="BH70" i="7"/>
  <c r="BH8" i="7"/>
  <c r="AM5" i="19"/>
  <c r="AB48" i="20"/>
  <c r="AB47" i="20"/>
  <c r="AB44" i="20"/>
  <c r="AB25" i="20"/>
  <c r="AB15" i="20"/>
  <c r="AB6" i="20"/>
  <c r="AI5" i="21"/>
  <c r="AI5" i="2"/>
  <c r="H80" i="14"/>
  <c r="I80" i="14"/>
  <c r="J80" i="14"/>
  <c r="K80" i="14"/>
  <c r="L80" i="14"/>
  <c r="M80" i="14"/>
  <c r="N80" i="14"/>
  <c r="N81" i="14" s="1"/>
  <c r="O80" i="14"/>
  <c r="O81" i="14" s="1"/>
  <c r="P80" i="14"/>
  <c r="M81" i="14"/>
  <c r="B5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B5" i="15"/>
  <c r="B5" i="14"/>
  <c r="C5" i="14"/>
  <c r="D5" i="14"/>
  <c r="E5" i="14"/>
  <c r="F5" i="14"/>
  <c r="G5" i="14"/>
  <c r="H5" i="14"/>
  <c r="I5" i="14"/>
  <c r="J5" i="14"/>
  <c r="K5" i="14"/>
  <c r="L5" i="14"/>
  <c r="M5" i="14"/>
  <c r="N5" i="14"/>
  <c r="O5" i="14"/>
  <c r="P5" i="14"/>
  <c r="Q5" i="14"/>
  <c r="R5" i="14"/>
  <c r="S5" i="14"/>
  <c r="T5" i="14"/>
  <c r="U5" i="14"/>
  <c r="V5" i="14"/>
  <c r="W5" i="14"/>
  <c r="X5" i="14"/>
  <c r="Y5" i="14"/>
  <c r="Z5" i="14"/>
  <c r="AA5" i="14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X5" i="13"/>
  <c r="Y5" i="13"/>
  <c r="Z5" i="13"/>
  <c r="B5" i="12"/>
  <c r="C5" i="12"/>
  <c r="D5" i="12"/>
  <c r="E5" i="12"/>
  <c r="F5" i="12"/>
  <c r="G5" i="12"/>
  <c r="H5" i="12"/>
  <c r="I5" i="12"/>
  <c r="J5" i="12"/>
  <c r="K5" i="12"/>
  <c r="L5" i="12"/>
  <c r="M5" i="12"/>
  <c r="N5" i="12"/>
  <c r="O5" i="12"/>
  <c r="P5" i="12"/>
  <c r="Q5" i="12"/>
  <c r="B8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B5" i="19"/>
  <c r="A6" i="20"/>
  <c r="C6" i="20"/>
  <c r="D6" i="20"/>
  <c r="E6" i="20"/>
  <c r="F6" i="20"/>
  <c r="G6" i="20"/>
  <c r="H6" i="20"/>
  <c r="I6" i="20"/>
  <c r="J6" i="20"/>
  <c r="K6" i="20"/>
  <c r="L6" i="20"/>
  <c r="M6" i="20"/>
  <c r="N6" i="20"/>
  <c r="AL5" i="3"/>
  <c r="AM5" i="3"/>
  <c r="AN5" i="3"/>
  <c r="AO5" i="3"/>
  <c r="AP5" i="3"/>
  <c r="AQ5" i="3"/>
  <c r="AR5" i="3"/>
  <c r="AS5" i="3"/>
  <c r="AT5" i="3"/>
  <c r="AU5" i="3"/>
  <c r="AV5" i="3"/>
  <c r="AW5" i="3"/>
  <c r="AX5" i="3"/>
  <c r="AY5" i="3"/>
  <c r="AZ5" i="3"/>
  <c r="BA5" i="3"/>
  <c r="BB5" i="3"/>
  <c r="BC5" i="3"/>
  <c r="BD5" i="3"/>
  <c r="BE5" i="3"/>
  <c r="BF5" i="3"/>
  <c r="BG5" i="3"/>
  <c r="BH5" i="3"/>
  <c r="BI5" i="3"/>
  <c r="BJ5" i="3"/>
  <c r="BK5" i="3"/>
  <c r="BL5" i="3"/>
  <c r="BM5" i="3"/>
  <c r="BN5" i="3"/>
  <c r="BO5" i="3"/>
  <c r="BP5" i="3"/>
  <c r="BQ5" i="3"/>
  <c r="BR5" i="3"/>
  <c r="BS5" i="3"/>
  <c r="BT5" i="3"/>
  <c r="BU5" i="3"/>
  <c r="BV5" i="3"/>
  <c r="BW5" i="3"/>
  <c r="BX5" i="3"/>
  <c r="BY5" i="3"/>
  <c r="BZ5" i="3"/>
  <c r="CA5" i="3"/>
  <c r="CB5" i="3"/>
  <c r="CC5" i="3"/>
  <c r="CD5" i="3"/>
  <c r="CE5" i="3"/>
  <c r="CF5" i="3"/>
  <c r="CG5" i="3"/>
  <c r="CH5" i="3"/>
  <c r="CI5" i="3"/>
  <c r="CJ5" i="3"/>
  <c r="C5" i="15"/>
  <c r="D5" i="15"/>
  <c r="E5" i="15"/>
  <c r="F5" i="15"/>
  <c r="G5" i="15"/>
  <c r="H5" i="15"/>
  <c r="I5" i="15"/>
  <c r="J5" i="15"/>
  <c r="K5" i="15"/>
  <c r="L5" i="15"/>
  <c r="M5" i="15"/>
  <c r="N5" i="15"/>
  <c r="O5" i="15"/>
  <c r="P5" i="15"/>
  <c r="Q5" i="15"/>
  <c r="R5" i="15"/>
  <c r="S5" i="15"/>
  <c r="T5" i="15"/>
  <c r="U5" i="15"/>
  <c r="V5" i="15"/>
  <c r="W5" i="15"/>
  <c r="X5" i="15"/>
  <c r="Y5" i="15"/>
  <c r="Z5" i="15"/>
  <c r="AA5" i="15"/>
  <c r="AB5" i="15"/>
  <c r="AC5" i="15"/>
  <c r="AD5" i="15"/>
  <c r="AE5" i="15"/>
  <c r="AF5" i="15"/>
  <c r="AG5" i="15"/>
  <c r="AH5" i="15"/>
  <c r="AI5" i="15"/>
  <c r="AJ5" i="15"/>
  <c r="AK5" i="15"/>
  <c r="AL5" i="15"/>
  <c r="AM5" i="15"/>
  <c r="AB5" i="14"/>
  <c r="AC5" i="14"/>
  <c r="AD5" i="14"/>
  <c r="AE5" i="14"/>
  <c r="AF5" i="14"/>
  <c r="AG5" i="14"/>
  <c r="AH5" i="14"/>
  <c r="AI5" i="14"/>
  <c r="AJ5" i="14"/>
  <c r="AK5" i="14"/>
  <c r="AL5" i="14"/>
  <c r="AM5" i="14"/>
  <c r="AN5" i="14"/>
  <c r="AO5" i="14"/>
  <c r="AP5" i="14"/>
  <c r="AQ5" i="14"/>
  <c r="AA5" i="13"/>
  <c r="AB5" i="13"/>
  <c r="AC5" i="13"/>
  <c r="AD5" i="13"/>
  <c r="AE5" i="13"/>
  <c r="AF5" i="13"/>
  <c r="AG5" i="13"/>
  <c r="AH5" i="13"/>
  <c r="AI5" i="13"/>
  <c r="AJ5" i="13"/>
  <c r="AK5" i="13"/>
  <c r="AL5" i="13"/>
  <c r="AM5" i="13"/>
  <c r="AN5" i="13"/>
  <c r="AO5" i="13"/>
  <c r="AP5" i="13"/>
  <c r="R5" i="12"/>
  <c r="S5" i="12"/>
  <c r="T5" i="12"/>
  <c r="U5" i="12"/>
  <c r="V5" i="12"/>
  <c r="W5" i="12"/>
  <c r="X5" i="12"/>
  <c r="Y5" i="12"/>
  <c r="Z5" i="12"/>
  <c r="AA5" i="12"/>
  <c r="AB5" i="12"/>
  <c r="AC5" i="12"/>
  <c r="AD5" i="12"/>
  <c r="AE5" i="12"/>
  <c r="AF5" i="12"/>
  <c r="AG5" i="12"/>
  <c r="AH5" i="12"/>
  <c r="AI5" i="12"/>
  <c r="AJ5" i="12"/>
  <c r="AK5" i="12"/>
  <c r="AL5" i="12"/>
  <c r="AM5" i="12"/>
  <c r="AN5" i="12"/>
  <c r="AO5" i="12"/>
  <c r="AP5" i="12"/>
  <c r="AQ5" i="12"/>
  <c r="AQ5" i="11"/>
  <c r="C5" i="1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Y5" i="11"/>
  <c r="Z5" i="11"/>
  <c r="AA5" i="11"/>
  <c r="AB5" i="11"/>
  <c r="AC5" i="11"/>
  <c r="AD5" i="11"/>
  <c r="AE5" i="11"/>
  <c r="AF5" i="11"/>
  <c r="AG5" i="11"/>
  <c r="AH5" i="11"/>
  <c r="AI5" i="11"/>
  <c r="AJ5" i="11"/>
  <c r="AK5" i="11"/>
  <c r="AL5" i="11"/>
  <c r="AM5" i="11"/>
  <c r="AN5" i="11"/>
  <c r="AO5" i="11"/>
  <c r="AP5" i="11"/>
  <c r="AC8" i="7"/>
  <c r="AD8" i="7"/>
  <c r="AE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BD8" i="7"/>
  <c r="BE8" i="7"/>
  <c r="BF8" i="7"/>
  <c r="BG8" i="7"/>
  <c r="C5" i="19"/>
  <c r="D5" i="19"/>
  <c r="E5" i="19"/>
  <c r="F5" i="19"/>
  <c r="G5" i="19"/>
  <c r="H5" i="19"/>
  <c r="I5" i="19"/>
  <c r="J5" i="19"/>
  <c r="K5" i="19"/>
  <c r="L5" i="19"/>
  <c r="M5" i="19"/>
  <c r="N5" i="19"/>
  <c r="O5" i="19"/>
  <c r="P5" i="19"/>
  <c r="Q5" i="19"/>
  <c r="R5" i="19"/>
  <c r="S5" i="19"/>
  <c r="T5" i="19"/>
  <c r="U5" i="19"/>
  <c r="V5" i="19"/>
  <c r="W5" i="19"/>
  <c r="X5" i="19"/>
  <c r="Y5" i="19"/>
  <c r="Z5" i="19"/>
  <c r="AA5" i="19"/>
  <c r="AB5" i="19"/>
  <c r="AC5" i="19"/>
  <c r="AD5" i="19"/>
  <c r="AE5" i="19"/>
  <c r="AF5" i="19"/>
  <c r="AG5" i="19"/>
  <c r="AH5" i="19"/>
  <c r="AI5" i="19"/>
  <c r="AJ5" i="19"/>
  <c r="AK5" i="19"/>
  <c r="AL5" i="19"/>
  <c r="O6" i="20"/>
  <c r="P6" i="20"/>
  <c r="Q6" i="20"/>
  <c r="R6" i="20"/>
  <c r="S6" i="20"/>
  <c r="T6" i="20"/>
  <c r="U6" i="20"/>
  <c r="V6" i="20"/>
  <c r="W6" i="20"/>
  <c r="X6" i="20"/>
  <c r="Y6" i="20"/>
  <c r="Z6" i="20"/>
  <c r="AA6" i="20"/>
  <c r="C5" i="21"/>
  <c r="D5" i="21"/>
  <c r="E5" i="21"/>
  <c r="F5" i="21"/>
  <c r="G5" i="21"/>
  <c r="H5" i="21"/>
  <c r="I5" i="2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AD5" i="21"/>
  <c r="AE5" i="21"/>
  <c r="AF5" i="21"/>
  <c r="AG5" i="21"/>
  <c r="AH5" i="21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C5" i="2"/>
  <c r="P81" i="14" l="1"/>
  <c r="CK159" i="3"/>
  <c r="CL141" i="3"/>
  <c r="CL143" i="3"/>
  <c r="CL15" i="3"/>
  <c r="CL17" i="3"/>
  <c r="CL94" i="3"/>
  <c r="CL92" i="3"/>
  <c r="CL23" i="3"/>
  <c r="CL21" i="3"/>
  <c r="CL37" i="3"/>
  <c r="CL39" i="3"/>
  <c r="AB26" i="20"/>
  <c r="AB45" i="20" s="1"/>
  <c r="HJ19" i="23"/>
  <c r="HJ9" i="23"/>
  <c r="CK18" i="3"/>
  <c r="CK9" i="3"/>
  <c r="HH25" i="23"/>
  <c r="HJ25" i="23" s="1"/>
  <c r="AB49" i="20"/>
  <c r="Q80" i="14"/>
  <c r="Q81" i="14" s="1"/>
  <c r="CI168" i="3"/>
  <c r="CJ115" i="3"/>
  <c r="CL10" i="3" l="1"/>
  <c r="CL12" i="3"/>
  <c r="BG40" i="7"/>
  <c r="CJ169" i="3"/>
  <c r="CI169" i="3"/>
  <c r="CH169" i="3"/>
  <c r="CG169" i="3"/>
  <c r="CF169" i="3"/>
  <c r="CH168" i="3"/>
  <c r="CG168" i="3"/>
  <c r="CF168" i="3"/>
  <c r="CD168" i="3"/>
  <c r="CC168" i="3"/>
  <c r="CB168" i="3"/>
  <c r="CH108" i="3"/>
  <c r="CG108" i="3"/>
  <c r="CF108" i="3"/>
  <c r="CC108" i="3"/>
  <c r="CB108" i="3"/>
  <c r="CA108" i="3"/>
  <c r="CJ108" i="3"/>
  <c r="CE108" i="3"/>
  <c r="BZ108" i="3"/>
  <c r="AA36" i="20"/>
  <c r="CJ145" i="3"/>
  <c r="CO148" i="3" l="1"/>
  <c r="CO147" i="3"/>
  <c r="CD122" i="3"/>
  <c r="CI104" i="3"/>
  <c r="CI56" i="3"/>
  <c r="CK105" i="3" l="1"/>
  <c r="CN106" i="3"/>
  <c r="CK57" i="3"/>
  <c r="CN58" i="3"/>
  <c r="CI106" i="3"/>
  <c r="CK107" i="3"/>
  <c r="CI160" i="3"/>
  <c r="CJ14" i="3"/>
  <c r="CJ174" i="3"/>
  <c r="CI173" i="3"/>
  <c r="CI171" i="3"/>
  <c r="CJ163" i="3"/>
  <c r="CJ159" i="3"/>
  <c r="CJ158" i="3"/>
  <c r="CJ157" i="3"/>
  <c r="CI155" i="3"/>
  <c r="CJ153" i="3"/>
  <c r="CJ152" i="3"/>
  <c r="CI150" i="3"/>
  <c r="CJ143" i="3"/>
  <c r="CJ142" i="3"/>
  <c r="CI140" i="3"/>
  <c r="CJ129" i="3"/>
  <c r="CI128" i="3"/>
  <c r="CJ119" i="3"/>
  <c r="CI118" i="3"/>
  <c r="CI116" i="3"/>
  <c r="CI115" i="3"/>
  <c r="CI114" i="3"/>
  <c r="CJ107" i="3"/>
  <c r="CI107" i="3"/>
  <c r="CJ106" i="3"/>
  <c r="CI105" i="3"/>
  <c r="CJ103" i="3"/>
  <c r="CJ102" i="3"/>
  <c r="CI100" i="3"/>
  <c r="CJ99" i="3"/>
  <c r="CJ98" i="3"/>
  <c r="CI96" i="3"/>
  <c r="CJ91" i="3"/>
  <c r="CJ80" i="3"/>
  <c r="CI79" i="3"/>
  <c r="CJ75" i="3"/>
  <c r="CI75" i="3"/>
  <c r="CI74" i="3"/>
  <c r="CJ72" i="3"/>
  <c r="CJ71" i="3"/>
  <c r="CI69" i="3"/>
  <c r="CJ63" i="3"/>
  <c r="CI62" i="3"/>
  <c r="CJ60" i="3"/>
  <c r="CI59" i="3"/>
  <c r="CJ58" i="3"/>
  <c r="CI58" i="3"/>
  <c r="CI57" i="3"/>
  <c r="CJ55" i="3"/>
  <c r="CI55" i="3"/>
  <c r="CI54" i="3"/>
  <c r="CJ52" i="3"/>
  <c r="CJ51" i="3"/>
  <c r="CI49" i="3"/>
  <c r="CJ47" i="3"/>
  <c r="CJ46" i="3"/>
  <c r="CI44" i="3"/>
  <c r="CJ43" i="3"/>
  <c r="CJ42" i="3"/>
  <c r="CI40" i="3"/>
  <c r="CJ36" i="3"/>
  <c r="CJ34" i="3"/>
  <c r="CJ33" i="3"/>
  <c r="CI31" i="3"/>
  <c r="CJ30" i="3"/>
  <c r="CJ29" i="3"/>
  <c r="CI27" i="3"/>
  <c r="CJ20" i="3"/>
  <c r="HA25" i="23"/>
  <c r="HB23" i="23"/>
  <c r="HB21" i="23"/>
  <c r="GZ19" i="23"/>
  <c r="GZ25" i="23" s="1"/>
  <c r="GY19" i="23"/>
  <c r="GY25" i="23" s="1"/>
  <c r="GX19" i="23"/>
  <c r="GX25" i="23" s="1"/>
  <c r="GW19" i="23"/>
  <c r="GW25" i="23" s="1"/>
  <c r="GV19" i="23"/>
  <c r="GV25" i="23" s="1"/>
  <c r="HB17" i="23"/>
  <c r="HB15" i="23"/>
  <c r="HB13" i="23"/>
  <c r="HA9" i="23"/>
  <c r="GZ9" i="23"/>
  <c r="GY9" i="23"/>
  <c r="GW9" i="23"/>
  <c r="GV9" i="23"/>
  <c r="HB8" i="23"/>
  <c r="HB7" i="23"/>
  <c r="BG79" i="7"/>
  <c r="BG70" i="7"/>
  <c r="BF70" i="7"/>
  <c r="BG42" i="7"/>
  <c r="BF40" i="7"/>
  <c r="BF36" i="7"/>
  <c r="BF34" i="7"/>
  <c r="BF32" i="7"/>
  <c r="BF28" i="7"/>
  <c r="BF26" i="7"/>
  <c r="BF24" i="7"/>
  <c r="BF22" i="7"/>
  <c r="BF20" i="7"/>
  <c r="BF18" i="7"/>
  <c r="BF16" i="7"/>
  <c r="AA48" i="20"/>
  <c r="AA47" i="20"/>
  <c r="AA44" i="20"/>
  <c r="AA25" i="20"/>
  <c r="AA15" i="20"/>
  <c r="BA36" i="7"/>
  <c r="AV36" i="7"/>
  <c r="CG42" i="3"/>
  <c r="CF42" i="3"/>
  <c r="Z36" i="20"/>
  <c r="CK41" i="3" l="1"/>
  <c r="CN42" i="3"/>
  <c r="CK50" i="3"/>
  <c r="CN51" i="3"/>
  <c r="CK151" i="3"/>
  <c r="CN152" i="3"/>
  <c r="CK32" i="3"/>
  <c r="CN33" i="3"/>
  <c r="CK45" i="3"/>
  <c r="CN46" i="3"/>
  <c r="CO94" i="3"/>
  <c r="CO93" i="3"/>
  <c r="CK141" i="3"/>
  <c r="CN142" i="3"/>
  <c r="CK156" i="3"/>
  <c r="CN157" i="3"/>
  <c r="CO22" i="3"/>
  <c r="CO23" i="3"/>
  <c r="CJ24" i="3"/>
  <c r="CK97" i="3"/>
  <c r="CN98" i="3"/>
  <c r="CK28" i="3"/>
  <c r="CN29" i="3"/>
  <c r="CO38" i="3"/>
  <c r="CO39" i="3"/>
  <c r="CJ18" i="3"/>
  <c r="CO17" i="3"/>
  <c r="CO16" i="3"/>
  <c r="CI162" i="3"/>
  <c r="CN162" i="3"/>
  <c r="CK70" i="3"/>
  <c r="CN71" i="3"/>
  <c r="CK101" i="3"/>
  <c r="CN102" i="3"/>
  <c r="CI34" i="3"/>
  <c r="CK34" i="3"/>
  <c r="CI70" i="3"/>
  <c r="CK72" i="3"/>
  <c r="CI103" i="3"/>
  <c r="CK103" i="3"/>
  <c r="CI45" i="3"/>
  <c r="CK47" i="3"/>
  <c r="CI60" i="3"/>
  <c r="CK60" i="3"/>
  <c r="CI143" i="3"/>
  <c r="CK143" i="3"/>
  <c r="CI158" i="3"/>
  <c r="CK158" i="3"/>
  <c r="CI99" i="3"/>
  <c r="CK99" i="3"/>
  <c r="CK30" i="3"/>
  <c r="CI63" i="3"/>
  <c r="CK63" i="3"/>
  <c r="CK43" i="3"/>
  <c r="CK52" i="3"/>
  <c r="CI153" i="3"/>
  <c r="CK153" i="3"/>
  <c r="CI163" i="3"/>
  <c r="CK163" i="3"/>
  <c r="CK161" i="3"/>
  <c r="CI108" i="3"/>
  <c r="CJ9" i="3"/>
  <c r="AA49" i="20"/>
  <c r="AA26" i="20"/>
  <c r="CI161" i="3"/>
  <c r="CI72" i="3"/>
  <c r="CI141" i="3"/>
  <c r="CI50" i="3"/>
  <c r="CI52" i="3"/>
  <c r="CI47" i="3"/>
  <c r="CI43" i="3"/>
  <c r="CI36" i="3"/>
  <c r="CI41" i="3"/>
  <c r="CI20" i="3"/>
  <c r="CI14" i="3"/>
  <c r="CI30" i="3"/>
  <c r="CI91" i="3"/>
  <c r="CI145" i="3"/>
  <c r="CI159" i="3"/>
  <c r="CI97" i="3"/>
  <c r="CI101" i="3"/>
  <c r="CI151" i="3"/>
  <c r="CI156" i="3"/>
  <c r="CI28" i="3"/>
  <c r="CI32" i="3"/>
  <c r="HB25" i="23"/>
  <c r="HB19" i="23"/>
  <c r="HB9" i="23"/>
  <c r="CH161" i="3"/>
  <c r="CH36" i="3"/>
  <c r="CM38" i="3" s="1"/>
  <c r="CK15" i="3" l="1"/>
  <c r="CN16" i="3"/>
  <c r="CK21" i="3"/>
  <c r="CN22" i="3"/>
  <c r="CI24" i="3"/>
  <c r="CI9" i="3"/>
  <c r="CN11" i="3" s="1"/>
  <c r="CO11" i="3"/>
  <c r="CO12" i="3"/>
  <c r="CO26" i="3"/>
  <c r="CO25" i="3"/>
  <c r="CK146" i="3"/>
  <c r="CN147" i="3"/>
  <c r="CK37" i="3"/>
  <c r="CN38" i="3"/>
  <c r="CK92" i="3"/>
  <c r="CN93" i="3"/>
  <c r="CK148" i="3"/>
  <c r="CK17" i="3"/>
  <c r="CK23" i="3"/>
  <c r="CK39" i="3"/>
  <c r="CK94" i="3"/>
  <c r="AA45" i="20"/>
  <c r="CI37" i="3"/>
  <c r="CI39" i="3"/>
  <c r="CI18" i="3"/>
  <c r="CH159" i="3"/>
  <c r="CH158" i="3"/>
  <c r="CH157" i="3"/>
  <c r="CH156" i="3"/>
  <c r="CH153" i="3"/>
  <c r="CH152" i="3"/>
  <c r="CH151" i="3"/>
  <c r="CH145" i="3"/>
  <c r="CH143" i="3"/>
  <c r="CH142" i="3"/>
  <c r="CH141" i="3"/>
  <c r="CH115" i="3"/>
  <c r="CH114" i="3"/>
  <c r="CH107" i="3"/>
  <c r="CH106" i="3"/>
  <c r="CH105" i="3"/>
  <c r="CH103" i="3"/>
  <c r="CH102" i="3"/>
  <c r="CH101" i="3"/>
  <c r="CH99" i="3"/>
  <c r="CH98" i="3"/>
  <c r="CH97" i="3"/>
  <c r="CH91" i="3"/>
  <c r="CH75" i="3"/>
  <c r="CH74" i="3"/>
  <c r="CH72" i="3"/>
  <c r="CH71" i="3"/>
  <c r="CH70" i="3"/>
  <c r="CH63" i="3"/>
  <c r="CH60" i="3"/>
  <c r="CH58" i="3"/>
  <c r="CH57" i="3"/>
  <c r="CH55" i="3"/>
  <c r="CH54" i="3"/>
  <c r="CH52" i="3"/>
  <c r="CH51" i="3"/>
  <c r="CH50" i="3"/>
  <c r="CH47" i="3"/>
  <c r="CH46" i="3"/>
  <c r="CH45" i="3"/>
  <c r="CH163" i="3"/>
  <c r="CH43" i="3"/>
  <c r="CH42" i="3"/>
  <c r="CH41" i="3"/>
  <c r="CH34" i="3"/>
  <c r="CH33" i="3"/>
  <c r="CH32" i="3"/>
  <c r="CH30" i="3"/>
  <c r="CH29" i="3"/>
  <c r="CH28" i="3"/>
  <c r="CH20" i="3"/>
  <c r="CH14" i="3"/>
  <c r="GT21" i="23"/>
  <c r="GS25" i="23"/>
  <c r="GT23" i="23"/>
  <c r="GR19" i="23"/>
  <c r="GR25" i="23" s="1"/>
  <c r="GQ19" i="23"/>
  <c r="GQ25" i="23" s="1"/>
  <c r="GP19" i="23"/>
  <c r="GP25" i="23" s="1"/>
  <c r="GO19" i="23"/>
  <c r="GO25" i="23" s="1"/>
  <c r="GN19" i="23"/>
  <c r="GN25" i="23" s="1"/>
  <c r="GT17" i="23"/>
  <c r="GT15" i="23"/>
  <c r="GT13" i="23"/>
  <c r="GS9" i="23"/>
  <c r="GR9" i="23"/>
  <c r="GQ9" i="23"/>
  <c r="GP9" i="23"/>
  <c r="GO9" i="23"/>
  <c r="GN9" i="23"/>
  <c r="GT8" i="23"/>
  <c r="GT7" i="23"/>
  <c r="BE70" i="7"/>
  <c r="BE42" i="7"/>
  <c r="Z48" i="20"/>
  <c r="Z47" i="20"/>
  <c r="Z44" i="20"/>
  <c r="Z25" i="20"/>
  <c r="Z15" i="20"/>
  <c r="CK10" i="3" l="1"/>
  <c r="CK12" i="3"/>
  <c r="CH18" i="3"/>
  <c r="CM16" i="3"/>
  <c r="CI21" i="3"/>
  <c r="CH24" i="3"/>
  <c r="CM22" i="3"/>
  <c r="CI146" i="3"/>
  <c r="CM147" i="3"/>
  <c r="CN25" i="3"/>
  <c r="CK26" i="3"/>
  <c r="CI94" i="3"/>
  <c r="CM93" i="3"/>
  <c r="CI23" i="3"/>
  <c r="CI92" i="3"/>
  <c r="CI15" i="3"/>
  <c r="CI17" i="3"/>
  <c r="CI148" i="3"/>
  <c r="Z49" i="20"/>
  <c r="CH9" i="3"/>
  <c r="CM11" i="3" s="1"/>
  <c r="GT25" i="23"/>
  <c r="GT9" i="23"/>
  <c r="GT19" i="23"/>
  <c r="Z26" i="20"/>
  <c r="Z45" i="20" s="1"/>
  <c r="CG145" i="3"/>
  <c r="GK25" i="23"/>
  <c r="GL23" i="23"/>
  <c r="GJ19" i="23"/>
  <c r="GJ25" i="23" s="1"/>
  <c r="GI19" i="23"/>
  <c r="GI25" i="23" s="1"/>
  <c r="GH19" i="23"/>
  <c r="GH25" i="23" s="1"/>
  <c r="GG19" i="23"/>
  <c r="GG25" i="23" s="1"/>
  <c r="GF19" i="23"/>
  <c r="GF25" i="23" s="1"/>
  <c r="GL17" i="23"/>
  <c r="GL15" i="23"/>
  <c r="GL13" i="23"/>
  <c r="GK9" i="23"/>
  <c r="GJ9" i="23"/>
  <c r="GI9" i="23"/>
  <c r="GH9" i="23"/>
  <c r="GG9" i="23"/>
  <c r="GF9" i="23"/>
  <c r="GL8" i="23"/>
  <c r="GL7" i="23"/>
  <c r="CG159" i="3"/>
  <c r="CG158" i="3"/>
  <c r="CG157" i="3"/>
  <c r="CG156" i="3"/>
  <c r="CG153" i="3"/>
  <c r="CG152" i="3"/>
  <c r="CG151" i="3"/>
  <c r="CG142" i="3"/>
  <c r="CG115" i="3"/>
  <c r="CG114" i="3"/>
  <c r="CG107" i="3"/>
  <c r="CG106" i="3"/>
  <c r="CG105" i="3"/>
  <c r="CG103" i="3"/>
  <c r="CG102" i="3"/>
  <c r="CG101" i="3"/>
  <c r="CG99" i="3"/>
  <c r="CG98" i="3"/>
  <c r="CG97" i="3"/>
  <c r="CG91" i="3"/>
  <c r="CG75" i="3"/>
  <c r="CG74" i="3"/>
  <c r="CG72" i="3"/>
  <c r="CG71" i="3"/>
  <c r="CG70" i="3"/>
  <c r="CG63" i="3"/>
  <c r="CG60" i="3"/>
  <c r="CG58" i="3"/>
  <c r="CG57" i="3"/>
  <c r="CG55" i="3"/>
  <c r="CG54" i="3"/>
  <c r="CG52" i="3"/>
  <c r="CG51" i="3"/>
  <c r="CG50" i="3"/>
  <c r="CG47" i="3"/>
  <c r="CG46" i="3"/>
  <c r="CG45" i="3"/>
  <c r="CG163" i="3"/>
  <c r="CG161" i="3"/>
  <c r="CG43" i="3"/>
  <c r="CG41" i="3"/>
  <c r="CG36" i="3"/>
  <c r="CL38" i="3" s="1"/>
  <c r="CG34" i="3"/>
  <c r="CG33" i="3"/>
  <c r="CG32" i="3"/>
  <c r="CG30" i="3"/>
  <c r="CG29" i="3"/>
  <c r="CG28" i="3"/>
  <c r="CG20" i="3"/>
  <c r="CG24" i="3" s="1"/>
  <c r="CG14" i="3"/>
  <c r="CL16" i="3" s="1"/>
  <c r="BD70" i="7"/>
  <c r="BD42" i="7"/>
  <c r="Y48" i="20"/>
  <c r="Y47" i="20"/>
  <c r="Y44" i="20"/>
  <c r="Y36" i="20"/>
  <c r="Y25" i="20"/>
  <c r="Y15" i="20"/>
  <c r="CL25" i="3" l="1"/>
  <c r="CH26" i="3"/>
  <c r="CM25" i="3"/>
  <c r="CI26" i="3"/>
  <c r="AA50" i="20"/>
  <c r="CH94" i="3"/>
  <c r="CL93" i="3"/>
  <c r="CH21" i="3"/>
  <c r="CL22" i="3"/>
  <c r="CG148" i="3"/>
  <c r="CL147" i="3"/>
  <c r="CI10" i="3"/>
  <c r="CI12" i="3"/>
  <c r="CG147" i="3"/>
  <c r="CH17" i="3"/>
  <c r="CG18" i="3"/>
  <c r="CH146" i="3"/>
  <c r="CH148" i="3"/>
  <c r="CG146" i="3"/>
  <c r="CH23" i="3"/>
  <c r="CH39" i="3"/>
  <c r="CH15" i="3"/>
  <c r="CH92" i="3"/>
  <c r="CH37" i="3"/>
  <c r="GL9" i="23"/>
  <c r="Y26" i="20"/>
  <c r="Y45" i="20" s="1"/>
  <c r="Y49" i="20"/>
  <c r="GL25" i="23"/>
  <c r="GL19" i="23"/>
  <c r="CG9" i="3"/>
  <c r="CL11" i="3" s="1"/>
  <c r="CH10" i="3" l="1"/>
  <c r="CH12" i="3"/>
  <c r="GB19" i="23"/>
  <c r="GC25" i="23"/>
  <c r="GD17" i="23"/>
  <c r="CF14" i="3" l="1"/>
  <c r="CK16" i="3" s="1"/>
  <c r="CF18" i="3" l="1"/>
  <c r="CG15" i="3"/>
  <c r="CG17" i="3"/>
  <c r="CF157" i="3"/>
  <c r="CF152" i="3"/>
  <c r="CF147" i="3"/>
  <c r="CF140" i="3"/>
  <c r="CK142" i="3" s="1"/>
  <c r="CF115" i="3"/>
  <c r="CF114" i="3"/>
  <c r="CF106" i="3"/>
  <c r="CF102" i="3"/>
  <c r="CF98" i="3"/>
  <c r="CF91" i="3"/>
  <c r="CK93" i="3" s="1"/>
  <c r="CF75" i="3"/>
  <c r="CF74" i="3"/>
  <c r="CF71" i="3"/>
  <c r="CF58" i="3"/>
  <c r="CF57" i="3"/>
  <c r="CF55" i="3"/>
  <c r="CF54" i="3"/>
  <c r="CF51" i="3"/>
  <c r="CF46" i="3"/>
  <c r="CF163" i="3"/>
  <c r="CF161" i="3"/>
  <c r="CF36" i="3"/>
  <c r="CK38" i="3" s="1"/>
  <c r="CF33" i="3"/>
  <c r="CF29" i="3"/>
  <c r="CF20" i="3"/>
  <c r="GD23" i="23"/>
  <c r="GB25" i="23"/>
  <c r="GA19" i="23"/>
  <c r="GA25" i="23" s="1"/>
  <c r="FZ19" i="23"/>
  <c r="FZ25" i="23" s="1"/>
  <c r="FY19" i="23"/>
  <c r="FY25" i="23" s="1"/>
  <c r="FX19" i="23"/>
  <c r="GD15" i="23"/>
  <c r="GD13" i="23"/>
  <c r="GC9" i="23"/>
  <c r="GB9" i="23"/>
  <c r="GA9" i="23"/>
  <c r="FZ9" i="23"/>
  <c r="FY9" i="23"/>
  <c r="FX9" i="23"/>
  <c r="GD8" i="23"/>
  <c r="GD7" i="23"/>
  <c r="BC70" i="7"/>
  <c r="BC42" i="7"/>
  <c r="BF42" i="7" s="1"/>
  <c r="X48" i="20"/>
  <c r="X47" i="20"/>
  <c r="X44" i="20"/>
  <c r="X36" i="20"/>
  <c r="X25" i="20"/>
  <c r="X15" i="20"/>
  <c r="CK22" i="3" l="1"/>
  <c r="CF24" i="3"/>
  <c r="FX25" i="23"/>
  <c r="GD25" i="23" s="1"/>
  <c r="GD19" i="23"/>
  <c r="CG92" i="3"/>
  <c r="CG94" i="3"/>
  <c r="CG23" i="3"/>
  <c r="CG21" i="3"/>
  <c r="CF159" i="3"/>
  <c r="CG141" i="3"/>
  <c r="CG143" i="3"/>
  <c r="CG37" i="3"/>
  <c r="CG39" i="3"/>
  <c r="GD9" i="23"/>
  <c r="X49" i="20"/>
  <c r="CF9" i="3"/>
  <c r="CK11" i="3" s="1"/>
  <c r="X26" i="20"/>
  <c r="X45" i="20" s="1"/>
  <c r="CK25" i="3" l="1"/>
  <c r="CG26" i="3"/>
  <c r="CG12" i="3"/>
  <c r="CG10" i="3"/>
  <c r="BB49" i="7"/>
  <c r="BB60" i="7" s="1"/>
  <c r="W48" i="20" l="1"/>
  <c r="W47" i="20"/>
  <c r="W44" i="20"/>
  <c r="W36" i="20"/>
  <c r="W25" i="20"/>
  <c r="W15" i="20"/>
  <c r="CE145" i="3"/>
  <c r="CE106" i="3"/>
  <c r="CJ148" i="3" l="1"/>
  <c r="CJ147" i="3"/>
  <c r="CF105" i="3"/>
  <c r="CF107" i="3"/>
  <c r="W26" i="20"/>
  <c r="W45" i="20" s="1"/>
  <c r="W49" i="20"/>
  <c r="CE107" i="3"/>
  <c r="CD116" i="3"/>
  <c r="CE174" i="3"/>
  <c r="CD173" i="3"/>
  <c r="CD171" i="3"/>
  <c r="CE159" i="3"/>
  <c r="CE158" i="3"/>
  <c r="CE157" i="3"/>
  <c r="CD155" i="3"/>
  <c r="CI157" i="3" s="1"/>
  <c r="CE153" i="3"/>
  <c r="CE152" i="3"/>
  <c r="CD150" i="3"/>
  <c r="CI152" i="3" s="1"/>
  <c r="CE148" i="3"/>
  <c r="CE147" i="3"/>
  <c r="CD145" i="3"/>
  <c r="CI147" i="3" s="1"/>
  <c r="CE143" i="3"/>
  <c r="CE142" i="3"/>
  <c r="CD140" i="3"/>
  <c r="CI142" i="3" s="1"/>
  <c r="CE129" i="3"/>
  <c r="CD128" i="3"/>
  <c r="CE119" i="3"/>
  <c r="CD118" i="3"/>
  <c r="CE115" i="3"/>
  <c r="CD115" i="3"/>
  <c r="CD114" i="3"/>
  <c r="CD107" i="3"/>
  <c r="CD105" i="3"/>
  <c r="CE103" i="3"/>
  <c r="CE102" i="3"/>
  <c r="CD100" i="3"/>
  <c r="CI102" i="3" s="1"/>
  <c r="CE99" i="3"/>
  <c r="CE98" i="3"/>
  <c r="CD96" i="3"/>
  <c r="CE91" i="3"/>
  <c r="CE80" i="3"/>
  <c r="CD79" i="3"/>
  <c r="CE76" i="3"/>
  <c r="CE75" i="3"/>
  <c r="CD75" i="3"/>
  <c r="CD74" i="3"/>
  <c r="CE72" i="3"/>
  <c r="CE71" i="3"/>
  <c r="CD69" i="3"/>
  <c r="CI71" i="3" s="1"/>
  <c r="CE63" i="3"/>
  <c r="CD62" i="3"/>
  <c r="CE60" i="3"/>
  <c r="CD59" i="3"/>
  <c r="CE58" i="3"/>
  <c r="CE55" i="3"/>
  <c r="CD55" i="3"/>
  <c r="CD54" i="3"/>
  <c r="CE52" i="3"/>
  <c r="CE51" i="3"/>
  <c r="CD49" i="3"/>
  <c r="CI51" i="3" s="1"/>
  <c r="CE47" i="3"/>
  <c r="CE46" i="3"/>
  <c r="CD44" i="3"/>
  <c r="CI46" i="3" s="1"/>
  <c r="CE163" i="3"/>
  <c r="CD163" i="3"/>
  <c r="CD161" i="3"/>
  <c r="CE43" i="3"/>
  <c r="CE42" i="3"/>
  <c r="CD40" i="3"/>
  <c r="CI42" i="3" s="1"/>
  <c r="CE36" i="3"/>
  <c r="CE34" i="3"/>
  <c r="CE33" i="3"/>
  <c r="CD31" i="3"/>
  <c r="CI33" i="3" s="1"/>
  <c r="CE30" i="3"/>
  <c r="CE29" i="3"/>
  <c r="CD27" i="3"/>
  <c r="CI29" i="3" s="1"/>
  <c r="CE20" i="3"/>
  <c r="CE24" i="3" s="1"/>
  <c r="CE14" i="3"/>
  <c r="CJ25" i="3" l="1"/>
  <c r="CJ26" i="3"/>
  <c r="AB50" i="20"/>
  <c r="AC50" i="20"/>
  <c r="CI98" i="3"/>
  <c r="CD108" i="3"/>
  <c r="CE18" i="3"/>
  <c r="CJ17" i="3"/>
  <c r="CJ16" i="3"/>
  <c r="CJ93" i="3"/>
  <c r="CJ94" i="3"/>
  <c r="CJ39" i="3"/>
  <c r="CJ38" i="3"/>
  <c r="CJ22" i="3"/>
  <c r="CJ23" i="3"/>
  <c r="CE9" i="3"/>
  <c r="CD32" i="3"/>
  <c r="CF34" i="3"/>
  <c r="CF32" i="3"/>
  <c r="CD70" i="3"/>
  <c r="CF72" i="3"/>
  <c r="CF70" i="3"/>
  <c r="CF50" i="3"/>
  <c r="CF52" i="3"/>
  <c r="CD60" i="3"/>
  <c r="CF60" i="3"/>
  <c r="CD99" i="3"/>
  <c r="CF97" i="3"/>
  <c r="CF99" i="3"/>
  <c r="CD141" i="3"/>
  <c r="CF143" i="3"/>
  <c r="CF141" i="3"/>
  <c r="CD151" i="3"/>
  <c r="CF151" i="3"/>
  <c r="CF153" i="3"/>
  <c r="CD28" i="3"/>
  <c r="CF30" i="3"/>
  <c r="CF28" i="3"/>
  <c r="CD43" i="3"/>
  <c r="CF43" i="3"/>
  <c r="CF41" i="3"/>
  <c r="CD47" i="3"/>
  <c r="CF47" i="3"/>
  <c r="CF45" i="3"/>
  <c r="CD63" i="3"/>
  <c r="CF63" i="3"/>
  <c r="CD103" i="3"/>
  <c r="CF103" i="3"/>
  <c r="CF101" i="3"/>
  <c r="CF148" i="3"/>
  <c r="CF146" i="3"/>
  <c r="CD156" i="3"/>
  <c r="CF156" i="3"/>
  <c r="CF158" i="3"/>
  <c r="CD72" i="3"/>
  <c r="CD41" i="3"/>
  <c r="CD143" i="3"/>
  <c r="CD34" i="3"/>
  <c r="CD158" i="3"/>
  <c r="CD153" i="3"/>
  <c r="CD57" i="3"/>
  <c r="CD52" i="3"/>
  <c r="CD20" i="3"/>
  <c r="CD14" i="3"/>
  <c r="CD30" i="3"/>
  <c r="CD97" i="3"/>
  <c r="CD91" i="3"/>
  <c r="CI93" i="3" s="1"/>
  <c r="CD45" i="3"/>
  <c r="CD50" i="3"/>
  <c r="CD159" i="3"/>
  <c r="CD101" i="3"/>
  <c r="CD36" i="3"/>
  <c r="CI38" i="3" s="1"/>
  <c r="CI22" i="3" l="1"/>
  <c r="CD24" i="3"/>
  <c r="CD18" i="3"/>
  <c r="CI16" i="3"/>
  <c r="CD9" i="3"/>
  <c r="CF10" i="3" s="1"/>
  <c r="CJ11" i="3"/>
  <c r="CJ12" i="3"/>
  <c r="CF23" i="3"/>
  <c r="CF21" i="3"/>
  <c r="CF92" i="3"/>
  <c r="CF94" i="3"/>
  <c r="CF39" i="3"/>
  <c r="CF37" i="3"/>
  <c r="CF15" i="3"/>
  <c r="CF17" i="3"/>
  <c r="CI25" i="3" l="1"/>
  <c r="CF26" i="3"/>
  <c r="CF12" i="3"/>
  <c r="CI11" i="3"/>
  <c r="FV23" i="23" l="1"/>
  <c r="FU19" i="23"/>
  <c r="FU25" i="23" s="1"/>
  <c r="FT19" i="23"/>
  <c r="FT25" i="23" s="1"/>
  <c r="FS19" i="23"/>
  <c r="FS25" i="23" s="1"/>
  <c r="FR19" i="23"/>
  <c r="FR25" i="23" s="1"/>
  <c r="FQ19" i="23"/>
  <c r="FQ25" i="23" s="1"/>
  <c r="FP19" i="23"/>
  <c r="FP25" i="23" s="1"/>
  <c r="FV17" i="23"/>
  <c r="FV15" i="23"/>
  <c r="FV13" i="23"/>
  <c r="FU9" i="23"/>
  <c r="FT9" i="23"/>
  <c r="FS9" i="23"/>
  <c r="FR9" i="23"/>
  <c r="FQ9" i="23"/>
  <c r="FP9" i="23"/>
  <c r="FV8" i="23"/>
  <c r="FV7" i="23"/>
  <c r="BA50" i="7"/>
  <c r="BA40" i="7"/>
  <c r="BA24" i="7"/>
  <c r="BA28" i="7"/>
  <c r="BB79" i="7"/>
  <c r="BB70" i="7"/>
  <c r="BA70" i="7"/>
  <c r="BA59" i="7"/>
  <c r="BA56" i="7"/>
  <c r="BA55" i="7"/>
  <c r="BA52" i="7"/>
  <c r="BA58" i="7"/>
  <c r="BA49" i="7"/>
  <c r="BA48" i="7"/>
  <c r="BA47" i="7"/>
  <c r="BA46" i="7"/>
  <c r="BB42" i="7"/>
  <c r="BA34" i="7"/>
  <c r="BA32" i="7"/>
  <c r="BA26" i="7"/>
  <c r="BA22" i="7"/>
  <c r="BA20" i="7"/>
  <c r="BA18" i="7"/>
  <c r="BA16" i="7"/>
  <c r="FV9" i="23" l="1"/>
  <c r="FV25" i="23"/>
  <c r="FV19" i="23"/>
  <c r="AL16" i="7" l="1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47" i="8"/>
  <c r="D47" i="8"/>
  <c r="C47" i="8"/>
  <c r="F46" i="8"/>
  <c r="F45" i="8"/>
  <c r="F44" i="8"/>
  <c r="F43" i="8"/>
  <c r="F42" i="8"/>
  <c r="E36" i="8"/>
  <c r="D36" i="8"/>
  <c r="C36" i="8"/>
  <c r="F35" i="8"/>
  <c r="F34" i="8"/>
  <c r="F33" i="8"/>
  <c r="F32" i="8"/>
  <c r="F31" i="8"/>
  <c r="E25" i="8"/>
  <c r="D25" i="8"/>
  <c r="C25" i="8"/>
  <c r="F24" i="8"/>
  <c r="F23" i="8"/>
  <c r="F22" i="8"/>
  <c r="F21" i="8"/>
  <c r="F20" i="8"/>
  <c r="BF379" i="3"/>
  <c r="U277" i="3"/>
  <c r="U280" i="3" s="1"/>
  <c r="P277" i="3"/>
  <c r="AH249" i="3"/>
  <c r="AH252" i="3" s="1"/>
  <c r="AL224" i="3"/>
  <c r="BZ174" i="3"/>
  <c r="BU174" i="3"/>
  <c r="BP174" i="3"/>
  <c r="BK174" i="3"/>
  <c r="BF174" i="3"/>
  <c r="BA174" i="3"/>
  <c r="AV174" i="3"/>
  <c r="AQ174" i="3"/>
  <c r="AL174" i="3"/>
  <c r="AG174" i="3"/>
  <c r="AB174" i="3"/>
  <c r="W174" i="3"/>
  <c r="R174" i="3"/>
  <c r="M174" i="3"/>
  <c r="BY173" i="3"/>
  <c r="BT173" i="3"/>
  <c r="BO173" i="3"/>
  <c r="BJ173" i="3"/>
  <c r="BY171" i="3"/>
  <c r="BT171" i="3"/>
  <c r="BO171" i="3"/>
  <c r="BJ171" i="3"/>
  <c r="BE171" i="3"/>
  <c r="AU171" i="3"/>
  <c r="CC159" i="3"/>
  <c r="CB159" i="3"/>
  <c r="BZ159" i="3"/>
  <c r="BX159" i="3"/>
  <c r="BU159" i="3"/>
  <c r="BS159" i="3"/>
  <c r="BR159" i="3"/>
  <c r="BQ159" i="3"/>
  <c r="BP159" i="3"/>
  <c r="BO159" i="3"/>
  <c r="BN159" i="3"/>
  <c r="BM159" i="3"/>
  <c r="BL159" i="3"/>
  <c r="CC158" i="3"/>
  <c r="CB158" i="3"/>
  <c r="BZ158" i="3"/>
  <c r="BV158" i="3"/>
  <c r="BU158" i="3"/>
  <c r="BT158" i="3"/>
  <c r="BS158" i="3"/>
  <c r="BR158" i="3"/>
  <c r="BQ158" i="3"/>
  <c r="BP158" i="3"/>
  <c r="BO158" i="3"/>
  <c r="BN158" i="3"/>
  <c r="BM158" i="3"/>
  <c r="CC157" i="3"/>
  <c r="CA157" i="3"/>
  <c r="BZ157" i="3"/>
  <c r="BX157" i="3"/>
  <c r="BV157" i="3"/>
  <c r="BU157" i="3"/>
  <c r="BT157" i="3"/>
  <c r="BS157" i="3"/>
  <c r="BR157" i="3"/>
  <c r="BQ157" i="3"/>
  <c r="BP157" i="3"/>
  <c r="CC156" i="3"/>
  <c r="CB156" i="3"/>
  <c r="BV156" i="3"/>
  <c r="BT156" i="3"/>
  <c r="BS156" i="3"/>
  <c r="BR156" i="3"/>
  <c r="BQ156" i="3"/>
  <c r="BO156" i="3"/>
  <c r="BN156" i="3"/>
  <c r="BM156" i="3"/>
  <c r="BY155" i="3"/>
  <c r="CD157" i="3" s="1"/>
  <c r="BW155" i="3"/>
  <c r="BX158" i="3" s="1"/>
  <c r="CC153" i="3"/>
  <c r="CB153" i="3"/>
  <c r="BZ153" i="3"/>
  <c r="BX153" i="3"/>
  <c r="BW153" i="3"/>
  <c r="BV153" i="3"/>
  <c r="BU153" i="3"/>
  <c r="BT153" i="3"/>
  <c r="BS153" i="3"/>
  <c r="BR153" i="3"/>
  <c r="BQ153" i="3"/>
  <c r="BP153" i="3"/>
  <c r="BO153" i="3"/>
  <c r="BN153" i="3"/>
  <c r="BM153" i="3"/>
  <c r="CC152" i="3"/>
  <c r="CB152" i="3"/>
  <c r="CA152" i="3"/>
  <c r="BZ152" i="3"/>
  <c r="BX152" i="3"/>
  <c r="BW152" i="3"/>
  <c r="BV152" i="3"/>
  <c r="BU152" i="3"/>
  <c r="BT152" i="3"/>
  <c r="BS152" i="3"/>
  <c r="BR152" i="3"/>
  <c r="BQ152" i="3"/>
  <c r="BP152" i="3"/>
  <c r="CC151" i="3"/>
  <c r="CB151" i="3"/>
  <c r="BX151" i="3"/>
  <c r="BW151" i="3"/>
  <c r="BV151" i="3"/>
  <c r="BT151" i="3"/>
  <c r="BS151" i="3"/>
  <c r="BR151" i="3"/>
  <c r="BQ151" i="3"/>
  <c r="BO151" i="3"/>
  <c r="BN151" i="3"/>
  <c r="BM151" i="3"/>
  <c r="BY150" i="3"/>
  <c r="CD152" i="3" s="1"/>
  <c r="CB148" i="3"/>
  <c r="CA147" i="3"/>
  <c r="CB146" i="3"/>
  <c r="CC145" i="3"/>
  <c r="CH147" i="3" s="1"/>
  <c r="BY145" i="3"/>
  <c r="CD147" i="3" s="1"/>
  <c r="BX145" i="3"/>
  <c r="BW145" i="3"/>
  <c r="CB147" i="3" s="1"/>
  <c r="BU145" i="3"/>
  <c r="BS145" i="3"/>
  <c r="BR145" i="3"/>
  <c r="BQ145" i="3"/>
  <c r="BP145" i="3"/>
  <c r="BO145" i="3"/>
  <c r="BN145" i="3"/>
  <c r="BM145" i="3"/>
  <c r="BL145" i="3"/>
  <c r="CC143" i="3"/>
  <c r="BZ143" i="3"/>
  <c r="BX143" i="3"/>
  <c r="BU143" i="3"/>
  <c r="BS143" i="3"/>
  <c r="BR143" i="3"/>
  <c r="BQ143" i="3"/>
  <c r="BP143" i="3"/>
  <c r="BO143" i="3"/>
  <c r="BN143" i="3"/>
  <c r="BM143" i="3"/>
  <c r="BK143" i="3"/>
  <c r="BI143" i="3"/>
  <c r="BH143" i="3"/>
  <c r="BF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AR143" i="3"/>
  <c r="AQ143" i="3"/>
  <c r="AP143" i="3"/>
  <c r="AO143" i="3"/>
  <c r="AN143" i="3"/>
  <c r="AL143" i="3"/>
  <c r="AG143" i="3"/>
  <c r="AB143" i="3"/>
  <c r="W143" i="3"/>
  <c r="R143" i="3"/>
  <c r="M143" i="3"/>
  <c r="H143" i="3"/>
  <c r="CC142" i="3"/>
  <c r="CB142" i="3"/>
  <c r="BZ142" i="3"/>
  <c r="BX142" i="3"/>
  <c r="BW142" i="3"/>
  <c r="BU142" i="3"/>
  <c r="BS142" i="3"/>
  <c r="BR142" i="3"/>
  <c r="BQ142" i="3"/>
  <c r="BP142" i="3"/>
  <c r="BN142" i="3"/>
  <c r="BM142" i="3"/>
  <c r="BL142" i="3"/>
  <c r="BK142" i="3"/>
  <c r="BI142" i="3"/>
  <c r="BH142" i="3"/>
  <c r="BG142" i="3"/>
  <c r="BF142" i="3"/>
  <c r="BD142" i="3"/>
  <c r="BC142" i="3"/>
  <c r="BB142" i="3"/>
  <c r="BA142" i="3"/>
  <c r="AZ142" i="3"/>
  <c r="AY142" i="3"/>
  <c r="AX142" i="3"/>
  <c r="AW142" i="3"/>
  <c r="AV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X142" i="3"/>
  <c r="W142" i="3"/>
  <c r="V142" i="3"/>
  <c r="U142" i="3"/>
  <c r="T142" i="3"/>
  <c r="S142" i="3"/>
  <c r="R142" i="3"/>
  <c r="Q142" i="3"/>
  <c r="P142" i="3"/>
  <c r="O142" i="3"/>
  <c r="N142" i="3"/>
  <c r="M142" i="3"/>
  <c r="L142" i="3"/>
  <c r="K142" i="3"/>
  <c r="J142" i="3"/>
  <c r="I142" i="3"/>
  <c r="H142" i="3"/>
  <c r="CC141" i="3"/>
  <c r="BX141" i="3"/>
  <c r="BS141" i="3"/>
  <c r="BR141" i="3"/>
  <c r="BQ141" i="3"/>
  <c r="BO141" i="3"/>
  <c r="BN141" i="3"/>
  <c r="BM141" i="3"/>
  <c r="BI141" i="3"/>
  <c r="BH141" i="3"/>
  <c r="BD141" i="3"/>
  <c r="BC141" i="3"/>
  <c r="BB141" i="3"/>
  <c r="AZ141" i="3"/>
  <c r="AY141" i="3"/>
  <c r="AX141" i="3"/>
  <c r="AW141" i="3"/>
  <c r="AU141" i="3"/>
  <c r="AT141" i="3"/>
  <c r="AS141" i="3"/>
  <c r="AR141" i="3"/>
  <c r="AP141" i="3"/>
  <c r="AO141" i="3"/>
  <c r="AN141" i="3"/>
  <c r="AM141" i="3"/>
  <c r="AK141" i="3"/>
  <c r="AJ141" i="3"/>
  <c r="AI141" i="3"/>
  <c r="AH141" i="3"/>
  <c r="AF141" i="3"/>
  <c r="AE141" i="3"/>
  <c r="AD141" i="3"/>
  <c r="AC141" i="3"/>
  <c r="AA141" i="3"/>
  <c r="Z141" i="3"/>
  <c r="Y141" i="3"/>
  <c r="X141" i="3"/>
  <c r="V141" i="3"/>
  <c r="U141" i="3"/>
  <c r="T141" i="3"/>
  <c r="S141" i="3"/>
  <c r="Q141" i="3"/>
  <c r="P141" i="3"/>
  <c r="O141" i="3"/>
  <c r="N141" i="3"/>
  <c r="L141" i="3"/>
  <c r="K141" i="3"/>
  <c r="J141" i="3"/>
  <c r="I141" i="3"/>
  <c r="G141" i="3"/>
  <c r="F141" i="3"/>
  <c r="E141" i="3"/>
  <c r="CA140" i="3"/>
  <c r="BY140" i="3"/>
  <c r="BV140" i="3"/>
  <c r="BV142" i="3" s="1"/>
  <c r="BT140" i="3"/>
  <c r="BT159" i="3" s="1"/>
  <c r="BJ140" i="3"/>
  <c r="BJ141" i="3" s="1"/>
  <c r="BE140" i="3"/>
  <c r="BG141" i="3" s="1"/>
  <c r="BT132" i="3"/>
  <c r="BO132" i="3"/>
  <c r="BK132" i="3"/>
  <c r="BE132" i="3"/>
  <c r="AZ132" i="3"/>
  <c r="AU132" i="3"/>
  <c r="BZ129" i="3"/>
  <c r="BU129" i="3"/>
  <c r="BP129" i="3"/>
  <c r="BK129" i="3"/>
  <c r="BF129" i="3"/>
  <c r="BA129" i="3"/>
  <c r="AV129" i="3"/>
  <c r="AQ129" i="3"/>
  <c r="AL129" i="3"/>
  <c r="AG129" i="3"/>
  <c r="AB129" i="3"/>
  <c r="W129" i="3"/>
  <c r="R129" i="3"/>
  <c r="M129" i="3"/>
  <c r="H129" i="3"/>
  <c r="BY128" i="3"/>
  <c r="BT128" i="3"/>
  <c r="BJ128" i="3"/>
  <c r="BE128" i="3"/>
  <c r="BO122" i="3"/>
  <c r="BZ119" i="3"/>
  <c r="BU119" i="3"/>
  <c r="BP119" i="3"/>
  <c r="BK119" i="3"/>
  <c r="BF119" i="3"/>
  <c r="BA119" i="3"/>
  <c r="AV119" i="3"/>
  <c r="AQ119" i="3"/>
  <c r="AL119" i="3"/>
  <c r="AG119" i="3"/>
  <c r="BY118" i="3"/>
  <c r="BT118" i="3"/>
  <c r="BJ118" i="3"/>
  <c r="BE118" i="3"/>
  <c r="BY116" i="3"/>
  <c r="BT116" i="3"/>
  <c r="BO116" i="3"/>
  <c r="BJ116" i="3"/>
  <c r="CC115" i="3"/>
  <c r="CB115" i="3"/>
  <c r="CA115" i="3"/>
  <c r="BZ115" i="3"/>
  <c r="BY115" i="3"/>
  <c r="BX115" i="3"/>
  <c r="BW115" i="3"/>
  <c r="BV115" i="3"/>
  <c r="CC114" i="3"/>
  <c r="CB114" i="3"/>
  <c r="CA114" i="3"/>
  <c r="BY114" i="3"/>
  <c r="BX114" i="3"/>
  <c r="BW114" i="3"/>
  <c r="BV114" i="3"/>
  <c r="BT114" i="3"/>
  <c r="BS114" i="3"/>
  <c r="BR114" i="3"/>
  <c r="CC107" i="3"/>
  <c r="CB107" i="3"/>
  <c r="CA107" i="3"/>
  <c r="BY107" i="3"/>
  <c r="BX107" i="3"/>
  <c r="BW107" i="3"/>
  <c r="CC106" i="3"/>
  <c r="CB106" i="3"/>
  <c r="CA106" i="3"/>
  <c r="CC105" i="3"/>
  <c r="CB105" i="3"/>
  <c r="CA105" i="3"/>
  <c r="BY105" i="3"/>
  <c r="BX105" i="3"/>
  <c r="BW105" i="3"/>
  <c r="CC103" i="3"/>
  <c r="CB103" i="3"/>
  <c r="BZ103" i="3"/>
  <c r="BX103" i="3"/>
  <c r="BW103" i="3"/>
  <c r="BU103" i="3"/>
  <c r="BS103" i="3"/>
  <c r="BR103" i="3"/>
  <c r="BP103" i="3"/>
  <c r="BN103" i="3"/>
  <c r="BK103" i="3"/>
  <c r="BI103" i="3"/>
  <c r="BH103" i="3"/>
  <c r="BF103" i="3"/>
  <c r="BD103" i="3"/>
  <c r="BC103" i="3"/>
  <c r="BB103" i="3"/>
  <c r="BA103" i="3"/>
  <c r="AZ103" i="3"/>
  <c r="AY103" i="3"/>
  <c r="AX103" i="3"/>
  <c r="AW103" i="3"/>
  <c r="AV103" i="3"/>
  <c r="AQ103" i="3"/>
  <c r="CC102" i="3"/>
  <c r="CB102" i="3"/>
  <c r="CA102" i="3"/>
  <c r="BZ102" i="3"/>
  <c r="BX102" i="3"/>
  <c r="BW102" i="3"/>
  <c r="BV102" i="3"/>
  <c r="BU102" i="3"/>
  <c r="BS102" i="3"/>
  <c r="BR102" i="3"/>
  <c r="BP102" i="3"/>
  <c r="BN102" i="3"/>
  <c r="BM102" i="3"/>
  <c r="BK102" i="3"/>
  <c r="BI102" i="3"/>
  <c r="BH102" i="3"/>
  <c r="BG102" i="3"/>
  <c r="BF102" i="3"/>
  <c r="BD102" i="3"/>
  <c r="BC102" i="3"/>
  <c r="BB102" i="3"/>
  <c r="BA102" i="3"/>
  <c r="AZ102" i="3"/>
  <c r="AV102" i="3"/>
  <c r="AU102" i="3"/>
  <c r="AQ102" i="3"/>
  <c r="CC101" i="3"/>
  <c r="CB101" i="3"/>
  <c r="BX101" i="3"/>
  <c r="BW101" i="3"/>
  <c r="BS101" i="3"/>
  <c r="BR101" i="3"/>
  <c r="BN101" i="3"/>
  <c r="BI101" i="3"/>
  <c r="BH101" i="3"/>
  <c r="BD101" i="3"/>
  <c r="BC101" i="3"/>
  <c r="BB101" i="3"/>
  <c r="AZ101" i="3"/>
  <c r="AY101" i="3"/>
  <c r="AX101" i="3"/>
  <c r="AW101" i="3"/>
  <c r="BY100" i="3"/>
  <c r="CD102" i="3" s="1"/>
  <c r="BT100" i="3"/>
  <c r="BO100" i="3"/>
  <c r="BQ103" i="3" s="1"/>
  <c r="BL100" i="3"/>
  <c r="BM101" i="3" s="1"/>
  <c r="BJ100" i="3"/>
  <c r="BE100" i="3"/>
  <c r="BE102" i="3" s="1"/>
  <c r="CC99" i="3"/>
  <c r="CB99" i="3"/>
  <c r="BZ99" i="3"/>
  <c r="BX99" i="3"/>
  <c r="BW99" i="3"/>
  <c r="BU99" i="3"/>
  <c r="BS99" i="3"/>
  <c r="BR99" i="3"/>
  <c r="BP99" i="3"/>
  <c r="BN99" i="3"/>
  <c r="BM99" i="3"/>
  <c r="BL99" i="3"/>
  <c r="BK99" i="3"/>
  <c r="BJ99" i="3"/>
  <c r="BI99" i="3"/>
  <c r="BH99" i="3"/>
  <c r="BF99" i="3"/>
  <c r="BD99" i="3"/>
  <c r="BC99" i="3"/>
  <c r="BB99" i="3"/>
  <c r="AZ99" i="3"/>
  <c r="AY99" i="3"/>
  <c r="AX99" i="3"/>
  <c r="AW99" i="3"/>
  <c r="CC98" i="3"/>
  <c r="CB98" i="3"/>
  <c r="CA98" i="3"/>
  <c r="BZ98" i="3"/>
  <c r="BX98" i="3"/>
  <c r="BW98" i="3"/>
  <c r="BV98" i="3"/>
  <c r="BU98" i="3"/>
  <c r="BS98" i="3"/>
  <c r="BR98" i="3"/>
  <c r="BQ98" i="3"/>
  <c r="BP98" i="3"/>
  <c r="BN98" i="3"/>
  <c r="BM98" i="3"/>
  <c r="BL98" i="3"/>
  <c r="BK98" i="3"/>
  <c r="BI98" i="3"/>
  <c r="BH98" i="3"/>
  <c r="BG98" i="3"/>
  <c r="BF98" i="3"/>
  <c r="BD98" i="3"/>
  <c r="BC98" i="3"/>
  <c r="BB98" i="3"/>
  <c r="AZ98" i="3"/>
  <c r="CC97" i="3"/>
  <c r="CB97" i="3"/>
  <c r="BX97" i="3"/>
  <c r="BW97" i="3"/>
  <c r="BS97" i="3"/>
  <c r="BR97" i="3"/>
  <c r="BN97" i="3"/>
  <c r="BM97" i="3"/>
  <c r="BL97" i="3"/>
  <c r="BJ97" i="3"/>
  <c r="BI97" i="3"/>
  <c r="BH97" i="3"/>
  <c r="BD97" i="3"/>
  <c r="BC97" i="3"/>
  <c r="BB97" i="3"/>
  <c r="AZ97" i="3"/>
  <c r="AY97" i="3"/>
  <c r="AX97" i="3"/>
  <c r="AW97" i="3"/>
  <c r="BY96" i="3"/>
  <c r="CD98" i="3" s="1"/>
  <c r="BT96" i="3"/>
  <c r="BT97" i="3" s="1"/>
  <c r="BO96" i="3"/>
  <c r="BQ99" i="3" s="1"/>
  <c r="BE96" i="3"/>
  <c r="BE99" i="3" s="1"/>
  <c r="AV96" i="3"/>
  <c r="BA99" i="3" s="1"/>
  <c r="AQ96" i="3"/>
  <c r="AP96" i="3"/>
  <c r="AU98" i="3" s="1"/>
  <c r="AL96" i="3"/>
  <c r="BC94" i="3"/>
  <c r="BB94" i="3"/>
  <c r="BA94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AN94" i="3"/>
  <c r="AL94" i="3"/>
  <c r="AG94" i="3"/>
  <c r="AB94" i="3"/>
  <c r="W94" i="3"/>
  <c r="R94" i="3"/>
  <c r="BC93" i="3"/>
  <c r="BB93" i="3"/>
  <c r="BA93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U93" i="3"/>
  <c r="T93" i="3"/>
  <c r="S93" i="3"/>
  <c r="R93" i="3"/>
  <c r="P93" i="3"/>
  <c r="O93" i="3"/>
  <c r="N93" i="3"/>
  <c r="M93" i="3"/>
  <c r="K93" i="3"/>
  <c r="J93" i="3"/>
  <c r="I93" i="3"/>
  <c r="H93" i="3"/>
  <c r="BC92" i="3"/>
  <c r="BB92" i="3"/>
  <c r="AZ92" i="3"/>
  <c r="AY92" i="3"/>
  <c r="AX92" i="3"/>
  <c r="AW92" i="3"/>
  <c r="AU92" i="3"/>
  <c r="AT92" i="3"/>
  <c r="AS92" i="3"/>
  <c r="AR92" i="3"/>
  <c r="AP92" i="3"/>
  <c r="AO92" i="3"/>
  <c r="AN92" i="3"/>
  <c r="AM92" i="3"/>
  <c r="AK92" i="3"/>
  <c r="AJ92" i="3"/>
  <c r="AI92" i="3"/>
  <c r="AH92" i="3"/>
  <c r="AF92" i="3"/>
  <c r="AE92" i="3"/>
  <c r="AD92" i="3"/>
  <c r="AC92" i="3"/>
  <c r="AA92" i="3"/>
  <c r="Z92" i="3"/>
  <c r="Y92" i="3"/>
  <c r="X92" i="3"/>
  <c r="V92" i="3"/>
  <c r="U92" i="3"/>
  <c r="T92" i="3"/>
  <c r="P92" i="3"/>
  <c r="O92" i="3"/>
  <c r="K92" i="3"/>
  <c r="J92" i="3"/>
  <c r="I92" i="3"/>
  <c r="G92" i="3"/>
  <c r="F92" i="3"/>
  <c r="E92" i="3"/>
  <c r="CC91" i="3"/>
  <c r="CH93" i="3" s="1"/>
  <c r="CB91" i="3"/>
  <c r="CA91" i="3"/>
  <c r="CF93" i="3" s="1"/>
  <c r="BZ91" i="3"/>
  <c r="BX91" i="3"/>
  <c r="BW91" i="3"/>
  <c r="BW108" i="3" s="1"/>
  <c r="BV91" i="3"/>
  <c r="BU91" i="3"/>
  <c r="BS91" i="3"/>
  <c r="BR91" i="3"/>
  <c r="BQ91" i="3"/>
  <c r="BP91" i="3"/>
  <c r="BN91" i="3"/>
  <c r="BM91" i="3"/>
  <c r="BK91" i="3"/>
  <c r="BJ91" i="3" s="1"/>
  <c r="BI91" i="3"/>
  <c r="BH91" i="3"/>
  <c r="BG91" i="3"/>
  <c r="BF91" i="3"/>
  <c r="BF94" i="3" s="1"/>
  <c r="BD91" i="3"/>
  <c r="BD93" i="3" s="1"/>
  <c r="Q91" i="3"/>
  <c r="L91" i="3"/>
  <c r="L92" i="3" s="1"/>
  <c r="BZ80" i="3"/>
  <c r="BU80" i="3"/>
  <c r="BP80" i="3"/>
  <c r="BK80" i="3"/>
  <c r="BF80" i="3"/>
  <c r="BA80" i="3"/>
  <c r="AV80" i="3"/>
  <c r="AQ80" i="3"/>
  <c r="AL80" i="3"/>
  <c r="AG80" i="3"/>
  <c r="AB80" i="3"/>
  <c r="W80" i="3"/>
  <c r="R80" i="3"/>
  <c r="M80" i="3"/>
  <c r="H80" i="3"/>
  <c r="BY79" i="3"/>
  <c r="BT79" i="3"/>
  <c r="BJ79" i="3"/>
  <c r="BE79" i="3"/>
  <c r="BZ76" i="3"/>
  <c r="BT76" i="3"/>
  <c r="BO76" i="3"/>
  <c r="AF76" i="3"/>
  <c r="CC75" i="3"/>
  <c r="CB75" i="3"/>
  <c r="CA75" i="3"/>
  <c r="BZ75" i="3"/>
  <c r="BY75" i="3"/>
  <c r="BX75" i="3"/>
  <c r="BW75" i="3"/>
  <c r="BV75" i="3"/>
  <c r="BU75" i="3"/>
  <c r="BT75" i="3"/>
  <c r="BS75" i="3"/>
  <c r="BR75" i="3"/>
  <c r="BQ75" i="3"/>
  <c r="BP75" i="3"/>
  <c r="BO75" i="3"/>
  <c r="BN75" i="3"/>
  <c r="BM75" i="3"/>
  <c r="BL75" i="3"/>
  <c r="BK75" i="3"/>
  <c r="BJ75" i="3"/>
  <c r="BI75" i="3"/>
  <c r="BH75" i="3"/>
  <c r="BG75" i="3"/>
  <c r="BF75" i="3"/>
  <c r="BE75" i="3"/>
  <c r="BD75" i="3"/>
  <c r="BC75" i="3"/>
  <c r="BB75" i="3"/>
  <c r="BA75" i="3"/>
  <c r="AZ75" i="3"/>
  <c r="AY75" i="3"/>
  <c r="AX75" i="3"/>
  <c r="AW75" i="3"/>
  <c r="AV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N75" i="3"/>
  <c r="M75" i="3"/>
  <c r="L75" i="3"/>
  <c r="K75" i="3"/>
  <c r="J75" i="3"/>
  <c r="I75" i="3"/>
  <c r="CC74" i="3"/>
  <c r="CB74" i="3"/>
  <c r="CA74" i="3"/>
  <c r="BY74" i="3"/>
  <c r="BX74" i="3"/>
  <c r="BW74" i="3"/>
  <c r="BV74" i="3"/>
  <c r="BT74" i="3"/>
  <c r="BS74" i="3"/>
  <c r="BR74" i="3"/>
  <c r="BQ74" i="3"/>
  <c r="BO74" i="3"/>
  <c r="BN74" i="3"/>
  <c r="BM74" i="3"/>
  <c r="BL74" i="3"/>
  <c r="BJ74" i="3"/>
  <c r="BI74" i="3"/>
  <c r="BH74" i="3"/>
  <c r="BG74" i="3"/>
  <c r="BE74" i="3"/>
  <c r="BD74" i="3"/>
  <c r="BC74" i="3"/>
  <c r="BB74" i="3"/>
  <c r="AZ74" i="3"/>
  <c r="AY74" i="3"/>
  <c r="AX74" i="3"/>
  <c r="AW74" i="3"/>
  <c r="AU74" i="3"/>
  <c r="AT74" i="3"/>
  <c r="AS74" i="3"/>
  <c r="AR74" i="3"/>
  <c r="AP74" i="3"/>
  <c r="AO74" i="3"/>
  <c r="AN74" i="3"/>
  <c r="AM74" i="3"/>
  <c r="AK74" i="3"/>
  <c r="AJ74" i="3"/>
  <c r="AI74" i="3"/>
  <c r="AH74" i="3"/>
  <c r="AF74" i="3"/>
  <c r="AE74" i="3"/>
  <c r="AD74" i="3"/>
  <c r="AC74" i="3"/>
  <c r="AA74" i="3"/>
  <c r="Z74" i="3"/>
  <c r="Y74" i="3"/>
  <c r="X74" i="3"/>
  <c r="V74" i="3"/>
  <c r="U74" i="3"/>
  <c r="T74" i="3"/>
  <c r="S74" i="3"/>
  <c r="Q74" i="3"/>
  <c r="P74" i="3"/>
  <c r="O74" i="3"/>
  <c r="N74" i="3"/>
  <c r="L74" i="3"/>
  <c r="K74" i="3"/>
  <c r="J74" i="3"/>
  <c r="I74" i="3"/>
  <c r="G74" i="3"/>
  <c r="F74" i="3"/>
  <c r="E74" i="3"/>
  <c r="CC72" i="3"/>
  <c r="CB72" i="3"/>
  <c r="BZ72" i="3"/>
  <c r="BX72" i="3"/>
  <c r="BW72" i="3"/>
  <c r="BU72" i="3"/>
  <c r="BS72" i="3"/>
  <c r="BR72" i="3"/>
  <c r="BP72" i="3"/>
  <c r="BN72" i="3"/>
  <c r="BM72" i="3"/>
  <c r="BK72" i="3"/>
  <c r="BI72" i="3"/>
  <c r="BH72" i="3"/>
  <c r="BF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L72" i="3"/>
  <c r="AG72" i="3"/>
  <c r="AB72" i="3"/>
  <c r="W72" i="3"/>
  <c r="R72" i="3"/>
  <c r="M72" i="3"/>
  <c r="H72" i="3"/>
  <c r="CC71" i="3"/>
  <c r="CB71" i="3"/>
  <c r="CA71" i="3"/>
  <c r="BZ71" i="3"/>
  <c r="BX71" i="3"/>
  <c r="BW71" i="3"/>
  <c r="BV71" i="3"/>
  <c r="BU71" i="3"/>
  <c r="BS71" i="3"/>
  <c r="BR71" i="3"/>
  <c r="BQ71" i="3"/>
  <c r="BP71" i="3"/>
  <c r="BN71" i="3"/>
  <c r="BM71" i="3"/>
  <c r="BL71" i="3"/>
  <c r="BK71" i="3"/>
  <c r="BI71" i="3"/>
  <c r="BH71" i="3"/>
  <c r="BG71" i="3"/>
  <c r="BF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R71" i="3"/>
  <c r="Q71" i="3"/>
  <c r="P71" i="3"/>
  <c r="O71" i="3"/>
  <c r="N71" i="3"/>
  <c r="M71" i="3"/>
  <c r="L71" i="3"/>
  <c r="K71" i="3"/>
  <c r="J71" i="3"/>
  <c r="I71" i="3"/>
  <c r="H71" i="3"/>
  <c r="CC70" i="3"/>
  <c r="CB70" i="3"/>
  <c r="BX70" i="3"/>
  <c r="BW70" i="3"/>
  <c r="BS70" i="3"/>
  <c r="BR70" i="3"/>
  <c r="BN70" i="3"/>
  <c r="BM70" i="3"/>
  <c r="BI70" i="3"/>
  <c r="BH70" i="3"/>
  <c r="BD70" i="3"/>
  <c r="BC70" i="3"/>
  <c r="BB70" i="3"/>
  <c r="AZ70" i="3"/>
  <c r="AY70" i="3"/>
  <c r="AX70" i="3"/>
  <c r="AW70" i="3"/>
  <c r="AU70" i="3"/>
  <c r="AT70" i="3"/>
  <c r="AS70" i="3"/>
  <c r="AR70" i="3"/>
  <c r="AP70" i="3"/>
  <c r="AO70" i="3"/>
  <c r="AN70" i="3"/>
  <c r="AM70" i="3"/>
  <c r="AK70" i="3"/>
  <c r="AJ70" i="3"/>
  <c r="AI70" i="3"/>
  <c r="AH70" i="3"/>
  <c r="AF70" i="3"/>
  <c r="AE70" i="3"/>
  <c r="AD70" i="3"/>
  <c r="AC70" i="3"/>
  <c r="AA70" i="3"/>
  <c r="Z70" i="3"/>
  <c r="Y70" i="3"/>
  <c r="X70" i="3"/>
  <c r="V70" i="3"/>
  <c r="U70" i="3"/>
  <c r="T70" i="3"/>
  <c r="S70" i="3"/>
  <c r="Q70" i="3"/>
  <c r="P70" i="3"/>
  <c r="O70" i="3"/>
  <c r="N70" i="3"/>
  <c r="L70" i="3"/>
  <c r="K70" i="3"/>
  <c r="J70" i="3"/>
  <c r="I70" i="3"/>
  <c r="G70" i="3"/>
  <c r="F70" i="3"/>
  <c r="E70" i="3"/>
  <c r="BY69" i="3"/>
  <c r="CD71" i="3" s="1"/>
  <c r="BT69" i="3"/>
  <c r="BO69" i="3"/>
  <c r="BQ72" i="3" s="1"/>
  <c r="BJ69" i="3"/>
  <c r="BL72" i="3" s="1"/>
  <c r="BE69" i="3"/>
  <c r="BG70" i="3" s="1"/>
  <c r="CC63" i="3"/>
  <c r="CB63" i="3"/>
  <c r="BZ63" i="3"/>
  <c r="BX63" i="3"/>
  <c r="BW63" i="3"/>
  <c r="BU63" i="3"/>
  <c r="BS63" i="3"/>
  <c r="BR63" i="3"/>
  <c r="BN63" i="3"/>
  <c r="BM63" i="3"/>
  <c r="BL63" i="3"/>
  <c r="BJ63" i="3"/>
  <c r="BI63" i="3"/>
  <c r="BH63" i="3"/>
  <c r="BY62" i="3"/>
  <c r="BY63" i="3" s="1"/>
  <c r="BT62" i="3"/>
  <c r="BV63" i="3" s="1"/>
  <c r="BO62" i="3"/>
  <c r="CC60" i="3"/>
  <c r="CB60" i="3"/>
  <c r="BZ60" i="3"/>
  <c r="BX60" i="3"/>
  <c r="BW60" i="3"/>
  <c r="BU60" i="3"/>
  <c r="BS60" i="3"/>
  <c r="BR60" i="3"/>
  <c r="BN60" i="3"/>
  <c r="BM60" i="3"/>
  <c r="BL60" i="3"/>
  <c r="BJ60" i="3"/>
  <c r="BI60" i="3"/>
  <c r="BH60" i="3"/>
  <c r="BG60" i="3"/>
  <c r="BY59" i="3"/>
  <c r="BT59" i="3"/>
  <c r="BT60" i="3" s="1"/>
  <c r="BO59" i="3"/>
  <c r="BO60" i="3" s="1"/>
  <c r="CC58" i="3"/>
  <c r="CB58" i="3"/>
  <c r="CA58" i="3"/>
  <c r="BZ58" i="3"/>
  <c r="BX58" i="3"/>
  <c r="BW58" i="3"/>
  <c r="BV58" i="3"/>
  <c r="BU58" i="3"/>
  <c r="BS58" i="3"/>
  <c r="BR58" i="3"/>
  <c r="BQ58" i="3"/>
  <c r="BP58" i="3"/>
  <c r="BN58" i="3"/>
  <c r="BM58" i="3"/>
  <c r="BL58" i="3"/>
  <c r="BK58" i="3"/>
  <c r="BI58" i="3"/>
  <c r="BH58" i="3"/>
  <c r="BG58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CC57" i="3"/>
  <c r="CB57" i="3"/>
  <c r="BX57" i="3"/>
  <c r="BW57" i="3"/>
  <c r="BS57" i="3"/>
  <c r="BR57" i="3"/>
  <c r="BQ57" i="3"/>
  <c r="BO57" i="3"/>
  <c r="BN57" i="3"/>
  <c r="BM57" i="3"/>
  <c r="BI57" i="3"/>
  <c r="BH57" i="3"/>
  <c r="BG57" i="3"/>
  <c r="BE57" i="3"/>
  <c r="BD57" i="3"/>
  <c r="BC57" i="3"/>
  <c r="BB57" i="3"/>
  <c r="AZ57" i="3"/>
  <c r="AY57" i="3"/>
  <c r="AX57" i="3"/>
  <c r="AW57" i="3"/>
  <c r="AU57" i="3"/>
  <c r="AT57" i="3"/>
  <c r="AS57" i="3"/>
  <c r="AR57" i="3"/>
  <c r="AP57" i="3"/>
  <c r="AO57" i="3"/>
  <c r="AN57" i="3"/>
  <c r="AM57" i="3"/>
  <c r="AK57" i="3"/>
  <c r="AJ57" i="3"/>
  <c r="AI57" i="3"/>
  <c r="AH57" i="3"/>
  <c r="AF57" i="3"/>
  <c r="AE57" i="3"/>
  <c r="AD57" i="3"/>
  <c r="AC57" i="3"/>
  <c r="AA57" i="3"/>
  <c r="Z57" i="3"/>
  <c r="Y57" i="3"/>
  <c r="X57" i="3"/>
  <c r="V57" i="3"/>
  <c r="U57" i="3"/>
  <c r="T57" i="3"/>
  <c r="S57" i="3"/>
  <c r="Q57" i="3"/>
  <c r="P57" i="3"/>
  <c r="O57" i="3"/>
  <c r="N57" i="3"/>
  <c r="L57" i="3"/>
  <c r="K57" i="3"/>
  <c r="J57" i="3"/>
  <c r="I57" i="3"/>
  <c r="G57" i="3"/>
  <c r="F57" i="3"/>
  <c r="E57" i="3"/>
  <c r="BY56" i="3"/>
  <c r="CD58" i="3" s="1"/>
  <c r="BT56" i="3"/>
  <c r="BV57" i="3" s="1"/>
  <c r="BJ56" i="3"/>
  <c r="CC55" i="3"/>
  <c r="CB55" i="3"/>
  <c r="CA55" i="3"/>
  <c r="BZ55" i="3"/>
  <c r="BY55" i="3"/>
  <c r="BX55" i="3"/>
  <c r="BW55" i="3"/>
  <c r="BV55" i="3"/>
  <c r="BU55" i="3"/>
  <c r="BT55" i="3"/>
  <c r="BS55" i="3"/>
  <c r="BR55" i="3"/>
  <c r="BQ55" i="3"/>
  <c r="BP55" i="3"/>
  <c r="BO55" i="3"/>
  <c r="BN55" i="3"/>
  <c r="BM55" i="3"/>
  <c r="BL55" i="3"/>
  <c r="BK55" i="3"/>
  <c r="BJ55" i="3"/>
  <c r="BI55" i="3"/>
  <c r="BH55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CC54" i="3"/>
  <c r="CB54" i="3"/>
  <c r="CA54" i="3"/>
  <c r="BY54" i="3"/>
  <c r="BX54" i="3"/>
  <c r="BW54" i="3"/>
  <c r="BV54" i="3"/>
  <c r="BT54" i="3"/>
  <c r="BS54" i="3"/>
  <c r="BR54" i="3"/>
  <c r="BQ54" i="3"/>
  <c r="BO54" i="3"/>
  <c r="BN54" i="3"/>
  <c r="BM54" i="3"/>
  <c r="BL54" i="3"/>
  <c r="BJ54" i="3"/>
  <c r="BI54" i="3"/>
  <c r="BH54" i="3"/>
  <c r="BG54" i="3"/>
  <c r="BE54" i="3"/>
  <c r="BD54" i="3"/>
  <c r="BC54" i="3"/>
  <c r="BB54" i="3"/>
  <c r="AZ54" i="3"/>
  <c r="AY54" i="3"/>
  <c r="AX54" i="3"/>
  <c r="AW54" i="3"/>
  <c r="AU54" i="3"/>
  <c r="AT54" i="3"/>
  <c r="AS54" i="3"/>
  <c r="AR54" i="3"/>
  <c r="AP54" i="3"/>
  <c r="AO54" i="3"/>
  <c r="AN54" i="3"/>
  <c r="AM54" i="3"/>
  <c r="AK54" i="3"/>
  <c r="AJ54" i="3"/>
  <c r="AI54" i="3"/>
  <c r="AH54" i="3"/>
  <c r="AF54" i="3"/>
  <c r="AE54" i="3"/>
  <c r="AD54" i="3"/>
  <c r="AC54" i="3"/>
  <c r="AA54" i="3"/>
  <c r="Z54" i="3"/>
  <c r="Y54" i="3"/>
  <c r="X54" i="3"/>
  <c r="V54" i="3"/>
  <c r="U54" i="3"/>
  <c r="T54" i="3"/>
  <c r="S54" i="3"/>
  <c r="Q54" i="3"/>
  <c r="P54" i="3"/>
  <c r="O54" i="3"/>
  <c r="N54" i="3"/>
  <c r="L54" i="3"/>
  <c r="K54" i="3"/>
  <c r="J54" i="3"/>
  <c r="I54" i="3"/>
  <c r="G54" i="3"/>
  <c r="F54" i="3"/>
  <c r="E54" i="3"/>
  <c r="CC52" i="3"/>
  <c r="CB52" i="3"/>
  <c r="BZ52" i="3"/>
  <c r="BX52" i="3"/>
  <c r="BW52" i="3"/>
  <c r="BV52" i="3"/>
  <c r="BT52" i="3"/>
  <c r="BS52" i="3"/>
  <c r="BR52" i="3"/>
  <c r="CC51" i="3"/>
  <c r="CB51" i="3"/>
  <c r="CA51" i="3"/>
  <c r="BZ51" i="3"/>
  <c r="BX51" i="3"/>
  <c r="BW51" i="3"/>
  <c r="BV51" i="3"/>
  <c r="CC50" i="3"/>
  <c r="CB50" i="3"/>
  <c r="BX50" i="3"/>
  <c r="BW50" i="3"/>
  <c r="BV50" i="3"/>
  <c r="BT50" i="3"/>
  <c r="BS50" i="3"/>
  <c r="BR50" i="3"/>
  <c r="BY49" i="3"/>
  <c r="CD51" i="3" s="1"/>
  <c r="CC47" i="3"/>
  <c r="CB47" i="3"/>
  <c r="BZ47" i="3"/>
  <c r="BX47" i="3"/>
  <c r="BW47" i="3"/>
  <c r="BS47" i="3"/>
  <c r="BR47" i="3"/>
  <c r="CC46" i="3"/>
  <c r="CB46" i="3"/>
  <c r="CA46" i="3"/>
  <c r="BZ46" i="3"/>
  <c r="BX46" i="3"/>
  <c r="BW46" i="3"/>
  <c r="BV46" i="3"/>
  <c r="CC45" i="3"/>
  <c r="CB45" i="3"/>
  <c r="BX45" i="3"/>
  <c r="BW45" i="3"/>
  <c r="BS45" i="3"/>
  <c r="BR45" i="3"/>
  <c r="BY44" i="3"/>
  <c r="CD46" i="3" s="1"/>
  <c r="BT44" i="3"/>
  <c r="BV45" i="3" s="1"/>
  <c r="CC163" i="3"/>
  <c r="CB163" i="3"/>
  <c r="CA163" i="3"/>
  <c r="BY163" i="3"/>
  <c r="BX163" i="3"/>
  <c r="CB161" i="3"/>
  <c r="CA161" i="3"/>
  <c r="BY161" i="3"/>
  <c r="CC43" i="3"/>
  <c r="CB43" i="3"/>
  <c r="BZ43" i="3"/>
  <c r="BX43" i="3"/>
  <c r="BW43" i="3"/>
  <c r="BS43" i="3"/>
  <c r="CC42" i="3"/>
  <c r="BZ42" i="3"/>
  <c r="BX42" i="3"/>
  <c r="CC41" i="3"/>
  <c r="CB41" i="3"/>
  <c r="BX41" i="3"/>
  <c r="BW41" i="3"/>
  <c r="BY40" i="3"/>
  <c r="BT40" i="3"/>
  <c r="BR39" i="3"/>
  <c r="BP39" i="3"/>
  <c r="BN39" i="3"/>
  <c r="BM39" i="3"/>
  <c r="BK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P39" i="3"/>
  <c r="AO39" i="3"/>
  <c r="AN39" i="3"/>
  <c r="BR38" i="3"/>
  <c r="BQ38" i="3"/>
  <c r="BP38" i="3"/>
  <c r="BN38" i="3"/>
  <c r="BM38" i="3"/>
  <c r="BL38" i="3"/>
  <c r="BK38" i="3"/>
  <c r="BI38" i="3"/>
  <c r="BH38" i="3"/>
  <c r="BG38" i="3"/>
  <c r="BF38" i="3"/>
  <c r="BE38" i="3"/>
  <c r="BD38" i="3"/>
  <c r="BC38" i="3"/>
  <c r="BB38" i="3"/>
  <c r="BA38" i="3"/>
  <c r="AZ38" i="3"/>
  <c r="AY38" i="3"/>
  <c r="AX38" i="3"/>
  <c r="AW38" i="3"/>
  <c r="AV38" i="3"/>
  <c r="AT38" i="3"/>
  <c r="AS38" i="3"/>
  <c r="AR38" i="3"/>
  <c r="BR37" i="3"/>
  <c r="BN37" i="3"/>
  <c r="BM37" i="3"/>
  <c r="BI37" i="3"/>
  <c r="BH37" i="3"/>
  <c r="BG37" i="3"/>
  <c r="BE37" i="3"/>
  <c r="BD37" i="3"/>
  <c r="BC37" i="3"/>
  <c r="BB37" i="3"/>
  <c r="AZ37" i="3"/>
  <c r="AY37" i="3"/>
  <c r="AX37" i="3"/>
  <c r="AW37" i="3"/>
  <c r="AU37" i="3"/>
  <c r="AT37" i="3"/>
  <c r="AS37" i="3"/>
  <c r="AR37" i="3"/>
  <c r="AP37" i="3"/>
  <c r="AO37" i="3"/>
  <c r="AN37" i="3"/>
  <c r="CC36" i="3"/>
  <c r="CH38" i="3" s="1"/>
  <c r="CB36" i="3"/>
  <c r="CG38" i="3" s="1"/>
  <c r="CA36" i="3"/>
  <c r="CF38" i="3" s="1"/>
  <c r="BZ36" i="3"/>
  <c r="BX36" i="3"/>
  <c r="BW36" i="3"/>
  <c r="BV36" i="3"/>
  <c r="BV38" i="3" s="1"/>
  <c r="BU36" i="3"/>
  <c r="BU39" i="3" s="1"/>
  <c r="BS36" i="3"/>
  <c r="BS38" i="3" s="1"/>
  <c r="BO36" i="3"/>
  <c r="BO37" i="3" s="1"/>
  <c r="BJ36" i="3"/>
  <c r="BJ39" i="3" s="1"/>
  <c r="CC34" i="3"/>
  <c r="CB34" i="3"/>
  <c r="BZ34" i="3"/>
  <c r="BX34" i="3"/>
  <c r="BW34" i="3"/>
  <c r="BS34" i="3"/>
  <c r="BR34" i="3"/>
  <c r="CC33" i="3"/>
  <c r="CB33" i="3"/>
  <c r="CA33" i="3"/>
  <c r="BZ33" i="3"/>
  <c r="BX33" i="3"/>
  <c r="BW33" i="3"/>
  <c r="BV33" i="3"/>
  <c r="CC32" i="3"/>
  <c r="CB32" i="3"/>
  <c r="BX32" i="3"/>
  <c r="BW32" i="3"/>
  <c r="BS32" i="3"/>
  <c r="BR32" i="3"/>
  <c r="BY31" i="3"/>
  <c r="CA34" i="3" s="1"/>
  <c r="BT31" i="3"/>
  <c r="BV32" i="3" s="1"/>
  <c r="CC30" i="3"/>
  <c r="CB30" i="3"/>
  <c r="BZ30" i="3"/>
  <c r="BX30" i="3"/>
  <c r="BW30" i="3"/>
  <c r="BS30" i="3"/>
  <c r="BR30" i="3"/>
  <c r="CC29" i="3"/>
  <c r="CB29" i="3"/>
  <c r="CA29" i="3"/>
  <c r="BZ29" i="3"/>
  <c r="BX29" i="3"/>
  <c r="BW29" i="3"/>
  <c r="BV29" i="3"/>
  <c r="CC28" i="3"/>
  <c r="CB28" i="3"/>
  <c r="BX28" i="3"/>
  <c r="BW28" i="3"/>
  <c r="BS28" i="3"/>
  <c r="BR28" i="3"/>
  <c r="BY27" i="3"/>
  <c r="CD29" i="3" s="1"/>
  <c r="BT27" i="3"/>
  <c r="BV30" i="3" s="1"/>
  <c r="BU23" i="3"/>
  <c r="BP23" i="3"/>
  <c r="BN23" i="3"/>
  <c r="BM23" i="3"/>
  <c r="BL23" i="3"/>
  <c r="BJ23" i="3"/>
  <c r="BI23" i="3"/>
  <c r="BH23" i="3"/>
  <c r="BG23" i="3"/>
  <c r="BE23" i="3"/>
  <c r="BD23" i="3"/>
  <c r="BC23" i="3"/>
  <c r="AY23" i="3"/>
  <c r="AL23" i="3"/>
  <c r="AG23" i="3"/>
  <c r="AB23" i="3"/>
  <c r="W23" i="3"/>
  <c r="R23" i="3"/>
  <c r="M23" i="3"/>
  <c r="H23" i="3"/>
  <c r="BU22" i="3"/>
  <c r="BP22" i="3"/>
  <c r="BN22" i="3"/>
  <c r="BM22" i="3"/>
  <c r="BL22" i="3"/>
  <c r="BJ22" i="3"/>
  <c r="BI22" i="3"/>
  <c r="BH22" i="3"/>
  <c r="BG22" i="3"/>
  <c r="BD22" i="3"/>
  <c r="BC22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BN21" i="3"/>
  <c r="BM21" i="3"/>
  <c r="BL21" i="3"/>
  <c r="BJ21" i="3"/>
  <c r="BI21" i="3"/>
  <c r="BH21" i="3"/>
  <c r="BG21" i="3"/>
  <c r="BE21" i="3"/>
  <c r="BD21" i="3"/>
  <c r="BC21" i="3"/>
  <c r="AY21" i="3"/>
  <c r="AK21" i="3"/>
  <c r="AJ21" i="3"/>
  <c r="AI21" i="3"/>
  <c r="AH21" i="3"/>
  <c r="AF21" i="3"/>
  <c r="AE21" i="3"/>
  <c r="AD21" i="3"/>
  <c r="AC21" i="3"/>
  <c r="AA21" i="3"/>
  <c r="Z21" i="3"/>
  <c r="Y21" i="3"/>
  <c r="X21" i="3"/>
  <c r="V21" i="3"/>
  <c r="U21" i="3"/>
  <c r="T21" i="3"/>
  <c r="S21" i="3"/>
  <c r="Q21" i="3"/>
  <c r="P21" i="3"/>
  <c r="O21" i="3"/>
  <c r="N21" i="3"/>
  <c r="L21" i="3"/>
  <c r="K21" i="3"/>
  <c r="J21" i="3"/>
  <c r="I21" i="3"/>
  <c r="G21" i="3"/>
  <c r="F21" i="3"/>
  <c r="E21" i="3"/>
  <c r="CC20" i="3"/>
  <c r="CB20" i="3"/>
  <c r="CA20" i="3"/>
  <c r="BZ20" i="3"/>
  <c r="BZ24" i="3" s="1"/>
  <c r="BX20" i="3"/>
  <c r="BX24" i="3" s="1"/>
  <c r="BW20" i="3"/>
  <c r="BV20" i="3"/>
  <c r="BS20" i="3"/>
  <c r="BR20" i="3"/>
  <c r="BQ20" i="3"/>
  <c r="BQ22" i="3" s="1"/>
  <c r="BO20" i="3"/>
  <c r="BO23" i="3" s="1"/>
  <c r="BF20" i="3"/>
  <c r="BK22" i="3" s="1"/>
  <c r="BA20" i="3"/>
  <c r="AZ20" i="3"/>
  <c r="BE22" i="3" s="1"/>
  <c r="AW20" i="3"/>
  <c r="AX21" i="3" s="1"/>
  <c r="AV20" i="3"/>
  <c r="AU20" i="3"/>
  <c r="AT20" i="3"/>
  <c r="AY22" i="3" s="1"/>
  <c r="AS20" i="3"/>
  <c r="AR20" i="3"/>
  <c r="AQ20" i="3"/>
  <c r="AQ23" i="3" s="1"/>
  <c r="AP20" i="3"/>
  <c r="AP22" i="3" s="1"/>
  <c r="AO20" i="3"/>
  <c r="AN20" i="3"/>
  <c r="CC14" i="3"/>
  <c r="CB14" i="3"/>
  <c r="CA14" i="3"/>
  <c r="BZ14" i="3"/>
  <c r="BZ18" i="3" s="1"/>
  <c r="BX14" i="3"/>
  <c r="BW14" i="3"/>
  <c r="BV14" i="3"/>
  <c r="BU14" i="3"/>
  <c r="BU18" i="3" s="1"/>
  <c r="BS14" i="3"/>
  <c r="BR14" i="3"/>
  <c r="BQ14" i="3"/>
  <c r="BF12" i="3"/>
  <c r="BA12" i="3"/>
  <c r="AZ12" i="3"/>
  <c r="AW12" i="3"/>
  <c r="AV12" i="3"/>
  <c r="AU12" i="3"/>
  <c r="AT12" i="3"/>
  <c r="AS12" i="3"/>
  <c r="AR12" i="3"/>
  <c r="AQ12" i="3"/>
  <c r="AP12" i="3"/>
  <c r="AO12" i="3"/>
  <c r="AL12" i="3"/>
  <c r="AG12" i="3"/>
  <c r="AB12" i="3"/>
  <c r="W12" i="3"/>
  <c r="R12" i="3"/>
  <c r="M12" i="3"/>
  <c r="H12" i="3"/>
  <c r="BF11" i="3"/>
  <c r="BA11" i="3"/>
  <c r="AZ11" i="3"/>
  <c r="AY11" i="3"/>
  <c r="AW11" i="3"/>
  <c r="AV11" i="3"/>
  <c r="AU11" i="3"/>
  <c r="AT11" i="3"/>
  <c r="AS11" i="3"/>
  <c r="AQ11" i="3"/>
  <c r="AP11" i="3"/>
  <c r="AO11" i="3"/>
  <c r="AN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AZ10" i="3"/>
  <c r="AW10" i="3"/>
  <c r="AU10" i="3"/>
  <c r="AT10" i="3"/>
  <c r="AS10" i="3"/>
  <c r="AR10" i="3"/>
  <c r="AP10" i="3"/>
  <c r="AO10" i="3"/>
  <c r="AK10" i="3"/>
  <c r="AJ10" i="3"/>
  <c r="AI10" i="3"/>
  <c r="AH10" i="3"/>
  <c r="AF10" i="3"/>
  <c r="AE10" i="3"/>
  <c r="AD10" i="3"/>
  <c r="AC10" i="3"/>
  <c r="AA10" i="3"/>
  <c r="Z10" i="3"/>
  <c r="Y10" i="3"/>
  <c r="X10" i="3"/>
  <c r="V10" i="3"/>
  <c r="U10" i="3"/>
  <c r="T10" i="3"/>
  <c r="S10" i="3"/>
  <c r="Q10" i="3"/>
  <c r="P10" i="3"/>
  <c r="O10" i="3"/>
  <c r="N10" i="3"/>
  <c r="L10" i="3"/>
  <c r="K10" i="3"/>
  <c r="J10" i="3"/>
  <c r="I10" i="3"/>
  <c r="G10" i="3"/>
  <c r="F10" i="3"/>
  <c r="E10" i="3"/>
  <c r="BP9" i="3"/>
  <c r="BN9" i="3"/>
  <c r="BM9" i="3"/>
  <c r="BL9" i="3"/>
  <c r="BK9" i="3"/>
  <c r="BI9" i="3"/>
  <c r="BH9" i="3"/>
  <c r="BG9" i="3"/>
  <c r="BE9" i="3"/>
  <c r="BE11" i="3" s="1"/>
  <c r="BD9" i="3"/>
  <c r="BD11" i="3" s="1"/>
  <c r="BC9" i="3"/>
  <c r="BB9" i="3"/>
  <c r="BB12" i="3" s="1"/>
  <c r="AX9" i="3"/>
  <c r="AY10" i="3" s="1"/>
  <c r="AM9" i="3"/>
  <c r="AM20" i="3" s="1"/>
  <c r="J43" i="14"/>
  <c r="J46" i="14" s="1"/>
  <c r="P102" i="14"/>
  <c r="O102" i="14"/>
  <c r="N102" i="14"/>
  <c r="M102" i="14"/>
  <c r="K102" i="14"/>
  <c r="J102" i="14"/>
  <c r="I102" i="14"/>
  <c r="H102" i="14"/>
  <c r="P101" i="14"/>
  <c r="O101" i="14"/>
  <c r="M101" i="14"/>
  <c r="P100" i="14"/>
  <c r="O100" i="14"/>
  <c r="K100" i="14"/>
  <c r="Q99" i="14"/>
  <c r="L99" i="14"/>
  <c r="L100" i="14" s="1"/>
  <c r="P98" i="14"/>
  <c r="P97" i="14"/>
  <c r="J97" i="14"/>
  <c r="Q96" i="14"/>
  <c r="Q97" i="14" s="1"/>
  <c r="L96" i="14"/>
  <c r="K88" i="14"/>
  <c r="K91" i="14" s="1"/>
  <c r="J88" i="14"/>
  <c r="I88" i="14"/>
  <c r="J86" i="14"/>
  <c r="P85" i="14"/>
  <c r="O85" i="14"/>
  <c r="O88" i="14" s="1"/>
  <c r="N85" i="14"/>
  <c r="N88" i="14" s="1"/>
  <c r="M85" i="14"/>
  <c r="M88" i="14" s="1"/>
  <c r="H85" i="14"/>
  <c r="H88" i="14" s="1"/>
  <c r="Q82" i="14"/>
  <c r="L82" i="14"/>
  <c r="P79" i="14"/>
  <c r="O79" i="14"/>
  <c r="N79" i="14"/>
  <c r="M79" i="14"/>
  <c r="P78" i="14"/>
  <c r="O78" i="14"/>
  <c r="K78" i="14"/>
  <c r="J78" i="14"/>
  <c r="Q77" i="14"/>
  <c r="L77" i="14"/>
  <c r="L78" i="14" s="1"/>
  <c r="P76" i="14"/>
  <c r="O76" i="14"/>
  <c r="N76" i="14"/>
  <c r="M76" i="14"/>
  <c r="P75" i="14"/>
  <c r="O75" i="14"/>
  <c r="K75" i="14"/>
  <c r="J75" i="14"/>
  <c r="Q74" i="14"/>
  <c r="L74" i="14"/>
  <c r="L75" i="14" s="1"/>
  <c r="P73" i="14"/>
  <c r="O73" i="14"/>
  <c r="N73" i="14"/>
  <c r="M73" i="14"/>
  <c r="P72" i="14"/>
  <c r="O72" i="14"/>
  <c r="K72" i="14"/>
  <c r="J72" i="14"/>
  <c r="Q71" i="14"/>
  <c r="Q72" i="14" s="1"/>
  <c r="L71" i="14"/>
  <c r="L72" i="14" s="1"/>
  <c r="P69" i="14"/>
  <c r="O69" i="14"/>
  <c r="N69" i="14"/>
  <c r="M69" i="14"/>
  <c r="P68" i="14"/>
  <c r="O68" i="14"/>
  <c r="K68" i="14"/>
  <c r="J68" i="14"/>
  <c r="Q67" i="14"/>
  <c r="L67" i="14"/>
  <c r="L68" i="14" s="1"/>
  <c r="Q58" i="14"/>
  <c r="L58" i="14"/>
  <c r="J55" i="14"/>
  <c r="J60" i="14" s="1"/>
  <c r="E55" i="14"/>
  <c r="E60" i="14" s="1"/>
  <c r="J54" i="14"/>
  <c r="E54" i="14"/>
  <c r="J53" i="14"/>
  <c r="P51" i="14"/>
  <c r="P55" i="14" s="1"/>
  <c r="O51" i="14"/>
  <c r="O55" i="14" s="1"/>
  <c r="N51" i="14"/>
  <c r="N55" i="14" s="1"/>
  <c r="N60" i="14" s="1"/>
  <c r="M51" i="14"/>
  <c r="K51" i="14"/>
  <c r="I51" i="14"/>
  <c r="J52" i="14" s="1"/>
  <c r="H51" i="14"/>
  <c r="H54" i="14" s="1"/>
  <c r="F51" i="14"/>
  <c r="F55" i="14" s="1"/>
  <c r="D51" i="14"/>
  <c r="D55" i="14" s="1"/>
  <c r="D60" i="14" s="1"/>
  <c r="C51" i="14"/>
  <c r="C55" i="14" s="1"/>
  <c r="C60" i="14" s="1"/>
  <c r="P50" i="14"/>
  <c r="O50" i="14"/>
  <c r="N50" i="14"/>
  <c r="M50" i="14"/>
  <c r="K50" i="14"/>
  <c r="J50" i="14"/>
  <c r="I50" i="14"/>
  <c r="H50" i="14"/>
  <c r="P49" i="14"/>
  <c r="O49" i="14"/>
  <c r="K49" i="14"/>
  <c r="J49" i="14"/>
  <c r="F49" i="14"/>
  <c r="E49" i="14"/>
  <c r="Q48" i="14"/>
  <c r="L48" i="14"/>
  <c r="G48" i="14"/>
  <c r="G49" i="14" s="1"/>
  <c r="O42" i="14"/>
  <c r="M42" i="14"/>
  <c r="K42" i="14"/>
  <c r="J42" i="14"/>
  <c r="I42" i="14"/>
  <c r="O41" i="14"/>
  <c r="K41" i="14"/>
  <c r="F41" i="14"/>
  <c r="Q40" i="14"/>
  <c r="L40" i="14"/>
  <c r="G40" i="14"/>
  <c r="I41" i="14" s="1"/>
  <c r="P39" i="14"/>
  <c r="H39" i="14"/>
  <c r="P38" i="14"/>
  <c r="O38" i="14"/>
  <c r="J38" i="14"/>
  <c r="E38" i="14"/>
  <c r="Q37" i="14"/>
  <c r="Q38" i="14" s="1"/>
  <c r="L37" i="14"/>
  <c r="G37" i="14"/>
  <c r="K29" i="14"/>
  <c r="J29" i="14"/>
  <c r="I29" i="14"/>
  <c r="F29" i="14"/>
  <c r="E29" i="14"/>
  <c r="D29" i="14"/>
  <c r="D32" i="14" s="1"/>
  <c r="D35" i="14" s="1"/>
  <c r="C29" i="14"/>
  <c r="C32" i="14" s="1"/>
  <c r="C35" i="14" s="1"/>
  <c r="K28" i="14"/>
  <c r="J27" i="14"/>
  <c r="F27" i="14"/>
  <c r="E27" i="14"/>
  <c r="P26" i="14"/>
  <c r="P29" i="14" s="1"/>
  <c r="O26" i="14"/>
  <c r="N26" i="14"/>
  <c r="N29" i="14" s="1"/>
  <c r="M26" i="14"/>
  <c r="M29" i="14" s="1"/>
  <c r="H26" i="14"/>
  <c r="H28" i="14" s="1"/>
  <c r="Q23" i="14"/>
  <c r="L23" i="14"/>
  <c r="P20" i="14"/>
  <c r="O20" i="14"/>
  <c r="N20" i="14"/>
  <c r="M20" i="14"/>
  <c r="K20" i="14"/>
  <c r="J20" i="14"/>
  <c r="I20" i="14"/>
  <c r="H20" i="14"/>
  <c r="P19" i="14"/>
  <c r="O19" i="14"/>
  <c r="K19" i="14"/>
  <c r="J19" i="14"/>
  <c r="F19" i="14"/>
  <c r="E19" i="14"/>
  <c r="Q18" i="14"/>
  <c r="Q19" i="14" s="1"/>
  <c r="L18" i="14"/>
  <c r="N19" i="14" s="1"/>
  <c r="G18" i="14"/>
  <c r="G19" i="14" s="1"/>
  <c r="P17" i="14"/>
  <c r="O17" i="14"/>
  <c r="N17" i="14"/>
  <c r="M17" i="14"/>
  <c r="K17" i="14"/>
  <c r="J17" i="14"/>
  <c r="I17" i="14"/>
  <c r="H17" i="14"/>
  <c r="P16" i="14"/>
  <c r="O16" i="14"/>
  <c r="K16" i="14"/>
  <c r="J16" i="14"/>
  <c r="F16" i="14"/>
  <c r="E16" i="14"/>
  <c r="Q15" i="14"/>
  <c r="L15" i="14"/>
  <c r="G15" i="14"/>
  <c r="I16" i="14" s="1"/>
  <c r="P14" i="14"/>
  <c r="O14" i="14"/>
  <c r="N14" i="14"/>
  <c r="M14" i="14"/>
  <c r="K14" i="14"/>
  <c r="J14" i="14"/>
  <c r="I14" i="14"/>
  <c r="H14" i="14"/>
  <c r="P13" i="14"/>
  <c r="O13" i="14"/>
  <c r="K13" i="14"/>
  <c r="J13" i="14"/>
  <c r="F13" i="14"/>
  <c r="E13" i="14"/>
  <c r="Q12" i="14"/>
  <c r="Q13" i="14" s="1"/>
  <c r="L12" i="14"/>
  <c r="G12" i="14"/>
  <c r="I13" i="14" s="1"/>
  <c r="P10" i="14"/>
  <c r="O10" i="14"/>
  <c r="N10" i="14"/>
  <c r="M10" i="14"/>
  <c r="K10" i="14"/>
  <c r="J10" i="14"/>
  <c r="I10" i="14"/>
  <c r="H10" i="14"/>
  <c r="P9" i="14"/>
  <c r="O9" i="14"/>
  <c r="K9" i="14"/>
  <c r="J9" i="14"/>
  <c r="F9" i="14"/>
  <c r="E9" i="14"/>
  <c r="Q8" i="14"/>
  <c r="L8" i="14"/>
  <c r="N9" i="14" s="1"/>
  <c r="G8" i="14"/>
  <c r="G9" i="14" s="1"/>
  <c r="P70" i="13"/>
  <c r="K70" i="13"/>
  <c r="L67" i="13"/>
  <c r="J67" i="13"/>
  <c r="L65" i="13"/>
  <c r="J65" i="13"/>
  <c r="O62" i="13"/>
  <c r="O65" i="13" s="1"/>
  <c r="N62" i="13"/>
  <c r="N65" i="13" s="1"/>
  <c r="M62" i="13"/>
  <c r="I62" i="13"/>
  <c r="I65" i="13" s="1"/>
  <c r="H62" i="13"/>
  <c r="G62" i="13"/>
  <c r="L64" i="13" s="1"/>
  <c r="E62" i="13"/>
  <c r="D62" i="13"/>
  <c r="D67" i="13" s="1"/>
  <c r="C62" i="13"/>
  <c r="C65" i="13" s="1"/>
  <c r="O61" i="13"/>
  <c r="N61" i="13"/>
  <c r="M61" i="13"/>
  <c r="L61" i="13"/>
  <c r="J61" i="13"/>
  <c r="I61" i="13"/>
  <c r="H61" i="13"/>
  <c r="O60" i="13"/>
  <c r="N60" i="13"/>
  <c r="J60" i="13"/>
  <c r="I60" i="13"/>
  <c r="E60" i="13"/>
  <c r="D60" i="13"/>
  <c r="P59" i="13"/>
  <c r="K59" i="13"/>
  <c r="F59" i="13"/>
  <c r="H60" i="13" s="1"/>
  <c r="O51" i="13"/>
  <c r="O54" i="13" s="1"/>
  <c r="N51" i="13"/>
  <c r="N54" i="13" s="1"/>
  <c r="M51" i="13"/>
  <c r="L51" i="13"/>
  <c r="L54" i="13" s="1"/>
  <c r="J51" i="13"/>
  <c r="I51" i="13"/>
  <c r="H51" i="13"/>
  <c r="H54" i="13" s="1"/>
  <c r="G51" i="13"/>
  <c r="E51" i="13"/>
  <c r="E54" i="13" s="1"/>
  <c r="D51" i="13"/>
  <c r="D54" i="13" s="1"/>
  <c r="C51" i="13"/>
  <c r="C54" i="13" s="1"/>
  <c r="N50" i="13"/>
  <c r="M50" i="13"/>
  <c r="L50" i="13"/>
  <c r="J50" i="13"/>
  <c r="I50" i="13"/>
  <c r="H50" i="13"/>
  <c r="N49" i="13"/>
  <c r="J49" i="13"/>
  <c r="I49" i="13"/>
  <c r="E49" i="13"/>
  <c r="D49" i="13"/>
  <c r="P48" i="13"/>
  <c r="K48" i="13"/>
  <c r="M49" i="13" s="1"/>
  <c r="F48" i="13"/>
  <c r="H49" i="13" s="1"/>
  <c r="J40" i="13"/>
  <c r="J39" i="13"/>
  <c r="I39" i="13"/>
  <c r="H39" i="13"/>
  <c r="J38" i="13"/>
  <c r="I38" i="13"/>
  <c r="E38" i="13"/>
  <c r="D38" i="13"/>
  <c r="O37" i="13"/>
  <c r="O40" i="13" s="1"/>
  <c r="N37" i="13"/>
  <c r="N40" i="13" s="1"/>
  <c r="M37" i="13"/>
  <c r="L37" i="13"/>
  <c r="L40" i="13" s="1"/>
  <c r="F37" i="13"/>
  <c r="H38" i="13" s="1"/>
  <c r="P35" i="13"/>
  <c r="K35" i="13"/>
  <c r="L33" i="13"/>
  <c r="O32" i="13"/>
  <c r="N32" i="13"/>
  <c r="E32" i="13"/>
  <c r="D32" i="13"/>
  <c r="P31" i="13"/>
  <c r="J31" i="13"/>
  <c r="J33" i="13" s="1"/>
  <c r="F31" i="13"/>
  <c r="F32" i="13" s="1"/>
  <c r="O30" i="13"/>
  <c r="N30" i="13"/>
  <c r="M30" i="13"/>
  <c r="L30" i="13"/>
  <c r="J30" i="13"/>
  <c r="I30" i="13"/>
  <c r="H30" i="13"/>
  <c r="O29" i="13"/>
  <c r="N29" i="13"/>
  <c r="J29" i="13"/>
  <c r="I29" i="13"/>
  <c r="E29" i="13"/>
  <c r="D29" i="13"/>
  <c r="P28" i="13"/>
  <c r="K28" i="13"/>
  <c r="M29" i="13" s="1"/>
  <c r="F28" i="13"/>
  <c r="H29" i="13" s="1"/>
  <c r="O27" i="13"/>
  <c r="O26" i="13"/>
  <c r="N26" i="13"/>
  <c r="P25" i="13"/>
  <c r="I25" i="13"/>
  <c r="J26" i="13" s="1"/>
  <c r="H25" i="13"/>
  <c r="H31" i="13" s="1"/>
  <c r="M33" i="13" s="1"/>
  <c r="G25" i="13"/>
  <c r="E25" i="13"/>
  <c r="J27" i="13" s="1"/>
  <c r="D25" i="13"/>
  <c r="D40" i="13" s="1"/>
  <c r="C25" i="13"/>
  <c r="L23" i="13"/>
  <c r="G23" i="13"/>
  <c r="L21" i="13"/>
  <c r="G21" i="13"/>
  <c r="O10" i="13"/>
  <c r="N10" i="13"/>
  <c r="M10" i="13"/>
  <c r="L10" i="13"/>
  <c r="J10" i="13"/>
  <c r="I10" i="13"/>
  <c r="H10" i="13"/>
  <c r="O9" i="13"/>
  <c r="N9" i="13"/>
  <c r="J9" i="13"/>
  <c r="I9" i="13"/>
  <c r="E9" i="13"/>
  <c r="D9" i="13"/>
  <c r="P8" i="13"/>
  <c r="P9" i="13" s="1"/>
  <c r="K8" i="13"/>
  <c r="M9" i="13" s="1"/>
  <c r="F8" i="13"/>
  <c r="F9" i="13" s="1"/>
  <c r="Q76" i="12"/>
  <c r="L76" i="12"/>
  <c r="O73" i="12"/>
  <c r="N73" i="12"/>
  <c r="N78" i="12" s="1"/>
  <c r="I73" i="12"/>
  <c r="I78" i="12" s="1"/>
  <c r="H73" i="12"/>
  <c r="H78" i="12" s="1"/>
  <c r="F73" i="12"/>
  <c r="F78" i="12" s="1"/>
  <c r="D73" i="12"/>
  <c r="D78" i="12" s="1"/>
  <c r="N70" i="12"/>
  <c r="I70" i="12"/>
  <c r="O69" i="12"/>
  <c r="P68" i="12"/>
  <c r="P69" i="12" s="1"/>
  <c r="M68" i="12"/>
  <c r="M73" i="12" s="1"/>
  <c r="K68" i="12"/>
  <c r="K70" i="12" s="1"/>
  <c r="J68" i="12"/>
  <c r="E68" i="12"/>
  <c r="G68" i="12" s="1"/>
  <c r="C68" i="12"/>
  <c r="H70" i="12" s="1"/>
  <c r="P67" i="12"/>
  <c r="O67" i="12"/>
  <c r="N67" i="12"/>
  <c r="M67" i="12"/>
  <c r="K67" i="12"/>
  <c r="J67" i="12"/>
  <c r="I67" i="12"/>
  <c r="H67" i="12"/>
  <c r="P66" i="12"/>
  <c r="O66" i="12"/>
  <c r="K66" i="12"/>
  <c r="J66" i="12"/>
  <c r="F66" i="12"/>
  <c r="E66" i="12"/>
  <c r="Q65" i="12"/>
  <c r="L65" i="12"/>
  <c r="N66" i="12" s="1"/>
  <c r="G65" i="12"/>
  <c r="P56" i="12"/>
  <c r="O56" i="12"/>
  <c r="N56" i="12"/>
  <c r="M56" i="12"/>
  <c r="K56" i="12"/>
  <c r="J56" i="12"/>
  <c r="I56" i="12"/>
  <c r="H56" i="12"/>
  <c r="F56" i="12"/>
  <c r="E56" i="12"/>
  <c r="D56" i="12"/>
  <c r="C56" i="12"/>
  <c r="P55" i="12"/>
  <c r="O55" i="12"/>
  <c r="N55" i="12"/>
  <c r="M55" i="12"/>
  <c r="K55" i="12"/>
  <c r="J55" i="12"/>
  <c r="I55" i="12"/>
  <c r="H55" i="12"/>
  <c r="P54" i="12"/>
  <c r="O54" i="12"/>
  <c r="K54" i="12"/>
  <c r="J54" i="12"/>
  <c r="F54" i="12"/>
  <c r="E54" i="12"/>
  <c r="Q53" i="12"/>
  <c r="L53" i="12"/>
  <c r="L54" i="12" s="1"/>
  <c r="G53" i="12"/>
  <c r="G54" i="12" s="1"/>
  <c r="K44" i="12"/>
  <c r="J44" i="12"/>
  <c r="I44" i="12"/>
  <c r="F44" i="12"/>
  <c r="F47" i="12" s="1"/>
  <c r="E44" i="12"/>
  <c r="E47" i="12" s="1"/>
  <c r="D44" i="12"/>
  <c r="D47" i="12" s="1"/>
  <c r="K43" i="12"/>
  <c r="J43" i="12"/>
  <c r="I43" i="12"/>
  <c r="J42" i="12"/>
  <c r="F42" i="12"/>
  <c r="E42" i="12"/>
  <c r="Q39" i="12"/>
  <c r="L39" i="12"/>
  <c r="P37" i="12"/>
  <c r="O37" i="12"/>
  <c r="N37" i="12"/>
  <c r="M37" i="12"/>
  <c r="K37" i="12"/>
  <c r="J37" i="12"/>
  <c r="I37" i="12"/>
  <c r="H37" i="12"/>
  <c r="P36" i="12"/>
  <c r="O36" i="12"/>
  <c r="K36" i="12"/>
  <c r="J36" i="12"/>
  <c r="F36" i="12"/>
  <c r="E36" i="12"/>
  <c r="Q35" i="12"/>
  <c r="Q36" i="12" s="1"/>
  <c r="L35" i="12"/>
  <c r="L36" i="12" s="1"/>
  <c r="G35" i="12"/>
  <c r="P34" i="12"/>
  <c r="O34" i="12"/>
  <c r="N34" i="12"/>
  <c r="M34" i="12"/>
  <c r="K34" i="12"/>
  <c r="J34" i="12"/>
  <c r="I34" i="12"/>
  <c r="H34" i="12"/>
  <c r="P33" i="12"/>
  <c r="O33" i="12"/>
  <c r="K33" i="12"/>
  <c r="J33" i="12"/>
  <c r="F33" i="12"/>
  <c r="E33" i="12"/>
  <c r="Q32" i="12"/>
  <c r="L32" i="12"/>
  <c r="G32" i="12"/>
  <c r="I33" i="12" s="1"/>
  <c r="P31" i="12"/>
  <c r="O31" i="12"/>
  <c r="N31" i="12"/>
  <c r="M31" i="12"/>
  <c r="K31" i="12"/>
  <c r="J31" i="12"/>
  <c r="I31" i="12"/>
  <c r="P30" i="12"/>
  <c r="O30" i="12"/>
  <c r="K30" i="12"/>
  <c r="J30" i="12"/>
  <c r="F30" i="12"/>
  <c r="E30" i="12"/>
  <c r="Q29" i="12"/>
  <c r="L29" i="12"/>
  <c r="N30" i="12" s="1"/>
  <c r="G29" i="12"/>
  <c r="G30" i="12" s="1"/>
  <c r="C29" i="12"/>
  <c r="P20" i="12"/>
  <c r="O20" i="12"/>
  <c r="N20" i="12"/>
  <c r="M20" i="12"/>
  <c r="K20" i="12"/>
  <c r="J20" i="12"/>
  <c r="I20" i="12"/>
  <c r="H20" i="12"/>
  <c r="P19" i="12"/>
  <c r="O19" i="12"/>
  <c r="K19" i="12"/>
  <c r="J19" i="12"/>
  <c r="F19" i="12"/>
  <c r="E19" i="12"/>
  <c r="Q18" i="12"/>
  <c r="L18" i="12"/>
  <c r="N19" i="12" s="1"/>
  <c r="G18" i="12"/>
  <c r="G19" i="12" s="1"/>
  <c r="Q12" i="12"/>
  <c r="L12" i="12"/>
  <c r="G12" i="12"/>
  <c r="P8" i="12"/>
  <c r="O8" i="12"/>
  <c r="N8" i="12"/>
  <c r="N71" i="12" s="1"/>
  <c r="M8" i="12"/>
  <c r="M41" i="12" s="1"/>
  <c r="K8" i="12"/>
  <c r="J8" i="12"/>
  <c r="I8" i="12"/>
  <c r="I71" i="12" s="1"/>
  <c r="H8" i="12"/>
  <c r="H71" i="12" s="1"/>
  <c r="F8" i="12"/>
  <c r="E8" i="12"/>
  <c r="D8" i="12"/>
  <c r="D71" i="12" s="1"/>
  <c r="C8" i="12"/>
  <c r="C27" i="12" s="1"/>
  <c r="CO25" i="23"/>
  <c r="FN23" i="23"/>
  <c r="FF23" i="23"/>
  <c r="EX23" i="23"/>
  <c r="EP23" i="23"/>
  <c r="EH23" i="23"/>
  <c r="DY23" i="23"/>
  <c r="DQ23" i="23"/>
  <c r="DI23" i="23"/>
  <c r="DA23" i="23"/>
  <c r="CS23" i="23"/>
  <c r="CK23" i="23"/>
  <c r="CC23" i="23"/>
  <c r="BU23" i="23"/>
  <c r="BM23" i="23"/>
  <c r="BE23" i="23"/>
  <c r="AW23" i="23"/>
  <c r="AO23" i="23"/>
  <c r="AG23" i="23"/>
  <c r="Y23" i="23"/>
  <c r="Q23" i="23"/>
  <c r="I23" i="23"/>
  <c r="FM19" i="23"/>
  <c r="FM25" i="23" s="1"/>
  <c r="FL19" i="23"/>
  <c r="FL25" i="23" s="1"/>
  <c r="FK19" i="23"/>
  <c r="FK25" i="23" s="1"/>
  <c r="FJ19" i="23"/>
  <c r="FJ25" i="23" s="1"/>
  <c r="FI19" i="23"/>
  <c r="FI25" i="23" s="1"/>
  <c r="FH19" i="23"/>
  <c r="FE19" i="23"/>
  <c r="FE25" i="23" s="1"/>
  <c r="FD19" i="23"/>
  <c r="FD25" i="23" s="1"/>
  <c r="FC19" i="23"/>
  <c r="FC25" i="23" s="1"/>
  <c r="FB19" i="23"/>
  <c r="FB25" i="23" s="1"/>
  <c r="FA19" i="23"/>
  <c r="FA25" i="23" s="1"/>
  <c r="EZ19" i="23"/>
  <c r="EZ25" i="23" s="1"/>
  <c r="EW19" i="23"/>
  <c r="EW25" i="23" s="1"/>
  <c r="EV19" i="23"/>
  <c r="EV25" i="23" s="1"/>
  <c r="EU19" i="23"/>
  <c r="EU25" i="23" s="1"/>
  <c r="ET19" i="23"/>
  <c r="ET25" i="23" s="1"/>
  <c r="ES19" i="23"/>
  <c r="ES25" i="23" s="1"/>
  <c r="ER19" i="23"/>
  <c r="ER25" i="23" s="1"/>
  <c r="EO19" i="23"/>
  <c r="EO25" i="23" s="1"/>
  <c r="EN19" i="23"/>
  <c r="EN25" i="23" s="1"/>
  <c r="EM19" i="23"/>
  <c r="EM25" i="23" s="1"/>
  <c r="EL19" i="23"/>
  <c r="EL25" i="23" s="1"/>
  <c r="EK19" i="23"/>
  <c r="EK25" i="23" s="1"/>
  <c r="EJ19" i="23"/>
  <c r="EG19" i="23"/>
  <c r="EG25" i="23" s="1"/>
  <c r="EF19" i="23"/>
  <c r="EF25" i="23" s="1"/>
  <c r="EE19" i="23"/>
  <c r="EE25" i="23" s="1"/>
  <c r="ED19" i="23"/>
  <c r="ED25" i="23" s="1"/>
  <c r="EC19" i="23"/>
  <c r="EC25" i="23" s="1"/>
  <c r="EB19" i="23"/>
  <c r="EB25" i="23" s="1"/>
  <c r="DX19" i="23"/>
  <c r="DX25" i="23" s="1"/>
  <c r="DW19" i="23"/>
  <c r="DW25" i="23" s="1"/>
  <c r="DV19" i="23"/>
  <c r="DV25" i="23" s="1"/>
  <c r="DU19" i="23"/>
  <c r="DU25" i="23" s="1"/>
  <c r="DT19" i="23"/>
  <c r="DT25" i="23" s="1"/>
  <c r="DS19" i="23"/>
  <c r="DS25" i="23" s="1"/>
  <c r="DP19" i="23"/>
  <c r="DP25" i="23" s="1"/>
  <c r="DO19" i="23"/>
  <c r="DO25" i="23" s="1"/>
  <c r="DN19" i="23"/>
  <c r="DN25" i="23" s="1"/>
  <c r="DM19" i="23"/>
  <c r="DM25" i="23" s="1"/>
  <c r="DL19" i="23"/>
  <c r="DL25" i="23" s="1"/>
  <c r="DK19" i="23"/>
  <c r="DH19" i="23"/>
  <c r="DH25" i="23" s="1"/>
  <c r="DG19" i="23"/>
  <c r="DG25" i="23" s="1"/>
  <c r="DF19" i="23"/>
  <c r="DF25" i="23" s="1"/>
  <c r="DE19" i="23"/>
  <c r="DE25" i="23" s="1"/>
  <c r="DD19" i="23"/>
  <c r="DD25" i="23" s="1"/>
  <c r="DC19" i="23"/>
  <c r="DC25" i="23" s="1"/>
  <c r="CZ19" i="23"/>
  <c r="CZ25" i="23" s="1"/>
  <c r="CY19" i="23"/>
  <c r="CY25" i="23" s="1"/>
  <c r="CX19" i="23"/>
  <c r="CX25" i="23" s="1"/>
  <c r="CW19" i="23"/>
  <c r="CW25" i="23" s="1"/>
  <c r="CV19" i="23"/>
  <c r="CV25" i="23" s="1"/>
  <c r="CU19" i="23"/>
  <c r="CU25" i="23" s="1"/>
  <c r="CR19" i="23"/>
  <c r="CR25" i="23" s="1"/>
  <c r="CQ19" i="23"/>
  <c r="CQ25" i="23" s="1"/>
  <c r="CP19" i="23"/>
  <c r="CP25" i="23" s="1"/>
  <c r="CN19" i="23"/>
  <c r="CN25" i="23" s="1"/>
  <c r="CM19" i="23"/>
  <c r="CM25" i="23" s="1"/>
  <c r="CJ19" i="23"/>
  <c r="CJ25" i="23" s="1"/>
  <c r="CI19" i="23"/>
  <c r="CI25" i="23" s="1"/>
  <c r="CH19" i="23"/>
  <c r="CG19" i="23"/>
  <c r="CG25" i="23" s="1"/>
  <c r="CF19" i="23"/>
  <c r="CF25" i="23" s="1"/>
  <c r="CE19" i="23"/>
  <c r="CB19" i="23"/>
  <c r="CB25" i="23" s="1"/>
  <c r="CA19" i="23"/>
  <c r="CA25" i="23" s="1"/>
  <c r="BZ19" i="23"/>
  <c r="BZ25" i="23" s="1"/>
  <c r="BY19" i="23"/>
  <c r="BY25" i="23" s="1"/>
  <c r="BX19" i="23"/>
  <c r="BX25" i="23" s="1"/>
  <c r="BW19" i="23"/>
  <c r="BW25" i="23" s="1"/>
  <c r="BT19" i="23"/>
  <c r="BT25" i="23" s="1"/>
  <c r="BS19" i="23"/>
  <c r="BS25" i="23" s="1"/>
  <c r="BR19" i="23"/>
  <c r="BR25" i="23" s="1"/>
  <c r="BQ19" i="23"/>
  <c r="BQ25" i="23" s="1"/>
  <c r="BP19" i="23"/>
  <c r="BP25" i="23" s="1"/>
  <c r="BO19" i="23"/>
  <c r="BO25" i="23" s="1"/>
  <c r="BL19" i="23"/>
  <c r="BL25" i="23" s="1"/>
  <c r="BK19" i="23"/>
  <c r="BK25" i="23" s="1"/>
  <c r="BJ19" i="23"/>
  <c r="BJ25" i="23" s="1"/>
  <c r="BI19" i="23"/>
  <c r="BI25" i="23" s="1"/>
  <c r="BH19" i="23"/>
  <c r="BH25" i="23" s="1"/>
  <c r="BG19" i="23"/>
  <c r="BD19" i="23"/>
  <c r="BD25" i="23" s="1"/>
  <c r="BC19" i="23"/>
  <c r="BC25" i="23" s="1"/>
  <c r="BB19" i="23"/>
  <c r="BB25" i="23" s="1"/>
  <c r="BA19" i="23"/>
  <c r="BA25" i="23" s="1"/>
  <c r="AZ19" i="23"/>
  <c r="AZ25" i="23" s="1"/>
  <c r="AY19" i="23"/>
  <c r="AY25" i="23" s="1"/>
  <c r="AV19" i="23"/>
  <c r="AV25" i="23" s="1"/>
  <c r="AU19" i="23"/>
  <c r="AT19" i="23"/>
  <c r="AT25" i="23" s="1"/>
  <c r="AS19" i="23"/>
  <c r="AS25" i="23" s="1"/>
  <c r="AR19" i="23"/>
  <c r="AR25" i="23" s="1"/>
  <c r="AQ19" i="23"/>
  <c r="AN19" i="23"/>
  <c r="AN25" i="23" s="1"/>
  <c r="AM19" i="23"/>
  <c r="AM25" i="23" s="1"/>
  <c r="AL19" i="23"/>
  <c r="AL25" i="23" s="1"/>
  <c r="AK19" i="23"/>
  <c r="AK25" i="23" s="1"/>
  <c r="AJ19" i="23"/>
  <c r="AJ25" i="23" s="1"/>
  <c r="AI19" i="23"/>
  <c r="AI25" i="23" s="1"/>
  <c r="AF19" i="23"/>
  <c r="AF25" i="23" s="1"/>
  <c r="AE19" i="23"/>
  <c r="AE25" i="23" s="1"/>
  <c r="AD19" i="23"/>
  <c r="AD25" i="23" s="1"/>
  <c r="AC19" i="23"/>
  <c r="AC25" i="23" s="1"/>
  <c r="AB19" i="23"/>
  <c r="AB25" i="23" s="1"/>
  <c r="AA19" i="23"/>
  <c r="X19" i="23"/>
  <c r="X25" i="23" s="1"/>
  <c r="W19" i="23"/>
  <c r="W25" i="23" s="1"/>
  <c r="V19" i="23"/>
  <c r="V25" i="23" s="1"/>
  <c r="U19" i="23"/>
  <c r="U25" i="23" s="1"/>
  <c r="T19" i="23"/>
  <c r="T25" i="23" s="1"/>
  <c r="S19" i="23"/>
  <c r="S25" i="23" s="1"/>
  <c r="P19" i="23"/>
  <c r="P25" i="23" s="1"/>
  <c r="O19" i="23"/>
  <c r="O25" i="23" s="1"/>
  <c r="N19" i="23"/>
  <c r="N25" i="23" s="1"/>
  <c r="M19" i="23"/>
  <c r="M25" i="23" s="1"/>
  <c r="L19" i="23"/>
  <c r="L25" i="23" s="1"/>
  <c r="K19" i="23"/>
  <c r="H19" i="23"/>
  <c r="H25" i="23" s="1"/>
  <c r="G19" i="23"/>
  <c r="G25" i="23" s="1"/>
  <c r="F19" i="23"/>
  <c r="F25" i="23" s="1"/>
  <c r="E19" i="23"/>
  <c r="E25" i="23" s="1"/>
  <c r="D19" i="23"/>
  <c r="D25" i="23" s="1"/>
  <c r="C19" i="23"/>
  <c r="FN17" i="23"/>
  <c r="FF17" i="23"/>
  <c r="EX17" i="23"/>
  <c r="EP17" i="23"/>
  <c r="EH17" i="23"/>
  <c r="DY17" i="23"/>
  <c r="DQ17" i="23"/>
  <c r="DI17" i="23"/>
  <c r="DA17" i="23"/>
  <c r="CS17" i="23"/>
  <c r="CK17" i="23"/>
  <c r="CC17" i="23"/>
  <c r="BU17" i="23"/>
  <c r="BM17" i="23"/>
  <c r="BE17" i="23"/>
  <c r="AW17" i="23"/>
  <c r="AO17" i="23"/>
  <c r="AG17" i="23"/>
  <c r="Y17" i="23"/>
  <c r="Q17" i="23"/>
  <c r="I17" i="23"/>
  <c r="FN15" i="23"/>
  <c r="FF15" i="23"/>
  <c r="EX15" i="23"/>
  <c r="EP15" i="23"/>
  <c r="EH15" i="23"/>
  <c r="DY15" i="23"/>
  <c r="DQ15" i="23"/>
  <c r="DI15" i="23"/>
  <c r="DA15" i="23"/>
  <c r="CS15" i="23"/>
  <c r="CK15" i="23"/>
  <c r="CC15" i="23"/>
  <c r="BU15" i="23"/>
  <c r="BM15" i="23"/>
  <c r="BE15" i="23"/>
  <c r="AW15" i="23"/>
  <c r="AO15" i="23"/>
  <c r="AG15" i="23"/>
  <c r="Y15" i="23"/>
  <c r="Q15" i="23"/>
  <c r="I15" i="23"/>
  <c r="FN13" i="23"/>
  <c r="FF13" i="23"/>
  <c r="EX13" i="23"/>
  <c r="EP13" i="23"/>
  <c r="EH13" i="23"/>
  <c r="DY13" i="23"/>
  <c r="DQ13" i="23"/>
  <c r="DI13" i="23"/>
  <c r="DA13" i="23"/>
  <c r="CS13" i="23"/>
  <c r="CK13" i="23"/>
  <c r="CC13" i="23"/>
  <c r="BU13" i="23"/>
  <c r="BM13" i="23"/>
  <c r="BE13" i="23"/>
  <c r="AW13" i="23"/>
  <c r="AO13" i="23"/>
  <c r="AG13" i="23"/>
  <c r="Y13" i="23"/>
  <c r="Q13" i="23"/>
  <c r="I13" i="23"/>
  <c r="FM9" i="23"/>
  <c r="FL9" i="23"/>
  <c r="FK9" i="23"/>
  <c r="FJ9" i="23"/>
  <c r="FI9" i="23"/>
  <c r="FH9" i="23"/>
  <c r="FD9" i="23"/>
  <c r="FC9" i="23"/>
  <c r="FB9" i="23"/>
  <c r="FA9" i="23"/>
  <c r="EZ9" i="23"/>
  <c r="EV9" i="23"/>
  <c r="EU9" i="23"/>
  <c r="ET9" i="23"/>
  <c r="ES9" i="23"/>
  <c r="ER9" i="23"/>
  <c r="EN9" i="23"/>
  <c r="EM9" i="23"/>
  <c r="EL9" i="23"/>
  <c r="EK9" i="23"/>
  <c r="EJ9" i="23"/>
  <c r="EF9" i="23"/>
  <c r="EE9" i="23"/>
  <c r="ED9" i="23"/>
  <c r="EC9" i="23"/>
  <c r="EB9" i="23"/>
  <c r="DW9" i="23"/>
  <c r="DV9" i="23"/>
  <c r="DU9" i="23"/>
  <c r="DT9" i="23"/>
  <c r="DS9" i="23"/>
  <c r="DO9" i="23"/>
  <c r="DN9" i="23"/>
  <c r="DM9" i="23"/>
  <c r="DL9" i="23"/>
  <c r="DK9" i="23"/>
  <c r="DG9" i="23"/>
  <c r="DF9" i="23"/>
  <c r="DE9" i="23"/>
  <c r="DD9" i="23"/>
  <c r="DC9" i="23"/>
  <c r="CY9" i="23"/>
  <c r="CX9" i="23"/>
  <c r="CW9" i="23"/>
  <c r="CV9" i="23"/>
  <c r="CU9" i="23"/>
  <c r="CQ9" i="23"/>
  <c r="CP9" i="23"/>
  <c r="CO9" i="23"/>
  <c r="CN9" i="23"/>
  <c r="CM9" i="23"/>
  <c r="CI9" i="23"/>
  <c r="CH9" i="23"/>
  <c r="CG9" i="23"/>
  <c r="CF9" i="23"/>
  <c r="CE9" i="23"/>
  <c r="CB9" i="23"/>
  <c r="CA9" i="23"/>
  <c r="BZ9" i="23"/>
  <c r="BY9" i="23"/>
  <c r="BX9" i="23"/>
  <c r="BW9" i="23"/>
  <c r="BT9" i="23"/>
  <c r="BS9" i="23"/>
  <c r="BR9" i="23"/>
  <c r="BQ9" i="23"/>
  <c r="BP9" i="23"/>
  <c r="BO9" i="23"/>
  <c r="BL9" i="23"/>
  <c r="BK9" i="23"/>
  <c r="BJ9" i="23"/>
  <c r="BI9" i="23"/>
  <c r="BH9" i="23"/>
  <c r="BG9" i="23"/>
  <c r="BD9" i="23"/>
  <c r="BC9" i="23"/>
  <c r="BB9" i="23"/>
  <c r="BA9" i="23"/>
  <c r="AZ9" i="23"/>
  <c r="AY9" i="23"/>
  <c r="AV9" i="23"/>
  <c r="AU9" i="23"/>
  <c r="AT9" i="23"/>
  <c r="AS9" i="23"/>
  <c r="AR9" i="23"/>
  <c r="AQ9" i="23"/>
  <c r="AN9" i="23"/>
  <c r="AM9" i="23"/>
  <c r="AL9" i="23"/>
  <c r="AK9" i="23"/>
  <c r="AJ9" i="23"/>
  <c r="AI9" i="23"/>
  <c r="AF9" i="23"/>
  <c r="AE9" i="23"/>
  <c r="AD9" i="23"/>
  <c r="AC9" i="23"/>
  <c r="AB9" i="23"/>
  <c r="AA9" i="23"/>
  <c r="X9" i="23"/>
  <c r="W9" i="23"/>
  <c r="V9" i="23"/>
  <c r="U9" i="23"/>
  <c r="T9" i="23"/>
  <c r="S9" i="23"/>
  <c r="P9" i="23"/>
  <c r="O9" i="23"/>
  <c r="N9" i="23"/>
  <c r="M9" i="23"/>
  <c r="L9" i="23"/>
  <c r="K9" i="23"/>
  <c r="H9" i="23"/>
  <c r="G9" i="23"/>
  <c r="F9" i="23"/>
  <c r="E9" i="23"/>
  <c r="D9" i="23"/>
  <c r="C9" i="23"/>
  <c r="FN8" i="23"/>
  <c r="FE8" i="23"/>
  <c r="FF8" i="23" s="1"/>
  <c r="EW8" i="23"/>
  <c r="EW9" i="23" s="1"/>
  <c r="EO8" i="23"/>
  <c r="EP8" i="23" s="1"/>
  <c r="EG8" i="23"/>
  <c r="EH8" i="23" s="1"/>
  <c r="DX8" i="23"/>
  <c r="DX9" i="23" s="1"/>
  <c r="DP8" i="23"/>
  <c r="DP9" i="23" s="1"/>
  <c r="DH8" i="23"/>
  <c r="DI8" i="23" s="1"/>
  <c r="CZ8" i="23"/>
  <c r="CZ9" i="23" s="1"/>
  <c r="CR8" i="23"/>
  <c r="CS8" i="23" s="1"/>
  <c r="CJ8" i="23"/>
  <c r="CK8" i="23" s="1"/>
  <c r="CC8" i="23"/>
  <c r="BU8" i="23"/>
  <c r="BM8" i="23"/>
  <c r="BE8" i="23"/>
  <c r="AW8" i="23"/>
  <c r="AO8" i="23"/>
  <c r="AO9" i="23" s="1"/>
  <c r="AG8" i="23"/>
  <c r="Y8" i="23"/>
  <c r="Q8" i="23"/>
  <c r="I8" i="23"/>
  <c r="FN7" i="23"/>
  <c r="FF7" i="23"/>
  <c r="FF9" i="23" s="1"/>
  <c r="EX7" i="23"/>
  <c r="EP7" i="23"/>
  <c r="EH7" i="23"/>
  <c r="DY7" i="23"/>
  <c r="DQ7" i="23"/>
  <c r="DI7" i="23"/>
  <c r="DI9" i="23" s="1"/>
  <c r="DA7" i="23"/>
  <c r="CS7" i="23"/>
  <c r="CK7" i="23"/>
  <c r="CC7" i="23"/>
  <c r="BU7" i="23"/>
  <c r="BM7" i="23"/>
  <c r="BM9" i="23" s="1"/>
  <c r="BE7" i="23"/>
  <c r="AW7" i="23"/>
  <c r="AO7" i="23"/>
  <c r="AG7" i="23"/>
  <c r="Y7" i="23"/>
  <c r="Q7" i="23"/>
  <c r="Q9" i="23" s="1"/>
  <c r="I7" i="23"/>
  <c r="BF344" i="7"/>
  <c r="AW79" i="7"/>
  <c r="AR79" i="7"/>
  <c r="AM79" i="7"/>
  <c r="AH79" i="7"/>
  <c r="AC79" i="7"/>
  <c r="AZ70" i="7"/>
  <c r="AY70" i="7"/>
  <c r="AX70" i="7"/>
  <c r="AW70" i="7"/>
  <c r="AV70" i="7"/>
  <c r="AU70" i="7"/>
  <c r="AT70" i="7"/>
  <c r="AS70" i="7"/>
  <c r="AR70" i="7"/>
  <c r="AQ70" i="7"/>
  <c r="AP70" i="7"/>
  <c r="AO70" i="7"/>
  <c r="AN70" i="7"/>
  <c r="AM70" i="7"/>
  <c r="AL70" i="7"/>
  <c r="AJ70" i="7"/>
  <c r="AI70" i="7"/>
  <c r="AH70" i="7"/>
  <c r="AF70" i="7"/>
  <c r="AE70" i="7"/>
  <c r="AD70" i="7"/>
  <c r="AC70" i="7"/>
  <c r="AK67" i="7"/>
  <c r="AK70" i="7" s="1"/>
  <c r="AG66" i="7"/>
  <c r="AG70" i="7" s="1"/>
  <c r="AZ60" i="7"/>
  <c r="AY60" i="7"/>
  <c r="AX60" i="7"/>
  <c r="AZ42" i="7"/>
  <c r="AY42" i="7"/>
  <c r="AX42" i="7"/>
  <c r="AW42" i="7"/>
  <c r="AU42" i="7"/>
  <c r="AT42" i="7"/>
  <c r="AS42" i="7"/>
  <c r="AR42" i="7"/>
  <c r="AP42" i="7"/>
  <c r="AO42" i="7"/>
  <c r="AN42" i="7"/>
  <c r="AM42" i="7"/>
  <c r="AK42" i="7"/>
  <c r="AJ42" i="7"/>
  <c r="AI42" i="7"/>
  <c r="AF42" i="7"/>
  <c r="AE42" i="7"/>
  <c r="AD42" i="7"/>
  <c r="AC42" i="7"/>
  <c r="AA42" i="7"/>
  <c r="Z42" i="7"/>
  <c r="Y42" i="7"/>
  <c r="X42" i="7"/>
  <c r="V42" i="7"/>
  <c r="U42" i="7"/>
  <c r="T42" i="7"/>
  <c r="S42" i="7"/>
  <c r="Q42" i="7"/>
  <c r="P42" i="7"/>
  <c r="O42" i="7"/>
  <c r="N42" i="7"/>
  <c r="L42" i="7"/>
  <c r="K42" i="7"/>
  <c r="J42" i="7"/>
  <c r="I42" i="7"/>
  <c r="G42" i="7"/>
  <c r="F42" i="7"/>
  <c r="E42" i="7"/>
  <c r="D42" i="7"/>
  <c r="C42" i="7"/>
  <c r="AV40" i="7"/>
  <c r="AQ40" i="7"/>
  <c r="AL40" i="7"/>
  <c r="AG40" i="7"/>
  <c r="AB40" i="7"/>
  <c r="W40" i="7"/>
  <c r="AV34" i="7"/>
  <c r="AQ34" i="7"/>
  <c r="AL34" i="7"/>
  <c r="AV32" i="7"/>
  <c r="AQ32" i="7"/>
  <c r="AL32" i="7"/>
  <c r="AV26" i="7"/>
  <c r="AQ26" i="7"/>
  <c r="AL26" i="7"/>
  <c r="AH26" i="7"/>
  <c r="AH42" i="7" s="1"/>
  <c r="AV24" i="7"/>
  <c r="AQ24" i="7"/>
  <c r="AL24" i="7"/>
  <c r="AG24" i="7"/>
  <c r="AB24" i="7"/>
  <c r="W24" i="7"/>
  <c r="R24" i="7"/>
  <c r="M24" i="7"/>
  <c r="AV22" i="7"/>
  <c r="AQ22" i="7"/>
  <c r="AL22" i="7"/>
  <c r="M22" i="7"/>
  <c r="H22" i="7"/>
  <c r="H42" i="7" s="1"/>
  <c r="AV20" i="7"/>
  <c r="AQ20" i="7"/>
  <c r="AL20" i="7"/>
  <c r="AV18" i="7"/>
  <c r="AQ18" i="7"/>
  <c r="AL18" i="7"/>
  <c r="AG18" i="7"/>
  <c r="AB18" i="7"/>
  <c r="W18" i="7"/>
  <c r="R18" i="7"/>
  <c r="M18" i="7"/>
  <c r="AV16" i="7"/>
  <c r="AQ16" i="7"/>
  <c r="V48" i="20"/>
  <c r="U48" i="20"/>
  <c r="T48" i="20"/>
  <c r="S48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F48" i="20"/>
  <c r="E48" i="20"/>
  <c r="D48" i="20"/>
  <c r="C48" i="20"/>
  <c r="V47" i="20"/>
  <c r="U47" i="20"/>
  <c r="T47" i="20"/>
  <c r="S47" i="20"/>
  <c r="R47" i="20"/>
  <c r="Q47" i="20"/>
  <c r="P47" i="20"/>
  <c r="O47" i="20"/>
  <c r="N47" i="20"/>
  <c r="M47" i="20"/>
  <c r="L47" i="20"/>
  <c r="L49" i="20" s="1"/>
  <c r="K47" i="20"/>
  <c r="J47" i="20"/>
  <c r="I47" i="20"/>
  <c r="H47" i="20"/>
  <c r="G47" i="20"/>
  <c r="G49" i="20" s="1"/>
  <c r="F47" i="20"/>
  <c r="F49" i="20" s="1"/>
  <c r="E47" i="20"/>
  <c r="D47" i="20"/>
  <c r="C47" i="20"/>
  <c r="C49" i="20" s="1"/>
  <c r="V44" i="20"/>
  <c r="U44" i="20"/>
  <c r="T44" i="20"/>
  <c r="S44" i="20"/>
  <c r="R44" i="20"/>
  <c r="Q44" i="20"/>
  <c r="P44" i="20"/>
  <c r="O44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CE26" i="3" l="1"/>
  <c r="CE25" i="3"/>
  <c r="CF22" i="3"/>
  <c r="CA24" i="3"/>
  <c r="CG22" i="3"/>
  <c r="CB24" i="3"/>
  <c r="CH22" i="3"/>
  <c r="CC24" i="3"/>
  <c r="CK9" i="23"/>
  <c r="EH9" i="23"/>
  <c r="I9" i="23"/>
  <c r="BE9" i="23"/>
  <c r="CC9" i="23"/>
  <c r="M42" i="7"/>
  <c r="R42" i="7"/>
  <c r="AL42" i="7"/>
  <c r="AB42" i="7"/>
  <c r="AG9" i="23"/>
  <c r="AW9" i="23"/>
  <c r="EO9" i="23"/>
  <c r="CR9" i="23"/>
  <c r="Y9" i="23"/>
  <c r="BU9" i="23"/>
  <c r="FN9" i="23"/>
  <c r="DA19" i="23"/>
  <c r="DI19" i="23"/>
  <c r="DQ19" i="23"/>
  <c r="EP19" i="23"/>
  <c r="EX19" i="23"/>
  <c r="FF19" i="23"/>
  <c r="FN19" i="23"/>
  <c r="I19" i="23"/>
  <c r="Q19" i="23"/>
  <c r="AG19" i="23"/>
  <c r="AO19" i="23"/>
  <c r="AO25" i="23" s="1"/>
  <c r="AW19" i="23"/>
  <c r="BE19" i="23"/>
  <c r="BM19" i="23"/>
  <c r="BU25" i="23"/>
  <c r="CK19" i="23"/>
  <c r="AQ25" i="23"/>
  <c r="AW25" i="23" s="1"/>
  <c r="Q42" i="14"/>
  <c r="L14" i="14"/>
  <c r="G13" i="14"/>
  <c r="Q79" i="14"/>
  <c r="K103" i="14"/>
  <c r="O90" i="14"/>
  <c r="J89" i="14"/>
  <c r="M104" i="14"/>
  <c r="P103" i="14"/>
  <c r="CH16" i="3"/>
  <c r="CC18" i="3"/>
  <c r="CF16" i="3"/>
  <c r="CA18" i="3"/>
  <c r="CG16" i="3"/>
  <c r="CB18" i="3"/>
  <c r="Q17" i="14"/>
  <c r="G16" i="14"/>
  <c r="O27" i="14"/>
  <c r="P86" i="14"/>
  <c r="G26" i="14"/>
  <c r="G27" i="14" s="1"/>
  <c r="E30" i="14"/>
  <c r="L13" i="14"/>
  <c r="J30" i="14"/>
  <c r="L17" i="14"/>
  <c r="Q50" i="14"/>
  <c r="Q9" i="14"/>
  <c r="L26" i="14"/>
  <c r="H29" i="14"/>
  <c r="H55" i="14"/>
  <c r="H60" i="14" s="1"/>
  <c r="H62" i="14" s="1"/>
  <c r="P104" i="14"/>
  <c r="DI25" i="23"/>
  <c r="FF25" i="23"/>
  <c r="DY25" i="23"/>
  <c r="EH25" i="23"/>
  <c r="Y25" i="23"/>
  <c r="CC25" i="23"/>
  <c r="CS25" i="23"/>
  <c r="BE25" i="23"/>
  <c r="DA25" i="23"/>
  <c r="EX25" i="23"/>
  <c r="CS9" i="23"/>
  <c r="EP9" i="23"/>
  <c r="DA8" i="23"/>
  <c r="DA9" i="23" s="1"/>
  <c r="DY8" i="23"/>
  <c r="DY9" i="23" s="1"/>
  <c r="EX8" i="23"/>
  <c r="EX9" i="23" s="1"/>
  <c r="Y19" i="23"/>
  <c r="BU19" i="23"/>
  <c r="DY19" i="23"/>
  <c r="AA25" i="23"/>
  <c r="AG25" i="23" s="1"/>
  <c r="CE25" i="23"/>
  <c r="CK25" i="23" s="1"/>
  <c r="EJ25" i="23"/>
  <c r="EP25" i="23" s="1"/>
  <c r="CJ9" i="23"/>
  <c r="EG9" i="23"/>
  <c r="C25" i="23"/>
  <c r="I25" i="23" s="1"/>
  <c r="BG25" i="23"/>
  <c r="BM25" i="23" s="1"/>
  <c r="DK25" i="23"/>
  <c r="DQ25" i="23" s="1"/>
  <c r="FH25" i="23"/>
  <c r="FN25" i="23" s="1"/>
  <c r="DQ8" i="23"/>
  <c r="DQ9" i="23" s="1"/>
  <c r="DH9" i="23"/>
  <c r="FE9" i="23"/>
  <c r="K25" i="23"/>
  <c r="Q25" i="23" s="1"/>
  <c r="CC19" i="23"/>
  <c r="EH19" i="23"/>
  <c r="CS19" i="23"/>
  <c r="W50" i="20"/>
  <c r="V50" i="20" s="1"/>
  <c r="H49" i="20"/>
  <c r="N49" i="20"/>
  <c r="T49" i="20"/>
  <c r="E26" i="20"/>
  <c r="E45" i="20" s="1"/>
  <c r="C26" i="20"/>
  <c r="I26" i="20"/>
  <c r="O26" i="20"/>
  <c r="O45" i="20" s="1"/>
  <c r="U26" i="20"/>
  <c r="U45" i="20" s="1"/>
  <c r="G26" i="20"/>
  <c r="M26" i="20"/>
  <c r="M45" i="20" s="1"/>
  <c r="S26" i="20"/>
  <c r="S45" i="20" s="1"/>
  <c r="M49" i="20"/>
  <c r="S49" i="20"/>
  <c r="AQ42" i="7"/>
  <c r="AV42" i="7"/>
  <c r="W42" i="7"/>
  <c r="AG42" i="7"/>
  <c r="BA60" i="7"/>
  <c r="BA42" i="7"/>
  <c r="J26" i="20"/>
  <c r="J45" i="20" s="1"/>
  <c r="E49" i="20"/>
  <c r="K49" i="20"/>
  <c r="Q49" i="20"/>
  <c r="CG93" i="3"/>
  <c r="O56" i="14"/>
  <c r="M90" i="14"/>
  <c r="Q16" i="14"/>
  <c r="I49" i="14"/>
  <c r="Q49" i="14"/>
  <c r="N54" i="14"/>
  <c r="L85" i="14"/>
  <c r="K89" i="14"/>
  <c r="J91" i="14"/>
  <c r="K92" i="14" s="1"/>
  <c r="O54" i="14"/>
  <c r="F30" i="14"/>
  <c r="F32" i="14"/>
  <c r="F35" i="14" s="1"/>
  <c r="F52" i="14"/>
  <c r="O53" i="14"/>
  <c r="E32" i="14"/>
  <c r="E35" i="14" s="1"/>
  <c r="P43" i="14"/>
  <c r="P46" i="14" s="1"/>
  <c r="N16" i="14"/>
  <c r="N28" i="14"/>
  <c r="J32" i="14"/>
  <c r="J35" i="14" s="1"/>
  <c r="L50" i="14"/>
  <c r="N49" i="14"/>
  <c r="O52" i="14"/>
  <c r="E56" i="14"/>
  <c r="Q75" i="14"/>
  <c r="K32" i="14"/>
  <c r="K35" i="14" s="1"/>
  <c r="K53" i="14"/>
  <c r="Q101" i="14"/>
  <c r="N13" i="14"/>
  <c r="K30" i="14"/>
  <c r="M53" i="14"/>
  <c r="M54" i="14"/>
  <c r="Q73" i="14"/>
  <c r="Q76" i="14"/>
  <c r="I91" i="14"/>
  <c r="F60" i="13"/>
  <c r="H9" i="13"/>
  <c r="C57" i="8"/>
  <c r="CA159" i="3"/>
  <c r="CF142" i="3"/>
  <c r="F47" i="8"/>
  <c r="F56" i="8"/>
  <c r="F55" i="8"/>
  <c r="E57" i="8"/>
  <c r="D57" i="8"/>
  <c r="F36" i="8"/>
  <c r="F53" i="8"/>
  <c r="F52" i="8"/>
  <c r="F25" i="8"/>
  <c r="F54" i="8"/>
  <c r="D26" i="20"/>
  <c r="D45" i="20" s="1"/>
  <c r="P26" i="20"/>
  <c r="P45" i="20" s="1"/>
  <c r="V26" i="20"/>
  <c r="V45" i="20" s="1"/>
  <c r="K26" i="20"/>
  <c r="K45" i="20" s="1"/>
  <c r="Q26" i="20"/>
  <c r="Q45" i="20" s="1"/>
  <c r="H26" i="20"/>
  <c r="H45" i="20" s="1"/>
  <c r="N26" i="20"/>
  <c r="N45" i="20" s="1"/>
  <c r="T26" i="20"/>
  <c r="T45" i="20" s="1"/>
  <c r="F26" i="20"/>
  <c r="F45" i="20" s="1"/>
  <c r="L26" i="20"/>
  <c r="L45" i="20" s="1"/>
  <c r="R26" i="20"/>
  <c r="R45" i="20" s="1"/>
  <c r="D49" i="20"/>
  <c r="J49" i="20"/>
  <c r="P49" i="20"/>
  <c r="V49" i="20"/>
  <c r="I45" i="20"/>
  <c r="R49" i="20"/>
  <c r="G45" i="20"/>
  <c r="I49" i="20"/>
  <c r="O49" i="20"/>
  <c r="U49" i="20"/>
  <c r="BR17" i="3"/>
  <c r="BZ9" i="3"/>
  <c r="CE11" i="3" s="1"/>
  <c r="CB9" i="3"/>
  <c r="CG11" i="3" s="1"/>
  <c r="BG10" i="3"/>
  <c r="BI92" i="3"/>
  <c r="BR147" i="3"/>
  <c r="BU9" i="3"/>
  <c r="BU11" i="3" s="1"/>
  <c r="CA22" i="3"/>
  <c r="CB37" i="3"/>
  <c r="BL91" i="3"/>
  <c r="BM92" i="3" s="1"/>
  <c r="AQ99" i="3"/>
  <c r="CC15" i="3"/>
  <c r="BT14" i="3"/>
  <c r="BT17" i="3" s="1"/>
  <c r="BP93" i="3"/>
  <c r="BP12" i="3"/>
  <c r="BX156" i="3"/>
  <c r="BP11" i="3"/>
  <c r="BS15" i="3"/>
  <c r="AQ98" i="3"/>
  <c r="BG99" i="3"/>
  <c r="BW39" i="3"/>
  <c r="BT58" i="3"/>
  <c r="BM12" i="3"/>
  <c r="BR21" i="3"/>
  <c r="CA47" i="3"/>
  <c r="BX22" i="3"/>
  <c r="BT36" i="3"/>
  <c r="BT37" i="3" s="1"/>
  <c r="BY70" i="3"/>
  <c r="BU94" i="3"/>
  <c r="BO9" i="3"/>
  <c r="BO12" i="3" s="1"/>
  <c r="BQ17" i="3"/>
  <c r="CB38" i="3"/>
  <c r="CA52" i="3"/>
  <c r="BV93" i="3"/>
  <c r="CC92" i="3"/>
  <c r="BY102" i="3"/>
  <c r="BQ101" i="3"/>
  <c r="BO103" i="3"/>
  <c r="BW143" i="3"/>
  <c r="BN146" i="3"/>
  <c r="BU147" i="3"/>
  <c r="BW156" i="3"/>
  <c r="BK12" i="3"/>
  <c r="BJ38" i="3"/>
  <c r="CA50" i="3"/>
  <c r="BY51" i="3"/>
  <c r="BR94" i="3"/>
  <c r="BY91" i="3"/>
  <c r="CD93" i="3" s="1"/>
  <c r="BW157" i="3"/>
  <c r="BI11" i="3"/>
  <c r="BT20" i="3"/>
  <c r="BT23" i="3" s="1"/>
  <c r="BV28" i="3"/>
  <c r="BT32" i="3"/>
  <c r="AS21" i="3"/>
  <c r="BN94" i="3"/>
  <c r="BJ9" i="3"/>
  <c r="BJ11" i="3" s="1"/>
  <c r="BK11" i="3"/>
  <c r="BB23" i="3"/>
  <c r="BY45" i="3"/>
  <c r="BV60" i="3"/>
  <c r="BO91" i="3"/>
  <c r="BO92" i="3" s="1"/>
  <c r="CB93" i="3"/>
  <c r="BX148" i="3"/>
  <c r="BQ146" i="3"/>
  <c r="CB157" i="3"/>
  <c r="BW158" i="3"/>
  <c r="BV9" i="3"/>
  <c r="CB17" i="3"/>
  <c r="BX39" i="3"/>
  <c r="BS39" i="3"/>
  <c r="BY47" i="3"/>
  <c r="BY50" i="3"/>
  <c r="BY52" i="3"/>
  <c r="BY57" i="3"/>
  <c r="BQ60" i="3"/>
  <c r="BX92" i="3"/>
  <c r="N92" i="3"/>
  <c r="BR148" i="3"/>
  <c r="BW159" i="3"/>
  <c r="BY20" i="3"/>
  <c r="BT34" i="3"/>
  <c r="CA63" i="3"/>
  <c r="BO72" i="3"/>
  <c r="BH92" i="3"/>
  <c r="BX147" i="3"/>
  <c r="BY99" i="3"/>
  <c r="AN21" i="3"/>
  <c r="CC23" i="3"/>
  <c r="BD10" i="3"/>
  <c r="BS9" i="3"/>
  <c r="BS11" i="3" s="1"/>
  <c r="BD12" i="3"/>
  <c r="BW17" i="3"/>
  <c r="CB15" i="3"/>
  <c r="AO23" i="3"/>
  <c r="AU23" i="3"/>
  <c r="BW22" i="3"/>
  <c r="AS23" i="3"/>
  <c r="BK23" i="3"/>
  <c r="BZ23" i="3"/>
  <c r="BY30" i="3"/>
  <c r="BV34" i="3"/>
  <c r="BQ39" i="3"/>
  <c r="BT41" i="3"/>
  <c r="BV43" i="3"/>
  <c r="CA45" i="3"/>
  <c r="BT57" i="3"/>
  <c r="BO70" i="3"/>
  <c r="BI93" i="3"/>
  <c r="L93" i="3"/>
  <c r="BH93" i="3"/>
  <c r="BD94" i="3"/>
  <c r="BE97" i="3"/>
  <c r="CC147" i="3"/>
  <c r="AN10" i="3"/>
  <c r="BS17" i="3"/>
  <c r="BS21" i="3"/>
  <c r="BT43" i="3"/>
  <c r="BU43" i="3" s="1"/>
  <c r="BG101" i="3"/>
  <c r="BE103" i="3"/>
  <c r="BS147" i="3"/>
  <c r="BZ148" i="3"/>
  <c r="BC11" i="3"/>
  <c r="BC12" i="3"/>
  <c r="BB21" i="3"/>
  <c r="BE10" i="3"/>
  <c r="AR11" i="3"/>
  <c r="BE12" i="3"/>
  <c r="BR15" i="3"/>
  <c r="BX17" i="3"/>
  <c r="AV22" i="3"/>
  <c r="AN22" i="3"/>
  <c r="BS22" i="3"/>
  <c r="AT23" i="3"/>
  <c r="BV41" i="3"/>
  <c r="BJ72" i="3"/>
  <c r="CA72" i="3"/>
  <c r="BX93" i="3"/>
  <c r="BN93" i="3"/>
  <c r="BP94" i="3"/>
  <c r="BQ97" i="3"/>
  <c r="CA103" i="3"/>
  <c r="BV108" i="3"/>
  <c r="BE143" i="3"/>
  <c r="BM146" i="3"/>
  <c r="BS146" i="3"/>
  <c r="BM148" i="3"/>
  <c r="AM11" i="3"/>
  <c r="AW22" i="3"/>
  <c r="BY28" i="3"/>
  <c r="BX38" i="3"/>
  <c r="BW93" i="3"/>
  <c r="BN148" i="3"/>
  <c r="BH12" i="3"/>
  <c r="BN12" i="3"/>
  <c r="AM10" i="3"/>
  <c r="BL11" i="3"/>
  <c r="AZ23" i="3"/>
  <c r="CA28" i="3"/>
  <c r="BQ37" i="3"/>
  <c r="BO38" i="3"/>
  <c r="BS94" i="3"/>
  <c r="BO98" i="3"/>
  <c r="BJ102" i="3"/>
  <c r="BE101" i="3"/>
  <c r="BO148" i="3"/>
  <c r="BU148" i="3"/>
  <c r="AM22" i="3"/>
  <c r="AM21" i="3"/>
  <c r="AX11" i="3"/>
  <c r="CE16" i="3"/>
  <c r="CE17" i="3"/>
  <c r="AW21" i="3"/>
  <c r="BO63" i="3"/>
  <c r="BQ63" i="3"/>
  <c r="BZ93" i="3"/>
  <c r="AV99" i="3"/>
  <c r="BA98" i="3"/>
  <c r="AV98" i="3"/>
  <c r="BL103" i="3"/>
  <c r="BX146" i="3"/>
  <c r="BH10" i="3"/>
  <c r="BZ16" i="3"/>
  <c r="AO21" i="3"/>
  <c r="BX23" i="3"/>
  <c r="CD42" i="3"/>
  <c r="BY43" i="3"/>
  <c r="BY41" i="3"/>
  <c r="BY36" i="3"/>
  <c r="BF93" i="3"/>
  <c r="BE91" i="3"/>
  <c r="BG92" i="3" s="1"/>
  <c r="BB10" i="3"/>
  <c r="AX12" i="3"/>
  <c r="BX21" i="3"/>
  <c r="BO22" i="3"/>
  <c r="CA60" i="3"/>
  <c r="BY60" i="3"/>
  <c r="BC10" i="3"/>
  <c r="BW15" i="3"/>
  <c r="CB16" i="3"/>
  <c r="AW23" i="3"/>
  <c r="BB22" i="3"/>
  <c r="AX23" i="3"/>
  <c r="AR21" i="3"/>
  <c r="AO22" i="3"/>
  <c r="AV23" i="3"/>
  <c r="CD39" i="3"/>
  <c r="CD37" i="3"/>
  <c r="CC38" i="3"/>
  <c r="BQ9" i="3"/>
  <c r="BW9" i="3"/>
  <c r="CC9" i="3"/>
  <c r="CH11" i="3" s="1"/>
  <c r="BG11" i="3"/>
  <c r="BM11" i="3"/>
  <c r="AN12" i="3"/>
  <c r="CD17" i="3"/>
  <c r="CD15" i="3"/>
  <c r="BX15" i="3"/>
  <c r="BW16" i="3"/>
  <c r="CC16" i="3"/>
  <c r="CC17" i="3"/>
  <c r="AR22" i="3"/>
  <c r="AR23" i="3"/>
  <c r="BS23" i="3"/>
  <c r="CE23" i="3"/>
  <c r="CE22" i="3"/>
  <c r="BZ22" i="3"/>
  <c r="AZ21" i="3"/>
  <c r="BO21" i="3"/>
  <c r="AQ22" i="3"/>
  <c r="BR22" i="3"/>
  <c r="BF23" i="3"/>
  <c r="BY29" i="3"/>
  <c r="BT30" i="3"/>
  <c r="BT28" i="3"/>
  <c r="BJ37" i="3"/>
  <c r="BL39" i="3"/>
  <c r="BL37" i="3"/>
  <c r="BW38" i="3"/>
  <c r="BW37" i="3"/>
  <c r="BX37" i="3"/>
  <c r="CB39" i="3"/>
  <c r="BY42" i="3"/>
  <c r="BG72" i="3"/>
  <c r="BE72" i="3"/>
  <c r="BE70" i="3"/>
  <c r="BK93" i="3"/>
  <c r="CC93" i="3"/>
  <c r="BI94" i="3"/>
  <c r="BX94" i="3"/>
  <c r="BO102" i="3"/>
  <c r="BI12" i="3"/>
  <c r="BZ17" i="3"/>
  <c r="BT71" i="3"/>
  <c r="BT72" i="3"/>
  <c r="BT70" i="3"/>
  <c r="AZ22" i="3"/>
  <c r="BQ23" i="3"/>
  <c r="CA43" i="3"/>
  <c r="BT91" i="3"/>
  <c r="BU93" i="3"/>
  <c r="BJ101" i="3"/>
  <c r="BJ103" i="3"/>
  <c r="BJ142" i="3"/>
  <c r="BO142" i="3"/>
  <c r="BL143" i="3"/>
  <c r="BL141" i="3"/>
  <c r="BJ143" i="3"/>
  <c r="AY12" i="3"/>
  <c r="BV16" i="3"/>
  <c r="BW21" i="3"/>
  <c r="BA22" i="3"/>
  <c r="BR23" i="3"/>
  <c r="BU38" i="3"/>
  <c r="BY46" i="3"/>
  <c r="BT47" i="3"/>
  <c r="BT45" i="3"/>
  <c r="BR9" i="3"/>
  <c r="BX9" i="3"/>
  <c r="AX10" i="3"/>
  <c r="BM10" i="3"/>
  <c r="BB11" i="3"/>
  <c r="BH11" i="3"/>
  <c r="BN11" i="3"/>
  <c r="BG12" i="3"/>
  <c r="BX16" i="3"/>
  <c r="AX22" i="3"/>
  <c r="AS22" i="3"/>
  <c r="BA23" i="3"/>
  <c r="AT21" i="3"/>
  <c r="BQ21" i="3"/>
  <c r="AT22" i="3"/>
  <c r="AN23" i="3"/>
  <c r="CC39" i="3"/>
  <c r="BV47" i="3"/>
  <c r="BO58" i="3"/>
  <c r="BL57" i="3"/>
  <c r="BJ58" i="3"/>
  <c r="BL70" i="3"/>
  <c r="BO71" i="3"/>
  <c r="BJ71" i="3"/>
  <c r="V93" i="3"/>
  <c r="Q92" i="3"/>
  <c r="Q93" i="3"/>
  <c r="S92" i="3"/>
  <c r="BJ92" i="3"/>
  <c r="BJ94" i="3"/>
  <c r="BV103" i="3"/>
  <c r="BT102" i="3"/>
  <c r="BV101" i="3"/>
  <c r="BT101" i="3"/>
  <c r="BT103" i="3"/>
  <c r="BX108" i="3"/>
  <c r="CD142" i="3"/>
  <c r="BY143" i="3"/>
  <c r="BY142" i="3"/>
  <c r="BY141" i="3"/>
  <c r="CD21" i="3"/>
  <c r="CD23" i="3"/>
  <c r="CC22" i="3"/>
  <c r="CA9" i="3"/>
  <c r="CF11" i="3" s="1"/>
  <c r="BI10" i="3"/>
  <c r="CA16" i="3"/>
  <c r="AP21" i="3"/>
  <c r="CD33" i="3"/>
  <c r="BY34" i="3"/>
  <c r="BY32" i="3"/>
  <c r="BY33" i="3"/>
  <c r="CA32" i="3"/>
  <c r="CB94" i="3"/>
  <c r="CA93" i="3"/>
  <c r="CB92" i="3"/>
  <c r="BN10" i="3"/>
  <c r="BY14" i="3"/>
  <c r="CA15" i="3" s="1"/>
  <c r="BV22" i="3"/>
  <c r="CB22" i="3"/>
  <c r="CB21" i="3"/>
  <c r="CB23" i="3"/>
  <c r="AU21" i="3"/>
  <c r="CC21" i="3"/>
  <c r="AU22" i="3"/>
  <c r="BF22" i="3"/>
  <c r="AP23" i="3"/>
  <c r="BW23" i="3"/>
  <c r="CE39" i="3"/>
  <c r="CE38" i="3"/>
  <c r="BZ39" i="3"/>
  <c r="BZ38" i="3"/>
  <c r="CC37" i="3"/>
  <c r="CA38" i="3"/>
  <c r="CA41" i="3"/>
  <c r="BJ57" i="3"/>
  <c r="BJ70" i="3"/>
  <c r="BV70" i="3"/>
  <c r="BE71" i="3"/>
  <c r="BY71" i="3"/>
  <c r="BV72" i="3"/>
  <c r="BR93" i="3"/>
  <c r="BR92" i="3"/>
  <c r="BT98" i="3"/>
  <c r="BT99" i="3"/>
  <c r="BY98" i="3"/>
  <c r="BV97" i="3"/>
  <c r="BV99" i="3"/>
  <c r="BV147" i="3"/>
  <c r="BQ148" i="3"/>
  <c r="BQ147" i="3"/>
  <c r="CA30" i="3"/>
  <c r="BS37" i="3"/>
  <c r="BO39" i="3"/>
  <c r="CD94" i="3"/>
  <c r="CD92" i="3"/>
  <c r="BD92" i="3"/>
  <c r="BS92" i="3"/>
  <c r="BG93" i="3"/>
  <c r="BM93" i="3"/>
  <c r="BS93" i="3"/>
  <c r="BH94" i="3"/>
  <c r="BZ94" i="3"/>
  <c r="CA97" i="3"/>
  <c r="BE98" i="3"/>
  <c r="BL101" i="3"/>
  <c r="CA101" i="3"/>
  <c r="BL102" i="3"/>
  <c r="BG103" i="3"/>
  <c r="BM103" i="3"/>
  <c r="BY103" i="3"/>
  <c r="BE142" i="3"/>
  <c r="BV143" i="3"/>
  <c r="CB143" i="3"/>
  <c r="BO146" i="3"/>
  <c r="BW146" i="3"/>
  <c r="BW147" i="3"/>
  <c r="BS148" i="3"/>
  <c r="BY148" i="3"/>
  <c r="CA153" i="3"/>
  <c r="BV159" i="3"/>
  <c r="BN92" i="3"/>
  <c r="BG97" i="3"/>
  <c r="CA141" i="3"/>
  <c r="BR146" i="3"/>
  <c r="BY146" i="3"/>
  <c r="CA148" i="3"/>
  <c r="CA57" i="3"/>
  <c r="BY58" i="3"/>
  <c r="BT63" i="3"/>
  <c r="BQ70" i="3"/>
  <c r="CE94" i="3"/>
  <c r="CE93" i="3"/>
  <c r="BW92" i="3"/>
  <c r="BK94" i="3"/>
  <c r="BW94" i="3"/>
  <c r="CC94" i="3"/>
  <c r="BO97" i="3"/>
  <c r="AP98" i="3"/>
  <c r="BO99" i="3"/>
  <c r="CA99" i="3"/>
  <c r="BO101" i="3"/>
  <c r="BE141" i="3"/>
  <c r="BT141" i="3"/>
  <c r="CB141" i="3"/>
  <c r="BT142" i="3"/>
  <c r="BG143" i="3"/>
  <c r="CD148" i="3"/>
  <c r="CD146" i="3"/>
  <c r="CA146" i="3"/>
  <c r="BZ147" i="3"/>
  <c r="BY156" i="3"/>
  <c r="BY158" i="3"/>
  <c r="BY159" i="3"/>
  <c r="BV141" i="3"/>
  <c r="CA142" i="3"/>
  <c r="BT143" i="3"/>
  <c r="BT145" i="3"/>
  <c r="BW148" i="3"/>
  <c r="CC148" i="3"/>
  <c r="BY151" i="3"/>
  <c r="BY153" i="3"/>
  <c r="CA156" i="3"/>
  <c r="BY157" i="3"/>
  <c r="CA70" i="3"/>
  <c r="BY72" i="3"/>
  <c r="BY97" i="3"/>
  <c r="BJ98" i="3"/>
  <c r="BY101" i="3"/>
  <c r="BQ102" i="3"/>
  <c r="BW141" i="3"/>
  <c r="CA143" i="3"/>
  <c r="CC146" i="3"/>
  <c r="CA151" i="3"/>
  <c r="BY152" i="3"/>
  <c r="CA158" i="3"/>
  <c r="K62" i="13"/>
  <c r="K63" i="13" s="1"/>
  <c r="F49" i="13"/>
  <c r="F29" i="13"/>
  <c r="P32" i="13"/>
  <c r="K25" i="13"/>
  <c r="M26" i="13" s="1"/>
  <c r="M64" i="13"/>
  <c r="K61" i="13"/>
  <c r="P29" i="13"/>
  <c r="P60" i="13"/>
  <c r="N43" i="14"/>
  <c r="N46" i="14" s="1"/>
  <c r="H43" i="14"/>
  <c r="H46" i="14" s="1"/>
  <c r="P31" i="14"/>
  <c r="P32" i="14"/>
  <c r="I9" i="14"/>
  <c r="Q14" i="14"/>
  <c r="I19" i="14"/>
  <c r="L29" i="14"/>
  <c r="K31" i="14"/>
  <c r="N41" i="14"/>
  <c r="N31" i="14"/>
  <c r="Q10" i="14"/>
  <c r="Q20" i="14"/>
  <c r="O28" i="14"/>
  <c r="N91" i="14"/>
  <c r="N90" i="14"/>
  <c r="L9" i="14"/>
  <c r="L10" i="14"/>
  <c r="L19" i="14"/>
  <c r="L20" i="14"/>
  <c r="Q26" i="14"/>
  <c r="P28" i="14"/>
  <c r="O29" i="14"/>
  <c r="P30" i="14" s="1"/>
  <c r="M32" i="14"/>
  <c r="I31" i="14"/>
  <c r="N32" i="14"/>
  <c r="G41" i="14"/>
  <c r="F56" i="14"/>
  <c r="F60" i="14"/>
  <c r="F61" i="14" s="1"/>
  <c r="L16" i="14"/>
  <c r="J31" i="14"/>
  <c r="I32" i="14"/>
  <c r="I35" i="14" s="1"/>
  <c r="E52" i="14"/>
  <c r="M55" i="14"/>
  <c r="P56" i="14"/>
  <c r="Q51" i="14"/>
  <c r="O60" i="14"/>
  <c r="O86" i="14"/>
  <c r="L51" i="14"/>
  <c r="H53" i="14"/>
  <c r="N53" i="14"/>
  <c r="C54" i="14"/>
  <c r="I54" i="14"/>
  <c r="I55" i="14"/>
  <c r="N57" i="14" s="1"/>
  <c r="O57" i="14"/>
  <c r="P60" i="14"/>
  <c r="P52" i="14"/>
  <c r="I53" i="14"/>
  <c r="D54" i="14"/>
  <c r="P54" i="14"/>
  <c r="Q55" i="14"/>
  <c r="Q69" i="14"/>
  <c r="Q85" i="14"/>
  <c r="L88" i="14"/>
  <c r="L89" i="14" s="1"/>
  <c r="M91" i="14"/>
  <c r="G51" i="14"/>
  <c r="I52" i="14" s="1"/>
  <c r="P53" i="14"/>
  <c r="K54" i="14"/>
  <c r="K55" i="14"/>
  <c r="P57" i="14" s="1"/>
  <c r="J57" i="14"/>
  <c r="Q68" i="14"/>
  <c r="L49" i="14"/>
  <c r="K52" i="14"/>
  <c r="F54" i="14"/>
  <c r="H91" i="14"/>
  <c r="H94" i="14" s="1"/>
  <c r="Q78" i="14"/>
  <c r="O87" i="14"/>
  <c r="P88" i="14"/>
  <c r="O91" i="14"/>
  <c r="L102" i="14"/>
  <c r="O89" i="14"/>
  <c r="Q100" i="14"/>
  <c r="O103" i="14"/>
  <c r="O104" i="14"/>
  <c r="Q102" i="14"/>
  <c r="I43" i="14"/>
  <c r="I46" i="14" s="1"/>
  <c r="P49" i="13"/>
  <c r="I52" i="13"/>
  <c r="F38" i="13"/>
  <c r="J52" i="13"/>
  <c r="H27" i="13"/>
  <c r="M27" i="13"/>
  <c r="P51" i="13"/>
  <c r="P54" i="13" s="1"/>
  <c r="N38" i="13"/>
  <c r="I26" i="13"/>
  <c r="N27" i="13"/>
  <c r="F51" i="13"/>
  <c r="F52" i="13" s="1"/>
  <c r="E63" i="13"/>
  <c r="D43" i="13"/>
  <c r="L43" i="13"/>
  <c r="N43" i="13"/>
  <c r="O42" i="13"/>
  <c r="O41" i="13"/>
  <c r="O43" i="13"/>
  <c r="H33" i="13"/>
  <c r="M39" i="13"/>
  <c r="G40" i="13"/>
  <c r="M40" i="13"/>
  <c r="L53" i="13"/>
  <c r="D26" i="13"/>
  <c r="L27" i="13"/>
  <c r="I31" i="13"/>
  <c r="H32" i="13"/>
  <c r="O33" i="13"/>
  <c r="N39" i="13"/>
  <c r="H40" i="13"/>
  <c r="D52" i="13"/>
  <c r="M53" i="13"/>
  <c r="G54" i="13"/>
  <c r="M54" i="13"/>
  <c r="P10" i="13"/>
  <c r="F25" i="13"/>
  <c r="F26" i="13" s="1"/>
  <c r="E26" i="13"/>
  <c r="P30" i="13"/>
  <c r="C40" i="13"/>
  <c r="C43" i="13" s="1"/>
  <c r="C46" i="13" s="1"/>
  <c r="I40" i="13"/>
  <c r="K50" i="13"/>
  <c r="E52" i="13"/>
  <c r="N52" i="13"/>
  <c r="N53" i="13"/>
  <c r="K10" i="13"/>
  <c r="K30" i="13"/>
  <c r="O52" i="13"/>
  <c r="O53" i="13"/>
  <c r="I54" i="13"/>
  <c r="P61" i="13"/>
  <c r="K9" i="13"/>
  <c r="I27" i="13"/>
  <c r="K29" i="13"/>
  <c r="P37" i="13"/>
  <c r="P38" i="13" s="1"/>
  <c r="E40" i="13"/>
  <c r="J43" i="13"/>
  <c r="K49" i="13"/>
  <c r="K51" i="13"/>
  <c r="J54" i="13"/>
  <c r="K60" i="13"/>
  <c r="D72" i="13"/>
  <c r="P26" i="13"/>
  <c r="K37" i="13"/>
  <c r="L39" i="13"/>
  <c r="M60" i="13"/>
  <c r="N63" i="13"/>
  <c r="H64" i="13"/>
  <c r="N64" i="13"/>
  <c r="D65" i="13"/>
  <c r="E67" i="13"/>
  <c r="J69" i="13" s="1"/>
  <c r="F62" i="13"/>
  <c r="O63" i="13"/>
  <c r="I64" i="13"/>
  <c r="O64" i="13"/>
  <c r="E65" i="13"/>
  <c r="I63" i="13"/>
  <c r="J64" i="13"/>
  <c r="G67" i="13"/>
  <c r="L69" i="13" s="1"/>
  <c r="M67" i="13"/>
  <c r="P62" i="13"/>
  <c r="J63" i="13"/>
  <c r="G65" i="13"/>
  <c r="M65" i="13"/>
  <c r="H67" i="13"/>
  <c r="N67" i="13"/>
  <c r="D63" i="13"/>
  <c r="H65" i="13"/>
  <c r="C67" i="13"/>
  <c r="C72" i="13" s="1"/>
  <c r="I67" i="13"/>
  <c r="J68" i="13" s="1"/>
  <c r="O67" i="13"/>
  <c r="K69" i="12"/>
  <c r="G33" i="12"/>
  <c r="L37" i="12"/>
  <c r="Q8" i="12"/>
  <c r="H24" i="12"/>
  <c r="J46" i="12"/>
  <c r="J57" i="12"/>
  <c r="K59" i="12"/>
  <c r="E71" i="12"/>
  <c r="K57" i="12"/>
  <c r="D50" i="12"/>
  <c r="Q34" i="12"/>
  <c r="G56" i="12"/>
  <c r="N41" i="12"/>
  <c r="H59" i="12"/>
  <c r="C73" i="12"/>
  <c r="C78" i="12" s="1"/>
  <c r="H80" i="12" s="1"/>
  <c r="M71" i="12"/>
  <c r="I30" i="12"/>
  <c r="N36" i="12"/>
  <c r="H41" i="12"/>
  <c r="H44" i="12" s="1"/>
  <c r="I54" i="12"/>
  <c r="J59" i="12"/>
  <c r="F69" i="12"/>
  <c r="L31" i="12"/>
  <c r="Q20" i="12"/>
  <c r="L30" i="12"/>
  <c r="E45" i="12"/>
  <c r="N54" i="12"/>
  <c r="Q66" i="12"/>
  <c r="M70" i="12"/>
  <c r="I75" i="12"/>
  <c r="M24" i="12"/>
  <c r="Q33" i="12"/>
  <c r="P58" i="12"/>
  <c r="E73" i="12"/>
  <c r="E74" i="12" s="1"/>
  <c r="P73" i="12"/>
  <c r="P71" i="12"/>
  <c r="I19" i="12"/>
  <c r="Q19" i="12"/>
  <c r="H27" i="12"/>
  <c r="K47" i="12"/>
  <c r="K50" i="12" s="1"/>
  <c r="L55" i="12"/>
  <c r="E69" i="12"/>
  <c r="F48" i="12"/>
  <c r="F50" i="12"/>
  <c r="E48" i="12"/>
  <c r="E50" i="12"/>
  <c r="C71" i="12"/>
  <c r="C59" i="12"/>
  <c r="C24" i="12"/>
  <c r="H31" i="12"/>
  <c r="Q37" i="12"/>
  <c r="I46" i="12"/>
  <c r="I47" i="12"/>
  <c r="L8" i="12"/>
  <c r="F71" i="12"/>
  <c r="G8" i="12"/>
  <c r="G71" i="12" s="1"/>
  <c r="L20" i="12"/>
  <c r="Q31" i="12"/>
  <c r="Q30" i="12"/>
  <c r="N33" i="12"/>
  <c r="L34" i="12"/>
  <c r="L33" i="12"/>
  <c r="I36" i="12"/>
  <c r="G36" i="12"/>
  <c r="K46" i="12"/>
  <c r="F45" i="12"/>
  <c r="I59" i="12"/>
  <c r="C44" i="12"/>
  <c r="C47" i="12" s="1"/>
  <c r="C50" i="12" s="1"/>
  <c r="Q68" i="12"/>
  <c r="O71" i="12"/>
  <c r="O41" i="12"/>
  <c r="M44" i="12"/>
  <c r="L41" i="12"/>
  <c r="L42" i="12" s="1"/>
  <c r="J45" i="12"/>
  <c r="N59" i="12"/>
  <c r="N58" i="12"/>
  <c r="E59" i="12"/>
  <c r="F59" i="12"/>
  <c r="M59" i="12"/>
  <c r="L56" i="12"/>
  <c r="M58" i="12"/>
  <c r="O57" i="12"/>
  <c r="I69" i="12"/>
  <c r="G69" i="12"/>
  <c r="M27" i="12"/>
  <c r="J47" i="12"/>
  <c r="K45" i="12"/>
  <c r="P59" i="12"/>
  <c r="J70" i="12"/>
  <c r="J69" i="12"/>
  <c r="O70" i="12"/>
  <c r="J73" i="12"/>
  <c r="O75" i="12" s="1"/>
  <c r="J71" i="12"/>
  <c r="O78" i="12"/>
  <c r="O74" i="12"/>
  <c r="L19" i="12"/>
  <c r="P41" i="12"/>
  <c r="P44" i="12" s="1"/>
  <c r="D59" i="12"/>
  <c r="Q56" i="12"/>
  <c r="G66" i="12"/>
  <c r="I66" i="12"/>
  <c r="L67" i="12"/>
  <c r="I80" i="12"/>
  <c r="P57" i="12"/>
  <c r="O59" i="12"/>
  <c r="Q67" i="12"/>
  <c r="N80" i="12"/>
  <c r="L66" i="12"/>
  <c r="K71" i="12"/>
  <c r="O58" i="12"/>
  <c r="L68" i="12"/>
  <c r="N75" i="12"/>
  <c r="M78" i="12"/>
  <c r="M75" i="12"/>
  <c r="K73" i="12"/>
  <c r="P70" i="12"/>
  <c r="CF25" i="3" l="1"/>
  <c r="CB26" i="3"/>
  <c r="CG25" i="3"/>
  <c r="CD22" i="3"/>
  <c r="BY24" i="3"/>
  <c r="CC25" i="3"/>
  <c r="CC26" i="3"/>
  <c r="CH25" i="3"/>
  <c r="CD26" i="3"/>
  <c r="H57" i="14"/>
  <c r="G55" i="14"/>
  <c r="G56" i="14" s="1"/>
  <c r="Q28" i="14"/>
  <c r="P53" i="13"/>
  <c r="H31" i="14"/>
  <c r="G29" i="14"/>
  <c r="H32" i="14"/>
  <c r="M34" i="14" s="1"/>
  <c r="K33" i="14"/>
  <c r="J92" i="14"/>
  <c r="N44" i="12"/>
  <c r="N46" i="12" s="1"/>
  <c r="BL92" i="3"/>
  <c r="K26" i="13"/>
  <c r="CE12" i="3"/>
  <c r="BY9" i="3"/>
  <c r="BY12" i="3" s="1"/>
  <c r="H75" i="12"/>
  <c r="F57" i="8"/>
  <c r="BM94" i="3"/>
  <c r="BT9" i="3"/>
  <c r="BT10" i="3" s="1"/>
  <c r="BU12" i="3"/>
  <c r="BL93" i="3"/>
  <c r="BQ93" i="3"/>
  <c r="BL94" i="3"/>
  <c r="BT39" i="3"/>
  <c r="CA21" i="3"/>
  <c r="BO10" i="3"/>
  <c r="BZ12" i="3"/>
  <c r="BG94" i="3"/>
  <c r="BV39" i="3"/>
  <c r="BT38" i="3"/>
  <c r="BJ12" i="3"/>
  <c r="BT21" i="3"/>
  <c r="BZ11" i="3"/>
  <c r="BV37" i="3"/>
  <c r="BQ94" i="3"/>
  <c r="BV15" i="3"/>
  <c r="BT15" i="3"/>
  <c r="BQ92" i="3"/>
  <c r="BO93" i="3"/>
  <c r="BV17" i="3"/>
  <c r="BO94" i="3"/>
  <c r="CA94" i="3"/>
  <c r="BY93" i="3"/>
  <c r="BY94" i="3"/>
  <c r="BY108" i="3"/>
  <c r="BY92" i="3"/>
  <c r="CA92" i="3"/>
  <c r="BY21" i="3"/>
  <c r="BY23" i="3"/>
  <c r="CA23" i="3"/>
  <c r="BO11" i="3"/>
  <c r="BS10" i="3"/>
  <c r="BT22" i="3"/>
  <c r="BV23" i="3"/>
  <c r="BJ10" i="3"/>
  <c r="BV21" i="3"/>
  <c r="BY22" i="3"/>
  <c r="CA17" i="3"/>
  <c r="BL10" i="3"/>
  <c r="BL12" i="3"/>
  <c r="BV94" i="3"/>
  <c r="BV92" i="3"/>
  <c r="BT94" i="3"/>
  <c r="BT92" i="3"/>
  <c r="BT93" i="3"/>
  <c r="CD12" i="3"/>
  <c r="CD10" i="3"/>
  <c r="CC10" i="3"/>
  <c r="CC12" i="3"/>
  <c r="CC11" i="3"/>
  <c r="BX12" i="3"/>
  <c r="BX11" i="3"/>
  <c r="BX10" i="3"/>
  <c r="CD38" i="3"/>
  <c r="BY38" i="3"/>
  <c r="BY37" i="3"/>
  <c r="BY39" i="3"/>
  <c r="CA11" i="3"/>
  <c r="CB12" i="3"/>
  <c r="BR11" i="3"/>
  <c r="BR10" i="3"/>
  <c r="BR12" i="3"/>
  <c r="BV146" i="3"/>
  <c r="BT146" i="3"/>
  <c r="BV148" i="3"/>
  <c r="BT147" i="3"/>
  <c r="BT148" i="3"/>
  <c r="BY147" i="3"/>
  <c r="CA37" i="3"/>
  <c r="BW11" i="3"/>
  <c r="BW10" i="3"/>
  <c r="BW12" i="3"/>
  <c r="CB11" i="3"/>
  <c r="BE94" i="3"/>
  <c r="BE93" i="3"/>
  <c r="BE92" i="3"/>
  <c r="CA39" i="3"/>
  <c r="BJ93" i="3"/>
  <c r="BQ11" i="3"/>
  <c r="BQ12" i="3"/>
  <c r="BQ10" i="3"/>
  <c r="BV11" i="3"/>
  <c r="BS12" i="3"/>
  <c r="CD16" i="3"/>
  <c r="BY17" i="3"/>
  <c r="BY16" i="3"/>
  <c r="BY15" i="3"/>
  <c r="CB10" i="3"/>
  <c r="M63" i="13"/>
  <c r="K64" i="13"/>
  <c r="K65" i="13"/>
  <c r="P27" i="13"/>
  <c r="F54" i="13"/>
  <c r="P78" i="12"/>
  <c r="Q43" i="14"/>
  <c r="Q46" i="14" s="1"/>
  <c r="G52" i="14"/>
  <c r="G54" i="14"/>
  <c r="M60" i="14"/>
  <c r="M57" i="14"/>
  <c r="L55" i="14"/>
  <c r="Q57" i="14" s="1"/>
  <c r="M35" i="14"/>
  <c r="L32" i="14"/>
  <c r="N33" i="14" s="1"/>
  <c r="Q29" i="14"/>
  <c r="L103" i="14"/>
  <c r="N103" i="14"/>
  <c r="J33" i="14"/>
  <c r="K43" i="14"/>
  <c r="L91" i="14"/>
  <c r="L92" i="14" s="1"/>
  <c r="M93" i="14"/>
  <c r="M94" i="14"/>
  <c r="Q56" i="14"/>
  <c r="Q60" i="14"/>
  <c r="P61" i="14"/>
  <c r="Q53" i="14"/>
  <c r="Q54" i="14"/>
  <c r="Q52" i="14"/>
  <c r="G60" i="14"/>
  <c r="G61" i="14" s="1"/>
  <c r="O92" i="14"/>
  <c r="O93" i="14"/>
  <c r="Q87" i="14"/>
  <c r="Q86" i="14"/>
  <c r="I60" i="14"/>
  <c r="I57" i="14"/>
  <c r="J56" i="14"/>
  <c r="I56" i="14"/>
  <c r="L54" i="14"/>
  <c r="N52" i="14"/>
  <c r="L53" i="14"/>
  <c r="L52" i="14"/>
  <c r="N35" i="14"/>
  <c r="N34" i="14"/>
  <c r="M43" i="14"/>
  <c r="Q104" i="14"/>
  <c r="Q103" i="14"/>
  <c r="K60" i="14"/>
  <c r="K61" i="14" s="1"/>
  <c r="K57" i="14"/>
  <c r="K56" i="14"/>
  <c r="O32" i="14"/>
  <c r="P33" i="14" s="1"/>
  <c r="O30" i="14"/>
  <c r="O31" i="14"/>
  <c r="P34" i="14"/>
  <c r="P35" i="14"/>
  <c r="P91" i="14"/>
  <c r="P90" i="14"/>
  <c r="P89" i="14"/>
  <c r="Q88" i="14"/>
  <c r="O62" i="14"/>
  <c r="O61" i="14"/>
  <c r="N93" i="14"/>
  <c r="E68" i="13"/>
  <c r="E72" i="13"/>
  <c r="K39" i="13"/>
  <c r="K38" i="13"/>
  <c r="M52" i="13"/>
  <c r="J32" i="13"/>
  <c r="K31" i="13"/>
  <c r="I32" i="13"/>
  <c r="I33" i="13"/>
  <c r="N33" i="13"/>
  <c r="M42" i="13"/>
  <c r="M43" i="13"/>
  <c r="N44" i="13" s="1"/>
  <c r="K27" i="13"/>
  <c r="D41" i="13"/>
  <c r="J46" i="13"/>
  <c r="F40" i="13"/>
  <c r="F41" i="13" s="1"/>
  <c r="G43" i="13"/>
  <c r="L45" i="13" s="1"/>
  <c r="D46" i="13"/>
  <c r="D44" i="13"/>
  <c r="H63" i="13"/>
  <c r="P40" i="13"/>
  <c r="H26" i="13"/>
  <c r="N46" i="13"/>
  <c r="L46" i="13"/>
  <c r="O72" i="13"/>
  <c r="O69" i="13"/>
  <c r="O68" i="13"/>
  <c r="N69" i="13"/>
  <c r="N68" i="13"/>
  <c r="N72" i="13"/>
  <c r="P64" i="13"/>
  <c r="P63" i="13"/>
  <c r="P65" i="13"/>
  <c r="M69" i="13"/>
  <c r="M72" i="13"/>
  <c r="D73" i="13"/>
  <c r="K54" i="13"/>
  <c r="K52" i="13"/>
  <c r="E43" i="13"/>
  <c r="J45" i="13" s="1"/>
  <c r="E41" i="13"/>
  <c r="J42" i="13"/>
  <c r="O45" i="13"/>
  <c r="O44" i="13"/>
  <c r="O46" i="13"/>
  <c r="N41" i="13"/>
  <c r="L42" i="13"/>
  <c r="I72" i="13"/>
  <c r="I68" i="13"/>
  <c r="I69" i="13"/>
  <c r="K67" i="13"/>
  <c r="H69" i="13"/>
  <c r="H72" i="13"/>
  <c r="G72" i="13"/>
  <c r="F67" i="13"/>
  <c r="F68" i="13" s="1"/>
  <c r="D68" i="13"/>
  <c r="I42" i="13"/>
  <c r="I41" i="13"/>
  <c r="I43" i="13"/>
  <c r="N45" i="13" s="1"/>
  <c r="H42" i="13"/>
  <c r="H43" i="13"/>
  <c r="J41" i="13"/>
  <c r="N42" i="13"/>
  <c r="K40" i="13"/>
  <c r="M41" i="13" s="1"/>
  <c r="F65" i="13"/>
  <c r="F63" i="13"/>
  <c r="P67" i="13"/>
  <c r="M38" i="13"/>
  <c r="E78" i="12"/>
  <c r="E79" i="12" s="1"/>
  <c r="G73" i="12"/>
  <c r="G74" i="12" s="1"/>
  <c r="K49" i="12"/>
  <c r="K48" i="12"/>
  <c r="L73" i="12"/>
  <c r="L74" i="12" s="1"/>
  <c r="F74" i="12"/>
  <c r="P74" i="12"/>
  <c r="G41" i="12"/>
  <c r="H43" i="12"/>
  <c r="P79" i="12"/>
  <c r="O79" i="12"/>
  <c r="L59" i="12"/>
  <c r="L57" i="12"/>
  <c r="G59" i="12"/>
  <c r="O42" i="12"/>
  <c r="O44" i="12"/>
  <c r="P45" i="12" s="1"/>
  <c r="M80" i="12"/>
  <c r="P47" i="12"/>
  <c r="P46" i="12"/>
  <c r="I50" i="12"/>
  <c r="I49" i="12"/>
  <c r="Q59" i="12"/>
  <c r="J74" i="12"/>
  <c r="J75" i="12"/>
  <c r="J78" i="12"/>
  <c r="O80" i="12" s="1"/>
  <c r="H46" i="12"/>
  <c r="G44" i="12"/>
  <c r="H47" i="12"/>
  <c r="N57" i="12"/>
  <c r="M47" i="12"/>
  <c r="M46" i="12"/>
  <c r="L44" i="12"/>
  <c r="N45" i="12" s="1"/>
  <c r="N47" i="12"/>
  <c r="N42" i="12"/>
  <c r="K75" i="12"/>
  <c r="K78" i="12"/>
  <c r="K74" i="12"/>
  <c r="L71" i="12"/>
  <c r="L70" i="12"/>
  <c r="N69" i="12"/>
  <c r="L69" i="12"/>
  <c r="Q70" i="12"/>
  <c r="Q69" i="12"/>
  <c r="Q71" i="12"/>
  <c r="P75" i="12"/>
  <c r="J49" i="12"/>
  <c r="J48" i="12"/>
  <c r="J50" i="12"/>
  <c r="Q73" i="12"/>
  <c r="Q41" i="12"/>
  <c r="BY26" i="3" l="1"/>
  <c r="CD25" i="3"/>
  <c r="CA26" i="3"/>
  <c r="H34" i="14"/>
  <c r="H35" i="14"/>
  <c r="N92" i="14"/>
  <c r="I61" i="14"/>
  <c r="P80" i="12"/>
  <c r="G30" i="14"/>
  <c r="I30" i="14"/>
  <c r="G32" i="14"/>
  <c r="G35" i="14" s="1"/>
  <c r="BV12" i="3"/>
  <c r="BV10" i="3"/>
  <c r="K43" i="13"/>
  <c r="K46" i="13" s="1"/>
  <c r="BY10" i="3"/>
  <c r="BT12" i="3"/>
  <c r="CA12" i="3"/>
  <c r="CA10" i="3"/>
  <c r="CD11" i="3"/>
  <c r="BY11" i="3"/>
  <c r="BT11" i="3"/>
  <c r="H41" i="13"/>
  <c r="G78" i="12"/>
  <c r="G79" i="12" s="1"/>
  <c r="I74" i="12"/>
  <c r="P43" i="13"/>
  <c r="P44" i="13" s="1"/>
  <c r="L75" i="12"/>
  <c r="N74" i="12"/>
  <c r="Q91" i="14"/>
  <c r="L35" i="14"/>
  <c r="L33" i="14"/>
  <c r="Q61" i="14"/>
  <c r="Q90" i="14"/>
  <c r="Q89" i="14"/>
  <c r="O34" i="14"/>
  <c r="O33" i="14"/>
  <c r="O35" i="14"/>
  <c r="P62" i="14"/>
  <c r="L56" i="14"/>
  <c r="L57" i="14"/>
  <c r="N56" i="14"/>
  <c r="K46" i="14"/>
  <c r="K44" i="14"/>
  <c r="P92" i="14"/>
  <c r="P93" i="14"/>
  <c r="L43" i="14"/>
  <c r="M46" i="14"/>
  <c r="M45" i="14"/>
  <c r="Q32" i="14"/>
  <c r="L60" i="14"/>
  <c r="Q30" i="14"/>
  <c r="O43" i="14"/>
  <c r="J44" i="13"/>
  <c r="H74" i="13"/>
  <c r="F72" i="13"/>
  <c r="F73" i="13" s="1"/>
  <c r="L74" i="13"/>
  <c r="O73" i="13"/>
  <c r="O74" i="13"/>
  <c r="K68" i="13"/>
  <c r="K69" i="13"/>
  <c r="E46" i="13"/>
  <c r="E44" i="13"/>
  <c r="M74" i="13"/>
  <c r="N73" i="13"/>
  <c r="N74" i="13"/>
  <c r="M32" i="13"/>
  <c r="K32" i="13"/>
  <c r="K33" i="13"/>
  <c r="P33" i="13"/>
  <c r="P69" i="13"/>
  <c r="P68" i="13"/>
  <c r="P72" i="13"/>
  <c r="K42" i="13"/>
  <c r="K41" i="13"/>
  <c r="M68" i="13"/>
  <c r="H45" i="13"/>
  <c r="H46" i="13"/>
  <c r="I45" i="13"/>
  <c r="I46" i="13"/>
  <c r="I44" i="13"/>
  <c r="H68" i="13"/>
  <c r="I74" i="13"/>
  <c r="J73" i="13"/>
  <c r="I73" i="13"/>
  <c r="K72" i="13"/>
  <c r="G46" i="13"/>
  <c r="F43" i="13"/>
  <c r="M45" i="13"/>
  <c r="M46" i="13"/>
  <c r="J74" i="13"/>
  <c r="E73" i="13"/>
  <c r="F79" i="12"/>
  <c r="I42" i="12"/>
  <c r="G42" i="12"/>
  <c r="L46" i="12"/>
  <c r="L45" i="12"/>
  <c r="L47" i="12"/>
  <c r="N48" i="12" s="1"/>
  <c r="Q44" i="12"/>
  <c r="M49" i="12"/>
  <c r="M50" i="12"/>
  <c r="G47" i="12"/>
  <c r="G45" i="12"/>
  <c r="I45" i="12"/>
  <c r="K79" i="12"/>
  <c r="K80" i="12"/>
  <c r="J79" i="12"/>
  <c r="J80" i="12"/>
  <c r="H50" i="12"/>
  <c r="H49" i="12"/>
  <c r="P50" i="12"/>
  <c r="P49" i="12"/>
  <c r="Q74" i="12"/>
  <c r="Q75" i="12"/>
  <c r="L78" i="12"/>
  <c r="Q43" i="12"/>
  <c r="Q78" i="12"/>
  <c r="N50" i="12"/>
  <c r="N49" i="12"/>
  <c r="O46" i="12"/>
  <c r="O47" i="12"/>
  <c r="O45" i="12"/>
  <c r="I79" i="12" l="1"/>
  <c r="K45" i="13"/>
  <c r="P46" i="13"/>
  <c r="M44" i="13"/>
  <c r="K44" i="13"/>
  <c r="P45" i="13"/>
  <c r="L46" i="14"/>
  <c r="L44" i="14"/>
  <c r="N44" i="14"/>
  <c r="Q93" i="14"/>
  <c r="Q92" i="14"/>
  <c r="O46" i="14"/>
  <c r="O45" i="14"/>
  <c r="O44" i="14"/>
  <c r="L61" i="14"/>
  <c r="N61" i="14"/>
  <c r="Q34" i="14"/>
  <c r="Q33" i="14"/>
  <c r="Q35" i="14"/>
  <c r="Q62" i="14"/>
  <c r="K74" i="13"/>
  <c r="K73" i="13"/>
  <c r="P74" i="13"/>
  <c r="P73" i="13"/>
  <c r="H73" i="13"/>
  <c r="F44" i="13"/>
  <c r="F46" i="13"/>
  <c r="H44" i="13"/>
  <c r="M73" i="13"/>
  <c r="Q79" i="12"/>
  <c r="Q80" i="12"/>
  <c r="L49" i="12"/>
  <c r="L48" i="12"/>
  <c r="L50" i="12"/>
  <c r="Q47" i="12"/>
  <c r="Q46" i="12"/>
  <c r="Q45" i="12"/>
  <c r="O50" i="12"/>
  <c r="O48" i="12"/>
  <c r="O49" i="12"/>
  <c r="P48" i="12"/>
  <c r="L80" i="12"/>
  <c r="N79" i="12"/>
  <c r="L79" i="12"/>
  <c r="G50" i="12"/>
  <c r="G48" i="12"/>
  <c r="I48" i="12"/>
  <c r="N50" i="20"/>
  <c r="O50" i="20"/>
  <c r="U50" i="20"/>
  <c r="T50" i="20"/>
  <c r="K50" i="20"/>
  <c r="L50" i="20"/>
  <c r="P50" i="20" l="1"/>
  <c r="R50" i="20"/>
  <c r="Q50" i="20"/>
  <c r="X50" i="20"/>
  <c r="Q50" i="12"/>
  <c r="Q49" i="12"/>
  <c r="Q48" i="12"/>
  <c r="M50" i="20"/>
  <c r="S50" i="20"/>
  <c r="Z50" i="20" l="1"/>
  <c r="Y50" i="20"/>
  <c r="BJ42" i="7" l="1"/>
  <c r="BK42" i="7" s="1"/>
  <c r="BH42" i="7"/>
  <c r="BI42" i="7"/>
</calcChain>
</file>

<file path=xl/sharedStrings.xml><?xml version="1.0" encoding="utf-8"?>
<sst xmlns="http://schemas.openxmlformats.org/spreadsheetml/2006/main" count="4462" uniqueCount="562">
  <si>
    <t>Q2</t>
  </si>
  <si>
    <t>Q3</t>
  </si>
  <si>
    <t>Q4</t>
  </si>
  <si>
    <t>Pelephone</t>
  </si>
  <si>
    <t>FY</t>
  </si>
  <si>
    <t>QoQ Change</t>
  </si>
  <si>
    <t>YoY Change</t>
  </si>
  <si>
    <t>EBITDA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</si>
  <si>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</si>
  <si>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</si>
  <si>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</si>
  <si>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</si>
  <si>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</si>
  <si>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</si>
  <si>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</si>
  <si>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</si>
  <si>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yes</t>
  </si>
  <si>
    <t>Key Cash Flow Metrics</t>
  </si>
  <si>
    <t>Key Performance Indicators</t>
  </si>
  <si>
    <t>Key Income Statement Metrics</t>
  </si>
  <si>
    <t>ARPU</t>
  </si>
  <si>
    <t>=</t>
  </si>
  <si>
    <t>Glossary</t>
  </si>
  <si>
    <t>N/M</t>
  </si>
  <si>
    <t>N/A</t>
  </si>
  <si>
    <t xml:space="preserve">N/A </t>
  </si>
  <si>
    <t>Bezeq Fixed-Line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</si>
  <si>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</si>
  <si>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</si>
  <si>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</si>
  <si>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</si>
  <si>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</si>
  <si>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</si>
  <si>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</si>
  <si>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</si>
  <si>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</si>
  <si>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</si>
  <si>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</si>
  <si>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Key Income Statement Metrics </t>
  </si>
  <si>
    <t xml:space="preserve">Key Cash Flow Metrics 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</si>
  <si>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</si>
  <si>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</si>
  <si>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</si>
  <si>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</si>
  <si>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</si>
  <si>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</si>
  <si>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</si>
  <si>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</si>
  <si>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</si>
  <si>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</si>
  <si>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</si>
  <si>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</si>
  <si>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</si>
  <si>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</si>
  <si>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</si>
  <si>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</si>
  <si>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</si>
  <si>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</si>
  <si>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</si>
  <si>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</si>
  <si>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</si>
  <si>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</si>
  <si>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</si>
  <si>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</si>
  <si>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</si>
  <si>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</si>
  <si>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</si>
  <si>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</si>
  <si>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</si>
  <si>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</si>
  <si>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</si>
  <si>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</si>
  <si>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</si>
  <si>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</si>
  <si>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</si>
  <si>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</si>
  <si>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</si>
  <si>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</si>
  <si>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</si>
  <si>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</si>
  <si>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</si>
  <si>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</si>
  <si>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</si>
  <si>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</si>
  <si>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</si>
  <si>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</si>
  <si>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Business Customers</t>
  </si>
  <si>
    <t>% of total revenues</t>
  </si>
  <si>
    <t>April 23, 2014</t>
  </si>
  <si>
    <t>Collection fees (royalties)</t>
  </si>
  <si>
    <t>October 2, 2014</t>
  </si>
  <si>
    <t>May 27, 2015</t>
  </si>
  <si>
    <t>-</t>
  </si>
  <si>
    <t>October 26, 2015</t>
  </si>
  <si>
    <t>Mkt share</t>
  </si>
  <si>
    <t>Churn rate</t>
  </si>
  <si>
    <t xml:space="preserve">Churn rate </t>
  </si>
  <si>
    <t xml:space="preserve">Semi-Annual Dividend </t>
  </si>
  <si>
    <t xml:space="preserve"> </t>
  </si>
  <si>
    <t>Churn rate  (ISP)</t>
  </si>
  <si>
    <t>Churn rate (telephony)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</si>
  <si>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</si>
  <si>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</si>
  <si>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</si>
  <si>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</si>
  <si>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</si>
  <si>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</si>
  <si>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</si>
  <si>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</si>
  <si>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</si>
  <si>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</si>
  <si>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</si>
  <si>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</si>
  <si>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</si>
  <si>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</si>
  <si>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October 6, 2016</t>
  </si>
  <si>
    <t>Income taxes</t>
  </si>
  <si>
    <t xml:space="preserve">Capital expenditures, net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</si>
  <si>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</si>
  <si>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</si>
  <si>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</si>
  <si>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</si>
  <si>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</si>
  <si>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</si>
  <si>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</si>
  <si>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</si>
  <si>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</si>
  <si>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</si>
  <si>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</si>
  <si>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</si>
  <si>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</si>
  <si>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</si>
  <si>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</si>
  <si>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</si>
  <si>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</si>
  <si>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</si>
  <si>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</si>
  <si>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</si>
  <si>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</si>
  <si>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</si>
  <si>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</si>
  <si>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</si>
  <si>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</si>
  <si>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</si>
  <si>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</si>
  <si>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</si>
  <si>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</si>
  <si>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</si>
  <si>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</si>
  <si>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</si>
  <si>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</si>
  <si>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</si>
  <si>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</si>
  <si>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</si>
  <si>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</si>
  <si>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</si>
  <si>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</si>
  <si>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</si>
  <si>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</si>
  <si>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</si>
  <si>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</si>
  <si>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>October 10, 2018</t>
  </si>
  <si>
    <t>Investment property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</si>
  <si>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</si>
  <si>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</si>
  <si>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</si>
  <si>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</si>
  <si>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</si>
  <si>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</si>
  <si>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</si>
  <si>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</si>
  <si>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</si>
  <si>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</si>
  <si>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</si>
  <si>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</si>
  <si>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</si>
  <si>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</si>
  <si>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</si>
  <si>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</si>
  <si>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</si>
  <si>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</si>
  <si>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</si>
  <si>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</si>
  <si>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</si>
  <si>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</si>
  <si>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</si>
  <si>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</si>
  <si>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</si>
  <si>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</si>
  <si>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</si>
  <si>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</si>
  <si>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</si>
  <si>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</si>
  <si>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</si>
  <si>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</si>
  <si>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</si>
  <si>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</si>
  <si>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</si>
  <si>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</si>
  <si>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</si>
  <si>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</si>
  <si>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</si>
  <si>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</si>
  <si>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</si>
  <si>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NET PROFIT reported</t>
  </si>
  <si>
    <t>Loss from impairment of Bezeq International assets</t>
  </si>
  <si>
    <t>Loss from impairment of assets (yes and Walla)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</si>
  <si>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</si>
  <si>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</si>
  <si>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</si>
  <si>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</si>
  <si>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</si>
  <si>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</si>
  <si>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</si>
  <si>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</si>
  <si>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</si>
  <si>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</si>
  <si>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</si>
  <si>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</si>
  <si>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</si>
  <si>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</si>
  <si>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</si>
  <si>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</si>
  <si>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</si>
  <si>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</si>
  <si>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</si>
  <si>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</si>
  <si>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</si>
  <si>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</si>
  <si>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</si>
  <si>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Adjusted EBITDA Calculation</t>
  </si>
  <si>
    <t xml:space="preserve"> Adjusted Net Profit Calculation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</si>
  <si>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</si>
  <si>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</si>
  <si>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</si>
  <si>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</si>
  <si>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</si>
  <si>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</si>
  <si>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</si>
  <si>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</si>
  <si>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</si>
  <si>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increase to controlling stake in yes</t>
  </si>
  <si>
    <t xml:space="preserve">Change in other liabilities </t>
  </si>
  <si>
    <t>Capital expenditures, gross (cash)</t>
  </si>
  <si>
    <t>Capital expenditures, net (cash)</t>
  </si>
  <si>
    <t>Provision for grant to fixed-line employees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</si>
  <si>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</si>
  <si>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</si>
  <si>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</si>
  <si>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</si>
  <si>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</si>
  <si>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</si>
  <si>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</si>
  <si>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</si>
  <si>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</si>
  <si>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</si>
  <si>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</si>
  <si>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</si>
  <si>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</si>
  <si>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</si>
  <si>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</si>
  <si>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</si>
  <si>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</si>
  <si>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</si>
  <si>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</si>
  <si>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</si>
  <si>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</si>
  <si>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</si>
  <si>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</si>
  <si>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</si>
  <si>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</si>
  <si>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</si>
  <si>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</si>
  <si>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</si>
  <si>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</si>
  <si>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</si>
  <si>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</si>
  <si>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</si>
  <si>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</si>
  <si>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</si>
  <si>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</si>
  <si>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</si>
  <si>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</si>
  <si>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</si>
  <si>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</si>
  <si>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</si>
  <si>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</si>
  <si>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</si>
  <si>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</si>
  <si>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</si>
  <si>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</si>
  <si>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</si>
  <si>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</si>
  <si>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</si>
  <si>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</si>
  <si>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Pelephone Adjusted EBITDA Margin</t>
  </si>
  <si>
    <t xml:space="preserve">Bezeq International Adjusted EBITDA </t>
  </si>
  <si>
    <t>Bezeq International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</si>
  <si>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</si>
  <si>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</si>
  <si>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</si>
  <si>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</si>
  <si>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</si>
  <si>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</si>
  <si>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</si>
  <si>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</si>
  <si>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</si>
  <si>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</si>
  <si>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</si>
  <si>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</si>
  <si>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</si>
  <si>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</si>
  <si>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</si>
  <si>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</si>
  <si>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</si>
  <si>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</si>
  <si>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</si>
  <si>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</si>
  <si>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</si>
  <si>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</si>
  <si>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</si>
  <si>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</si>
  <si>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</si>
  <si>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</si>
  <si>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Market share (end of period)</t>
  </si>
  <si>
    <t>CapEx</t>
  </si>
  <si>
    <t>Free Cash Flow</t>
  </si>
  <si>
    <t>Credit Rating</t>
  </si>
  <si>
    <t>May 16, 2022</t>
  </si>
  <si>
    <t>Fiber optics deployed (in 000's) - Homes Passed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</si>
  <si>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</si>
  <si>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</si>
  <si>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</si>
  <si>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</si>
  <si>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</si>
  <si>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</si>
  <si>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</si>
  <si>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</si>
  <si>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</si>
  <si>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</si>
  <si>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</si>
  <si>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 xml:space="preserve">Total telephony lines (in 000's) </t>
  </si>
  <si>
    <t>6M</t>
  </si>
  <si>
    <t>Q2 2022</t>
  </si>
  <si>
    <t>Oct 3, 2022</t>
  </si>
  <si>
    <t>Q3 2022</t>
  </si>
  <si>
    <t xml:space="preserve">ADJUSTED EBITDA  </t>
  </si>
  <si>
    <t>ADJUSTED NET PROFIT (LOSS) - proforma</t>
  </si>
  <si>
    <t>Net profit (loss) - proforma</t>
  </si>
  <si>
    <t>EBITDA - proforma</t>
  </si>
  <si>
    <t>ADJUSTED EBITDA  - proforma</t>
  </si>
  <si>
    <t>Dividend payable</t>
  </si>
  <si>
    <t>Net profit (loss)</t>
  </si>
  <si>
    <t xml:space="preserve">Net profit (loss) </t>
  </si>
  <si>
    <t xml:space="preserve">EBITDA </t>
  </si>
  <si>
    <t xml:space="preserve">ADJUSTED EBITDA Margin </t>
  </si>
  <si>
    <t>FY 2022</t>
  </si>
  <si>
    <t>TOTAL OPERATING EXPENSES</t>
  </si>
  <si>
    <t>Adjusted EBITDA and Adjusted Net Profit - Key Subsidiary Companies</t>
  </si>
  <si>
    <t>PROFORMA - yes</t>
  </si>
  <si>
    <t>REPORTED - yes</t>
  </si>
  <si>
    <t>yes Adjusted EBITDA  - REPORTED</t>
  </si>
  <si>
    <t>yes Adjusted Net Profit (Loss) - REPORTED</t>
  </si>
  <si>
    <t>yes - REPORTED net profit (loss)</t>
  </si>
  <si>
    <t xml:space="preserve">yes - REPORTED EBITDA </t>
  </si>
  <si>
    <t>yes Adjusted EBITDA Margin - PROFORMA</t>
  </si>
  <si>
    <t>yes Adjusted EBITDA Margin - REPORTED</t>
  </si>
  <si>
    <t>Broadband lines (in 000's)- Wholesale Copper</t>
  </si>
  <si>
    <t>Broadband subs (in 000's) - Total Retail</t>
  </si>
  <si>
    <t>Broadband subs (in 000's) - Retail Fiber</t>
  </si>
  <si>
    <t>Broadband subs (in 000's) - Retail Copper</t>
  </si>
  <si>
    <t>Broadband subs (in 000's)-Total Wholesale</t>
  </si>
  <si>
    <t>Broadband subs (in 000's)- Wholesale Fiber</t>
  </si>
  <si>
    <t>Total Broadband subs (in 000's) - Retail+WS</t>
  </si>
  <si>
    <t>ARPU  - excluding interconnect fees (NIS)</t>
  </si>
  <si>
    <t>0.58% - 2.20%</t>
  </si>
  <si>
    <t>Total Fiber subs (in 000's) - Retail+WS</t>
  </si>
  <si>
    <t>QoQ sub change (000's)</t>
  </si>
  <si>
    <t>QoQ change (000's)</t>
  </si>
  <si>
    <t>May 11, 2023</t>
  </si>
  <si>
    <t>Q1 2023</t>
  </si>
  <si>
    <t>Q2 2023</t>
  </si>
  <si>
    <t xml:space="preserve">Cash tax </t>
  </si>
  <si>
    <t xml:space="preserve">Capital expenditures, gross </t>
  </si>
  <si>
    <t>Capital expenditures, net</t>
  </si>
  <si>
    <t>Service Revenues - excluding interconnect fees</t>
  </si>
  <si>
    <t>Shares Outstanding - Diluted (millions)</t>
  </si>
  <si>
    <t>ADJUSTED EBITDA Margin  - proforma</t>
  </si>
  <si>
    <t>Loss (Profit) from the sale of property, plant and equipment (mainly real estate)</t>
  </si>
  <si>
    <t>October 11, 2023</t>
  </si>
  <si>
    <t>Adjusted net profit margin</t>
  </si>
  <si>
    <t>Total Revenues - excluding interconnect fees</t>
  </si>
  <si>
    <t>Interconnect fees</t>
  </si>
  <si>
    <t>Capex/Sales ratio</t>
  </si>
  <si>
    <t>Q3 2023</t>
  </si>
  <si>
    <t>yes Adjusted EBITDA  - PROFORMA</t>
  </si>
  <si>
    <t>yes Adjusted Net Profit (Loss) - PROFORMA</t>
  </si>
  <si>
    <t xml:space="preserve">ADJUSTED EBITDA Margin-excluding interconnect </t>
  </si>
  <si>
    <t>Amendment to labor agreement</t>
  </si>
  <si>
    <t>FY 2023</t>
  </si>
  <si>
    <t>Average broadband speed per subscriber (EOP, Mbps)</t>
  </si>
  <si>
    <t>Net debt / Adjusted EBITDA AL (ttm)</t>
  </si>
  <si>
    <t>Net Debt/Adjusted EBITDA AL Ratio</t>
  </si>
  <si>
    <t>International long-distance services (ILD)</t>
  </si>
  <si>
    <t xml:space="preserve">Integration solutions </t>
  </si>
  <si>
    <t>Cloud, hosting and IT services (ICT)</t>
  </si>
  <si>
    <t>ARPU - retail Internet</t>
  </si>
  <si>
    <t>ARPU - cellular</t>
  </si>
  <si>
    <t>Operating Metrics</t>
  </si>
  <si>
    <t>Financial Metrics</t>
  </si>
  <si>
    <t>May 9, 2024</t>
  </si>
  <si>
    <t>% of total revenues, excluding interconnect fees</t>
  </si>
  <si>
    <t>Revenues from Business Customers, excluding interconnect</t>
  </si>
  <si>
    <t>YoY Change, excluding interconnect fees</t>
  </si>
  <si>
    <t>QoQ Change, excluding interconnect fees</t>
  </si>
  <si>
    <t>Dividend paid</t>
  </si>
  <si>
    <t>Q1 2024</t>
  </si>
  <si>
    <t>3.20% - 5.33%</t>
  </si>
  <si>
    <t>Revenues from Consumers</t>
  </si>
  <si>
    <t>Core Revenues (excluding telephony)</t>
  </si>
  <si>
    <t>Broadband ARPU (in NIS) - Retail</t>
  </si>
  <si>
    <t xml:space="preserve">Broadband  </t>
  </si>
  <si>
    <t>ilAA</t>
  </si>
  <si>
    <t>Aa2.il</t>
  </si>
  <si>
    <t>Rating Events</t>
  </si>
  <si>
    <t>Stable</t>
  </si>
  <si>
    <t>Upgraded from Aa3.il in May 2024</t>
  </si>
  <si>
    <t>Midroog (Moody's affiliate)</t>
  </si>
  <si>
    <r>
      <t>Upgraded from ilAA</t>
    </r>
    <r>
      <rPr>
        <b/>
        <sz val="10"/>
        <rFont val="Arial"/>
        <family val="2"/>
      </rPr>
      <t>-</t>
    </r>
    <r>
      <rPr>
        <sz val="10"/>
        <rFont val="Arial"/>
        <family val="2"/>
      </rPr>
      <t xml:space="preserve"> in May 2024</t>
    </r>
  </si>
  <si>
    <t>Interest received from bank deposits</t>
  </si>
  <si>
    <t>Net profit</t>
  </si>
  <si>
    <t>Total changes in working capital</t>
  </si>
  <si>
    <t>Revenues from Consumers, excluding interconnect</t>
  </si>
  <si>
    <t>Q2 2024</t>
  </si>
  <si>
    <t>Revenues from Consumers*</t>
  </si>
  <si>
    <t>2.79% - 3.65%</t>
  </si>
  <si>
    <t>October 10, 2024</t>
  </si>
  <si>
    <t>Q3 2024</t>
  </si>
  <si>
    <t>Total Fiber Take-Up (%)</t>
  </si>
  <si>
    <t>NM</t>
  </si>
  <si>
    <t>Other (legal claims, etc...)</t>
  </si>
  <si>
    <t>Loss from sale of Bezeq Online</t>
  </si>
  <si>
    <t>FY 2024</t>
  </si>
  <si>
    <t>Loss from investee company (Bezeq Energy)</t>
  </si>
  <si>
    <t>* Data for 2020-2021 includes the reclassification of SOHO revenue to consumer activities (similar to 2022-2024)</t>
  </si>
  <si>
    <t xml:space="preserve">Total TV Subscribers (EOP, in 000's) </t>
  </si>
  <si>
    <t>yes fiber subscribers (EOP, in 000's)</t>
  </si>
  <si>
    <t>Core revenues - excluding Fixed-line telephony, Pelephone interconnect, Bezeq International consumer revenues and Bezeq Online revenues</t>
  </si>
  <si>
    <t>Bezeq Online revenues</t>
  </si>
  <si>
    <t xml:space="preserve">Postpaid subscribers on 5G Plans (EOP, in 000's) </t>
  </si>
  <si>
    <t>ADJUSTED EBITDA - CapEx</t>
  </si>
  <si>
    <t>Internet &amp; data communication services</t>
  </si>
  <si>
    <t>Assets of a held for sale disposal group</t>
  </si>
  <si>
    <t>Liabilities of a held for sale disposal group</t>
  </si>
  <si>
    <t>% of postpaid subscribers</t>
  </si>
  <si>
    <t>Core Revenues</t>
  </si>
  <si>
    <t>ARPU -  yes Retail</t>
  </si>
  <si>
    <t>May 14, 2025</t>
  </si>
  <si>
    <t>(NIS millions)</t>
  </si>
  <si>
    <t>Q1 2025</t>
  </si>
  <si>
    <t>Operating and general expenses</t>
  </si>
  <si>
    <t>Interest income on investments</t>
  </si>
  <si>
    <t>ARPU - TV (in NIS)</t>
  </si>
  <si>
    <t>ARPU Subscribers (TV + fiber, NIS)</t>
  </si>
  <si>
    <t xml:space="preserve">Other financing income </t>
  </si>
  <si>
    <t>Q2 2025</t>
  </si>
  <si>
    <t>Content (including impairment)</t>
  </si>
  <si>
    <t xml:space="preserve">Change in fair value of financial assets </t>
  </si>
  <si>
    <t>Broadband subs (in 000's) - Total Retail Bezeq Group</t>
  </si>
  <si>
    <t>October 19, 2025</t>
  </si>
  <si>
    <t>\</t>
  </si>
  <si>
    <t>Bezeq The Israeli Telecommunications Corp., Ltd.</t>
  </si>
  <si>
    <t>Debt Repayments</t>
  </si>
  <si>
    <t>Q3 2025</t>
  </si>
  <si>
    <t>FY 2025</t>
  </si>
  <si>
    <t>2025 Results</t>
  </si>
  <si>
    <t>Bezeq Group FY 2026 Outlook and Mid-Term Targets</t>
  </si>
  <si>
    <t xml:space="preserve">2026 Outlook </t>
  </si>
  <si>
    <t>Summary of Financial Undertakings as of December 31, 2025 (based on repayment dates)</t>
  </si>
  <si>
    <t>The following table shows the distribution of long-term debt as of December 31, 2025 (including current maturities):</t>
  </si>
  <si>
    <t>in 2025</t>
  </si>
  <si>
    <t>Semi-Annual Dividend (Pending Shareholder Approval)</t>
  </si>
  <si>
    <t xml:space="preserve">Postpaid subscribers on 5G MAX Plans (EOP, in 000's) </t>
  </si>
  <si>
    <t>Less: Bezeq International impairment gain (loss)</t>
  </si>
  <si>
    <t>2029 Targets</t>
  </si>
  <si>
    <t>Adjusted EBITDA Comparabe - CapEx</t>
  </si>
  <si>
    <t>Group full-time equivalents</t>
  </si>
  <si>
    <t>Fiber deployment</t>
  </si>
  <si>
    <t>Fiber Take-Up</t>
  </si>
  <si>
    <t>5G subscriber plans</t>
  </si>
  <si>
    <t>5G MAX subscriber plans</t>
  </si>
  <si>
    <t>5G sites</t>
  </si>
  <si>
    <t xml:space="preserve">yes subscribers -  TV + Fiber Bundle </t>
  </si>
  <si>
    <t>Decrease of ~14%</t>
  </si>
  <si>
    <t>2.913m households</t>
  </si>
  <si>
    <t>~3.5m households</t>
  </si>
  <si>
    <t>NIS 136</t>
  </si>
  <si>
    <t>NIS 46</t>
  </si>
  <si>
    <t>59% of postpaid subs</t>
  </si>
  <si>
    <t>140k</t>
  </si>
  <si>
    <t>~ NIS 150</t>
  </si>
  <si>
    <t>~85% of postpaid subs</t>
  </si>
  <si>
    <t>~ 450k</t>
  </si>
  <si>
    <t>~ 90% of deployment plan</t>
  </si>
  <si>
    <t>NIS 192</t>
  </si>
  <si>
    <t>~ NIS 215</t>
  </si>
  <si>
    <t>~ NIS 50</t>
  </si>
  <si>
    <t>~ 50%</t>
  </si>
  <si>
    <t xml:space="preserve">~ 43% (retail + wholesale) </t>
  </si>
  <si>
    <t>21% of total subs</t>
  </si>
  <si>
    <t>~50% of total subs</t>
  </si>
  <si>
    <t>% fiber subscribers with speeds &gt;1 GBps</t>
  </si>
  <si>
    <t>~ 50% of deployment plan</t>
  </si>
  <si>
    <t>Full-time equivalents</t>
  </si>
  <si>
    <t>NIS 8.7 - 8.9 billion</t>
  </si>
  <si>
    <t>NIS 4.2 - 4.4 billion</t>
  </si>
  <si>
    <t>NIS 1.5 - 1.6 billion</t>
  </si>
  <si>
    <t>NIS 2.65 - 2.85 billion</t>
  </si>
  <si>
    <t>&gt;10% CAGR</t>
  </si>
  <si>
    <t>Stable salary expenses</t>
  </si>
  <si>
    <t>Market share - Broadband (retail and wholesale)</t>
  </si>
  <si>
    <t>Market share - Broadband (retail)</t>
  </si>
  <si>
    <t xml:space="preserve">Variable; based on  prime interest rate </t>
  </si>
  <si>
    <t>5.86% - 6.53%</t>
  </si>
  <si>
    <t xml:space="preserve">Adjusted Net Profit </t>
  </si>
  <si>
    <t>Less: yes Adjusted Net Profit - accounting</t>
  </si>
  <si>
    <t>yes Adjusted Net Profit  - proforma</t>
  </si>
  <si>
    <t>yes Adjusted EBITDA - proforma</t>
  </si>
  <si>
    <t>Less: yes Adjusted EBITDA - accounting</t>
  </si>
  <si>
    <t>~ NIS 1.6 billion</t>
  </si>
  <si>
    <t xml:space="preserve">COMP EBITDA </t>
  </si>
  <si>
    <t>COMP EBITDA Margin</t>
  </si>
  <si>
    <t>COMP EBITDA - CapEx</t>
  </si>
  <si>
    <t>YoY Change in millions</t>
  </si>
  <si>
    <t xml:space="preserve">COMP NET PROFIT </t>
  </si>
  <si>
    <t xml:space="preserve">Bezeq Group COMP </t>
  </si>
  <si>
    <t>COMP EBITDA Calculation</t>
  </si>
  <si>
    <t>COMP Net Profit Calculation</t>
  </si>
  <si>
    <t xml:space="preserve">COMP Net Profit </t>
  </si>
  <si>
    <t xml:space="preserve">Comp EBITDA </t>
  </si>
  <si>
    <t xml:space="preserve">Comp Net Income </t>
  </si>
  <si>
    <t>Shareholder Remuneration</t>
  </si>
  <si>
    <t>Salary Expenses</t>
  </si>
  <si>
    <t>NIS 3.74 billion</t>
  </si>
  <si>
    <t>NIS 7.96 billion</t>
  </si>
  <si>
    <t>NIS 1.09 billion</t>
  </si>
  <si>
    <t>NIS 1.68 billion</t>
  </si>
  <si>
    <t>NIS 2.06 billion</t>
  </si>
  <si>
    <t>NIS 1.13 billion</t>
  </si>
  <si>
    <t>NIS 1.86 billion</t>
  </si>
  <si>
    <t>&gt;8% CAGR</t>
  </si>
  <si>
    <t>Recovery of excess cost</t>
  </si>
  <si>
    <t>May 14, 2026</t>
  </si>
  <si>
    <t>Bezeq Group Dividends &amp; Buy Backs</t>
  </si>
  <si>
    <t xml:space="preserve">Buy Back </t>
  </si>
  <si>
    <t xml:space="preserve">Full-time equivalents </t>
  </si>
  <si>
    <t>Comp EBITDA and Comp Net Profit</t>
  </si>
  <si>
    <r>
      <t xml:space="preserve">Adjusted EBITDA and Adjusted Net Profit </t>
    </r>
    <r>
      <rPr>
        <b/>
        <sz val="10"/>
        <rFont val="Arial"/>
        <family val="2"/>
      </rPr>
      <t>excluding</t>
    </r>
    <r>
      <rPr>
        <sz val="10"/>
        <rFont val="Arial"/>
        <family val="2"/>
      </rPr>
      <t xml:space="preserve"> losses/gains from impairment/increase in value of assets</t>
    </r>
  </si>
  <si>
    <t>NIS 3.7 - 3.8 billion</t>
  </si>
  <si>
    <t>NIS 1.0 - 1.1 billion</t>
  </si>
  <si>
    <t>Strive to increase shareholder remuneration</t>
  </si>
  <si>
    <t xml:space="preserve">Maintain high credit rating in the AA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</si>
</sst>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 &quot;₪&quot;\ * #,##0_ ;_ &quot;₪&quot;\ * \-#,##0_ ;_ &quot;₪&quot;\ * &quot;-&quot;_ ;_ @_ "/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  <numFmt numFmtId="175" formatCode="_ * #,##0.0_ ;_ * \-#,##0.0_ ;_ * &quot;-&quot;??_ ;_ @_ "/>
  </numFmts>
  <fonts count="51"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b/>
      <sz val="10"/>
      <color indexed="20"/>
      <name val="Arial"/>
      <family val="2"/>
    </font>
    <font>
      <b/>
      <i/>
      <sz val="9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2"/>
      <name val="Typograph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sz val="10"/>
      <color theme="0"/>
      <name val="Arial"/>
      <family val="2"/>
    </font>
    <font>
      <vertAlign val="superscript"/>
      <sz val="11"/>
      <color theme="0"/>
      <name val="Arial"/>
      <family val="2"/>
    </font>
    <font>
      <sz val="10"/>
      <color theme="0"/>
      <name val="KPN Sans"/>
      <family val="2"/>
    </font>
    <font>
      <b/>
      <sz val="20"/>
      <color theme="0"/>
      <name val="Arial"/>
      <family val="2"/>
    </font>
    <font>
      <b/>
      <sz val="24"/>
      <color theme="0"/>
      <name val="Arial Narrow"/>
      <family val="2"/>
    </font>
    <font>
      <b/>
      <sz val="11"/>
      <color theme="0"/>
      <name val="KPN Sans"/>
      <family val="2"/>
    </font>
    <font>
      <sz val="12"/>
      <color theme="0"/>
      <name val="Arial"/>
      <family val="2"/>
    </font>
    <font>
      <b/>
      <u/>
      <sz val="12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KPN Sans"/>
      <family val="2"/>
    </font>
    <font>
      <b/>
      <i/>
      <sz val="9"/>
      <color theme="0"/>
      <name val="Arial"/>
      <family val="2"/>
    </font>
    <font>
      <sz val="9"/>
      <color theme="0"/>
      <name val="Arial"/>
      <family val="2"/>
    </font>
    <font>
      <u/>
      <sz val="10"/>
      <color theme="0"/>
      <name val="Arial"/>
      <family val="2"/>
    </font>
    <font>
      <sz val="9"/>
      <color theme="0"/>
      <name val="KPN Sans"/>
      <family val="2"/>
    </font>
    <font>
      <sz val="10"/>
      <name val="Arial"/>
      <family val="2"/>
    </font>
    <font>
      <i/>
      <sz val="10"/>
      <color theme="4" tint="0.59999389629810485"/>
      <name val="Arial"/>
      <family val="2"/>
    </font>
    <font>
      <b/>
      <u/>
      <sz val="10"/>
      <color rgb="FF00206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16254F"/>
        <bgColor indexed="64"/>
      </patternFill>
    </fill>
    <fill>
      <patternFill patternType="solid">
        <fgColor rgb="FFE7EBF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808080"/>
      </bottom>
      <diagonal/>
    </border>
  </borders>
  <cellStyleXfs count="6">
    <xf numFmtId="0" fontId="0" fillId="0" borderId="0"/>
    <xf numFmtId="9" fontId="48" fillId="0" borderId="0" applyFill="0" applyBorder="0" applyAlignment="0" applyProtection="0"/>
    <xf numFmtId="42" fontId="1" fillId="0" borderId="0" applyFill="0" applyBorder="0" applyAlignment="0" applyProtection="0"/>
    <xf numFmtId="43" fontId="48" fillId="0" borderId="0" applyFill="0" applyBorder="0" applyAlignment="0" applyProtection="0"/>
    <xf numFmtId="41" fontId="1" fillId="0" borderId="0" applyFill="0" applyBorder="0" applyAlignment="0" applyProtection="0"/>
    <xf numFmtId="0" fontId="7" fillId="0" borderId="0" applyNumberFormat="0" applyFill="0" applyBorder="0">
      <protection locked="0"/>
    </xf>
  </cellStyleXfs>
  <cellXfs count="4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/>
    <xf numFmtId="166" fontId="8" fillId="2" borderId="0" xfId="0" applyNumberFormat="1" applyFont="1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165" fontId="2" fillId="2" borderId="0" xfId="3" applyNumberFormat="1" applyFont="1" applyFill="1"/>
    <xf numFmtId="3" fontId="2" fillId="2" borderId="0" xfId="0" applyNumberFormat="1" applyFont="1" applyFill="1"/>
    <xf numFmtId="166" fontId="2" fillId="2" borderId="0" xfId="1" applyNumberFormat="1" applyFont="1" applyFill="1"/>
    <xf numFmtId="0" fontId="0" fillId="4" borderId="1" xfId="0" applyFill="1" applyBorder="1" applyAlignment="1">
      <alignment horizontal="center"/>
    </xf>
    <xf numFmtId="0" fontId="2" fillId="3" borderId="0" xfId="0" applyFont="1" applyFill="1"/>
    <xf numFmtId="166" fontId="2" fillId="2" borderId="0" xfId="0" applyNumberFormat="1" applyFont="1" applyFill="1"/>
    <xf numFmtId="0" fontId="12" fillId="0" borderId="0" xfId="0" applyFont="1" applyAlignment="1">
      <alignment horizontal="center"/>
    </xf>
    <xf numFmtId="0" fontId="16" fillId="3" borderId="0" xfId="0" applyFont="1" applyFill="1" applyAlignment="1">
      <alignment horizontal="right"/>
    </xf>
    <xf numFmtId="165" fontId="2" fillId="2" borderId="0" xfId="3" applyNumberFormat="1" applyFont="1" applyFill="1" applyAlignment="1">
      <alignment horizontal="right"/>
    </xf>
    <xf numFmtId="0" fontId="5" fillId="3" borderId="0" xfId="0" applyFont="1" applyFill="1" applyAlignment="1">
      <alignment horizontal="center"/>
    </xf>
    <xf numFmtId="10" fontId="0" fillId="0" borderId="0" xfId="0" applyNumberFormat="1"/>
    <xf numFmtId="165" fontId="2" fillId="3" borderId="0" xfId="3" applyNumberFormat="1" applyFont="1" applyFill="1"/>
    <xf numFmtId="0" fontId="8" fillId="3" borderId="0" xfId="0" applyFont="1" applyFill="1" applyAlignment="1">
      <alignment horizontal="right"/>
    </xf>
    <xf numFmtId="166" fontId="8" fillId="3" borderId="0" xfId="1" applyNumberFormat="1" applyFont="1" applyFill="1"/>
    <xf numFmtId="166" fontId="8" fillId="3" borderId="0" xfId="0" applyNumberFormat="1" applyFont="1" applyFill="1"/>
    <xf numFmtId="43" fontId="2" fillId="3" borderId="0" xfId="3" applyFont="1" applyFill="1" applyAlignment="1">
      <alignment horizontal="right"/>
    </xf>
    <xf numFmtId="165" fontId="2" fillId="3" borderId="0" xfId="3" applyNumberFormat="1" applyFont="1" applyFill="1" applyAlignment="1">
      <alignment horizontal="right"/>
    </xf>
    <xf numFmtId="165" fontId="2" fillId="3" borderId="0" xfId="0" applyNumberFormat="1" applyFont="1" applyFill="1"/>
    <xf numFmtId="166" fontId="2" fillId="3" borderId="0" xfId="0" applyNumberFormat="1" applyFont="1" applyFill="1"/>
    <xf numFmtId="165" fontId="8" fillId="3" borderId="0" xfId="3" applyNumberFormat="1" applyFont="1" applyFill="1" applyAlignment="1">
      <alignment horizontal="right"/>
    </xf>
    <xf numFmtId="164" fontId="2" fillId="3" borderId="0" xfId="0" applyNumberFormat="1" applyFont="1" applyFill="1"/>
    <xf numFmtId="166" fontId="8" fillId="3" borderId="0" xfId="0" applyNumberFormat="1" applyFont="1" applyFill="1" applyAlignment="1">
      <alignment horizontal="right"/>
    </xf>
    <xf numFmtId="0" fontId="15" fillId="3" borderId="0" xfId="0" applyFont="1" applyFill="1" applyAlignment="1">
      <alignment horizontal="right"/>
    </xf>
    <xf numFmtId="166" fontId="8" fillId="3" borderId="0" xfId="1" applyNumberFormat="1" applyFont="1" applyFill="1" applyAlignment="1">
      <alignment horizontal="right"/>
    </xf>
    <xf numFmtId="0" fontId="13" fillId="3" borderId="0" xfId="0" applyFont="1" applyFill="1"/>
    <xf numFmtId="0" fontId="11" fillId="3" borderId="0" xfId="0" applyFont="1" applyFill="1"/>
    <xf numFmtId="0" fontId="2" fillId="3" borderId="0" xfId="0" applyFont="1" applyFill="1" applyAlignment="1">
      <alignment wrapText="1"/>
    </xf>
    <xf numFmtId="166" fontId="2" fillId="3" borderId="0" xfId="1" applyNumberFormat="1" applyFont="1" applyFill="1"/>
    <xf numFmtId="165" fontId="2" fillId="2" borderId="0" xfId="0" applyNumberFormat="1" applyFont="1" applyFill="1"/>
    <xf numFmtId="3" fontId="8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0" fontId="8" fillId="2" borderId="0" xfId="0" applyFont="1" applyFill="1" applyAlignment="1">
      <alignment horizontal="right"/>
    </xf>
    <xf numFmtId="2" fontId="2" fillId="3" borderId="0" xfId="0" applyNumberFormat="1" applyFont="1" applyFill="1" applyAlignment="1">
      <alignment wrapText="1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2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9" fontId="8" fillId="3" borderId="0" xfId="0" applyNumberFormat="1" applyFont="1" applyFill="1" applyAlignment="1">
      <alignment horizontal="right"/>
    </xf>
    <xf numFmtId="166" fontId="2" fillId="0" borderId="0" xfId="0" applyNumberFormat="1" applyFont="1"/>
    <xf numFmtId="0" fontId="5" fillId="3" borderId="0" xfId="0" applyFont="1" applyFill="1" applyAlignment="1" applyProtection="1">
      <alignment horizontal="center"/>
      <protection locked="0"/>
    </xf>
    <xf numFmtId="0" fontId="17" fillId="3" borderId="0" xfId="0" applyFont="1" applyFill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165" fontId="0" fillId="3" borderId="0" xfId="0" applyNumberFormat="1" applyFill="1" applyProtection="1">
      <protection locked="0"/>
    </xf>
    <xf numFmtId="0" fontId="8" fillId="0" borderId="0" xfId="0" applyFont="1" applyAlignment="1">
      <alignment horizontal="right"/>
    </xf>
    <xf numFmtId="0" fontId="2" fillId="0" borderId="0" xfId="0" applyFont="1" applyProtection="1">
      <protection locked="0"/>
    </xf>
    <xf numFmtId="165" fontId="2" fillId="2" borderId="0" xfId="3" applyNumberFormat="1" applyFont="1" applyFill="1" applyAlignment="1"/>
    <xf numFmtId="165" fontId="2" fillId="0" borderId="0" xfId="3" applyNumberFormat="1" applyFont="1"/>
    <xf numFmtId="0" fontId="22" fillId="6" borderId="0" xfId="0" applyFont="1" applyFill="1" applyAlignment="1">
      <alignment horizontal="right" vertical="center" readingOrder="2"/>
    </xf>
    <xf numFmtId="168" fontId="2" fillId="0" borderId="0" xfId="0" applyNumberFormat="1" applyFont="1" applyAlignment="1">
      <alignment horizontal="right"/>
    </xf>
    <xf numFmtId="168" fontId="2" fillId="0" borderId="0" xfId="0" applyNumberFormat="1" applyFont="1"/>
    <xf numFmtId="168" fontId="2" fillId="2" borderId="0" xfId="3" applyNumberFormat="1" applyFont="1" applyFill="1" applyAlignment="1">
      <alignment horizontal="right"/>
    </xf>
    <xf numFmtId="0" fontId="23" fillId="3" borderId="2" xfId="0" applyFont="1" applyFill="1" applyBorder="1" applyAlignment="1" applyProtection="1">
      <alignment horizontal="center" wrapText="1"/>
      <protection locked="0"/>
    </xf>
    <xf numFmtId="0" fontId="23" fillId="0" borderId="2" xfId="0" applyFont="1" applyBorder="1" applyAlignment="1" applyProtection="1">
      <alignment horizontal="center"/>
      <protection locked="0"/>
    </xf>
    <xf numFmtId="166" fontId="8" fillId="0" borderId="0" xfId="0" applyNumberFormat="1" applyFont="1"/>
    <xf numFmtId="166" fontId="8" fillId="0" borderId="0" xfId="1" applyNumberFormat="1" applyFont="1"/>
    <xf numFmtId="166" fontId="2" fillId="0" borderId="0" xfId="1" applyNumberFormat="1" applyFont="1"/>
    <xf numFmtId="9" fontId="2" fillId="2" borderId="0" xfId="0" applyNumberFormat="1" applyFont="1" applyFill="1"/>
    <xf numFmtId="0" fontId="0" fillId="4" borderId="0" xfId="0" applyFill="1" applyAlignment="1">
      <alignment horizontal="center"/>
    </xf>
    <xf numFmtId="166" fontId="8" fillId="2" borderId="0" xfId="1" applyNumberFormat="1" applyFont="1" applyFill="1" applyAlignment="1">
      <alignment horizontal="right"/>
    </xf>
    <xf numFmtId="9" fontId="2" fillId="2" borderId="0" xfId="1" applyFont="1" applyFill="1"/>
    <xf numFmtId="168" fontId="2" fillId="2" borderId="0" xfId="3" applyNumberFormat="1" applyFont="1" applyFill="1"/>
    <xf numFmtId="0" fontId="2" fillId="0" borderId="0" xfId="0" applyFont="1" applyAlignment="1">
      <alignment wrapText="1"/>
    </xf>
    <xf numFmtId="0" fontId="0" fillId="0" borderId="2" xfId="0" applyBorder="1"/>
    <xf numFmtId="0" fontId="2" fillId="0" borderId="1" xfId="0" applyFont="1" applyBorder="1"/>
    <xf numFmtId="168" fontId="2" fillId="0" borderId="1" xfId="0" applyNumberFormat="1" applyFont="1" applyBorder="1"/>
    <xf numFmtId="168" fontId="2" fillId="2" borderId="1" xfId="3" applyNumberFormat="1" applyFont="1" applyFill="1" applyBorder="1"/>
    <xf numFmtId="168" fontId="0" fillId="0" borderId="0" xfId="0" applyNumberFormat="1" applyAlignment="1">
      <alignment horizontal="right"/>
    </xf>
    <xf numFmtId="168" fontId="0" fillId="6" borderId="0" xfId="0" applyNumberFormat="1" applyFill="1" applyAlignment="1">
      <alignment horizontal="right"/>
    </xf>
    <xf numFmtId="0" fontId="0" fillId="3" borderId="0" xfId="0" applyFill="1" applyAlignment="1" applyProtection="1">
      <alignment horizontal="center" wrapText="1"/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7" borderId="0" xfId="0" applyFill="1" applyAlignment="1" applyProtection="1">
      <alignment horizontal="center" wrapText="1"/>
      <protection locked="0"/>
    </xf>
    <xf numFmtId="2" fontId="0" fillId="3" borderId="0" xfId="0" applyNumberFormat="1" applyFill="1" applyAlignment="1" applyProtection="1">
      <alignment horizontal="center" wrapText="1"/>
      <protection locked="0"/>
    </xf>
    <xf numFmtId="169" fontId="0" fillId="3" borderId="0" xfId="0" applyNumberFormat="1" applyFill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/>
      <protection locked="0"/>
    </xf>
    <xf numFmtId="1" fontId="2" fillId="0" borderId="0" xfId="0" applyNumberFormat="1" applyFont="1"/>
    <xf numFmtId="171" fontId="2" fillId="0" borderId="0" xfId="0" applyNumberFormat="1" applyFont="1" applyAlignment="1">
      <alignment horizontal="right"/>
    </xf>
    <xf numFmtId="0" fontId="25" fillId="0" borderId="0" xfId="0" applyFont="1"/>
    <xf numFmtId="172" fontId="2" fillId="3" borderId="0" xfId="0" applyNumberFormat="1" applyFont="1" applyFill="1" applyAlignment="1">
      <alignment horizontal="left"/>
    </xf>
    <xf numFmtId="172" fontId="2" fillId="0" borderId="0" xfId="0" applyNumberFormat="1" applyFont="1"/>
    <xf numFmtId="0" fontId="26" fillId="0" borderId="0" xfId="0" applyFont="1" applyAlignment="1">
      <alignment vertical="center" wrapText="1"/>
    </xf>
    <xf numFmtId="165" fontId="48" fillId="0" borderId="0" xfId="3" applyNumberFormat="1"/>
    <xf numFmtId="0" fontId="0" fillId="0" borderId="0" xfId="0" applyAlignment="1">
      <alignment horizontal="left"/>
    </xf>
    <xf numFmtId="165" fontId="0" fillId="0" borderId="0" xfId="0" applyNumberFormat="1"/>
    <xf numFmtId="0" fontId="16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68" fontId="8" fillId="0" borderId="0" xfId="0" applyNumberFormat="1" applyFont="1" applyAlignment="1">
      <alignment horizontal="right"/>
    </xf>
    <xf numFmtId="168" fontId="2" fillId="0" borderId="2" xfId="0" applyNumberFormat="1" applyFont="1" applyBorder="1"/>
    <xf numFmtId="165" fontId="2" fillId="3" borderId="2" xfId="3" applyNumberFormat="1" applyFont="1" applyFill="1" applyBorder="1" applyAlignment="1">
      <alignment horizontal="right"/>
    </xf>
    <xf numFmtId="165" fontId="8" fillId="2" borderId="0" xfId="3" applyNumberFormat="1" applyFont="1" applyFill="1" applyAlignment="1">
      <alignment horizontal="right"/>
    </xf>
    <xf numFmtId="0" fontId="0" fillId="0" borderId="0" xfId="0" applyAlignment="1">
      <alignment wrapText="1"/>
    </xf>
    <xf numFmtId="165" fontId="2" fillId="3" borderId="2" xfId="3" applyNumberFormat="1" applyFont="1" applyFill="1" applyBorder="1"/>
    <xf numFmtId="165" fontId="2" fillId="0" borderId="0" xfId="0" applyNumberFormat="1" applyFont="1"/>
    <xf numFmtId="165" fontId="2" fillId="0" borderId="1" xfId="0" applyNumberFormat="1" applyFont="1" applyBorder="1"/>
    <xf numFmtId="0" fontId="21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right"/>
    </xf>
    <xf numFmtId="165" fontId="2" fillId="0" borderId="2" xfId="0" applyNumberFormat="1" applyFont="1" applyBorder="1"/>
    <xf numFmtId="165" fontId="10" fillId="3" borderId="0" xfId="3" applyNumberFormat="1" applyFont="1" applyFill="1"/>
    <xf numFmtId="168" fontId="24" fillId="6" borderId="0" xfId="0" applyNumberFormat="1" applyFont="1" applyFill="1" applyAlignment="1">
      <alignment horizontal="right"/>
    </xf>
    <xf numFmtId="168" fontId="24" fillId="0" borderId="0" xfId="0" applyNumberFormat="1" applyFont="1" applyAlignment="1">
      <alignment horizontal="right"/>
    </xf>
    <xf numFmtId="173" fontId="2" fillId="3" borderId="0" xfId="0" applyNumberFormat="1" applyFont="1" applyFill="1" applyAlignment="1">
      <alignment horizontal="center"/>
    </xf>
    <xf numFmtId="0" fontId="27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 wrapText="1"/>
    </xf>
    <xf numFmtId="168" fontId="0" fillId="0" borderId="0" xfId="0" applyNumberFormat="1"/>
    <xf numFmtId="0" fontId="2" fillId="3" borderId="0" xfId="0" applyFont="1" applyFill="1" applyAlignment="1" applyProtection="1">
      <alignment wrapText="1"/>
      <protection locked="0"/>
    </xf>
    <xf numFmtId="165" fontId="2" fillId="8" borderId="0" xfId="3" applyNumberFormat="1" applyFont="1" applyFill="1"/>
    <xf numFmtId="0" fontId="6" fillId="8" borderId="1" xfId="0" applyFont="1" applyFill="1" applyBorder="1"/>
    <xf numFmtId="0" fontId="0" fillId="8" borderId="1" xfId="0" applyFill="1" applyBorder="1"/>
    <xf numFmtId="0" fontId="0" fillId="8" borderId="0" xfId="0" applyFill="1"/>
    <xf numFmtId="0" fontId="2" fillId="8" borderId="1" xfId="0" applyFont="1" applyFill="1" applyBorder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65" fontId="0" fillId="0" borderId="0" xfId="0" applyNumberFormat="1" applyAlignment="1" applyProtection="1">
      <alignment horizontal="center"/>
      <protection locked="0"/>
    </xf>
    <xf numFmtId="174" fontId="2" fillId="0" borderId="0" xfId="3" applyNumberFormat="1" applyFont="1" applyAlignment="1">
      <alignment horizontal="center" vertical="center"/>
    </xf>
    <xf numFmtId="174" fontId="2" fillId="3" borderId="0" xfId="3" applyNumberFormat="1" applyFont="1" applyFill="1" applyAlignment="1">
      <alignment horizontal="center" vertical="center"/>
    </xf>
    <xf numFmtId="174" fontId="2" fillId="0" borderId="0" xfId="0" applyNumberFormat="1" applyFont="1" applyAlignment="1">
      <alignment horizontal="center" vertical="center"/>
    </xf>
    <xf numFmtId="174" fontId="0" fillId="8" borderId="0" xfId="0" applyNumberForma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2" fillId="8" borderId="0" xfId="3" applyNumberFormat="1" applyFont="1" applyFill="1" applyAlignment="1">
      <alignment horizontal="center" vertical="center"/>
    </xf>
    <xf numFmtId="1" fontId="2" fillId="3" borderId="0" xfId="0" applyNumberFormat="1" applyFont="1" applyFill="1"/>
    <xf numFmtId="173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165" fontId="2" fillId="9" borderId="0" xfId="0" applyNumberFormat="1" applyFont="1" applyFill="1"/>
    <xf numFmtId="0" fontId="0" fillId="9" borderId="0" xfId="0" applyFill="1"/>
    <xf numFmtId="166" fontId="8" fillId="9" borderId="0" xfId="0" applyNumberFormat="1" applyFont="1" applyFill="1"/>
    <xf numFmtId="168" fontId="2" fillId="9" borderId="0" xfId="0" applyNumberFormat="1" applyFont="1" applyFill="1" applyAlignment="1">
      <alignment horizontal="right"/>
    </xf>
    <xf numFmtId="166" fontId="2" fillId="9" borderId="0" xfId="0" applyNumberFormat="1" applyFont="1" applyFill="1"/>
    <xf numFmtId="165" fontId="8" fillId="9" borderId="0" xfId="3" applyNumberFormat="1" applyFont="1" applyFill="1" applyAlignment="1">
      <alignment horizontal="right"/>
    </xf>
    <xf numFmtId="165" fontId="2" fillId="9" borderId="0" xfId="3" applyNumberFormat="1" applyFont="1" applyFill="1"/>
    <xf numFmtId="166" fontId="8" fillId="9" borderId="0" xfId="1" applyNumberFormat="1" applyFont="1" applyFill="1"/>
    <xf numFmtId="0" fontId="2" fillId="9" borderId="0" xfId="0" applyFont="1" applyFill="1"/>
    <xf numFmtId="165" fontId="2" fillId="9" borderId="2" xfId="0" applyNumberFormat="1" applyFont="1" applyFill="1" applyBorder="1"/>
    <xf numFmtId="165" fontId="2" fillId="9" borderId="1" xfId="0" applyNumberFormat="1" applyFont="1" applyFill="1" applyBorder="1"/>
    <xf numFmtId="168" fontId="2" fillId="9" borderId="0" xfId="0" applyNumberFormat="1" applyFont="1" applyFill="1"/>
    <xf numFmtId="165" fontId="2" fillId="9" borderId="2" xfId="3" applyNumberFormat="1" applyFont="1" applyFill="1" applyBorder="1" applyAlignment="1">
      <alignment horizontal="right"/>
    </xf>
    <xf numFmtId="165" fontId="2" fillId="9" borderId="0" xfId="3" applyNumberFormat="1" applyFont="1" applyFill="1" applyAlignment="1">
      <alignment horizontal="right"/>
    </xf>
    <xf numFmtId="168" fontId="2" fillId="9" borderId="2" xfId="0" applyNumberFormat="1" applyFont="1" applyFill="1" applyBorder="1"/>
    <xf numFmtId="168" fontId="2" fillId="9" borderId="1" xfId="0" applyNumberFormat="1" applyFont="1" applyFill="1" applyBorder="1"/>
    <xf numFmtId="43" fontId="2" fillId="9" borderId="0" xfId="0" applyNumberFormat="1" applyFont="1" applyFill="1"/>
    <xf numFmtId="166" fontId="2" fillId="9" borderId="0" xfId="0" applyNumberFormat="1" applyFont="1" applyFill="1" applyAlignment="1">
      <alignment horizontal="right"/>
    </xf>
    <xf numFmtId="166" fontId="23" fillId="3" borderId="0" xfId="0" applyNumberFormat="1" applyFont="1" applyFill="1"/>
    <xf numFmtId="166" fontId="23" fillId="9" borderId="0" xfId="0" applyNumberFormat="1" applyFont="1" applyFill="1"/>
    <xf numFmtId="168" fontId="2" fillId="0" borderId="2" xfId="0" applyNumberFormat="1" applyFont="1" applyBorder="1" applyAlignment="1">
      <alignment horizontal="right"/>
    </xf>
    <xf numFmtId="166" fontId="14" fillId="9" borderId="0" xfId="0" applyNumberFormat="1" applyFont="1" applyFill="1"/>
    <xf numFmtId="166" fontId="8" fillId="9" borderId="0" xfId="0" applyNumberFormat="1" applyFont="1" applyFill="1" applyAlignment="1">
      <alignment horizontal="right"/>
    </xf>
    <xf numFmtId="166" fontId="14" fillId="3" borderId="0" xfId="0" applyNumberFormat="1" applyFont="1" applyFill="1"/>
    <xf numFmtId="0" fontId="24" fillId="0" borderId="0" xfId="0" applyFont="1"/>
    <xf numFmtId="170" fontId="23" fillId="3" borderId="0" xfId="0" applyNumberFormat="1" applyFont="1" applyFill="1"/>
    <xf numFmtId="170" fontId="23" fillId="9" borderId="0" xfId="0" applyNumberFormat="1" applyFont="1" applyFill="1"/>
    <xf numFmtId="166" fontId="23" fillId="0" borderId="0" xfId="0" applyNumberFormat="1" applyFont="1"/>
    <xf numFmtId="166" fontId="23" fillId="0" borderId="0" xfId="0" applyNumberFormat="1" applyFont="1" applyAlignment="1">
      <alignment horizontal="right"/>
    </xf>
    <xf numFmtId="166" fontId="14" fillId="3" borderId="0" xfId="1" applyNumberFormat="1" applyFont="1" applyFill="1" applyAlignment="1">
      <alignment horizontal="right"/>
    </xf>
    <xf numFmtId="166" fontId="10" fillId="9" borderId="0" xfId="0" applyNumberFormat="1" applyFont="1" applyFill="1"/>
    <xf numFmtId="43" fontId="0" fillId="0" borderId="0" xfId="0" applyNumberFormat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9" fillId="13" borderId="1" xfId="0" applyFont="1" applyFill="1" applyBorder="1"/>
    <xf numFmtId="0" fontId="3" fillId="13" borderId="1" xfId="0" applyFont="1" applyFill="1" applyBorder="1" applyAlignment="1">
      <alignment horizontal="center"/>
    </xf>
    <xf numFmtId="0" fontId="0" fillId="13" borderId="0" xfId="0" applyFill="1"/>
    <xf numFmtId="0" fontId="30" fillId="13" borderId="0" xfId="0" applyFont="1" applyFill="1"/>
    <xf numFmtId="0" fontId="31" fillId="13" borderId="0" xfId="0" applyFont="1" applyFill="1"/>
    <xf numFmtId="0" fontId="30" fillId="13" borderId="0" xfId="0" applyFont="1" applyFill="1" applyAlignment="1">
      <alignment vertical="center"/>
    </xf>
    <xf numFmtId="0" fontId="32" fillId="13" borderId="1" xfId="0" applyFont="1" applyFill="1" applyBorder="1"/>
    <xf numFmtId="0" fontId="33" fillId="13" borderId="1" xfId="0" applyFont="1" applyFill="1" applyBorder="1" applyAlignment="1">
      <alignment horizontal="center"/>
    </xf>
    <xf numFmtId="0" fontId="32" fillId="13" borderId="1" xfId="0" applyFont="1" applyFill="1" applyBorder="1" applyAlignment="1">
      <alignment vertical="center"/>
    </xf>
    <xf numFmtId="0" fontId="33" fillId="13" borderId="1" xfId="0" applyFont="1" applyFill="1" applyBorder="1" applyAlignment="1">
      <alignment horizontal="center" vertical="center"/>
    </xf>
    <xf numFmtId="0" fontId="31" fillId="13" borderId="0" xfId="0" applyFont="1" applyFill="1" applyAlignment="1">
      <alignment vertical="center"/>
    </xf>
    <xf numFmtId="0" fontId="31" fillId="13" borderId="0" xfId="0" applyFont="1" applyFill="1" applyAlignment="1">
      <alignment horizontal="center" vertical="center"/>
    </xf>
    <xf numFmtId="0" fontId="2" fillId="13" borderId="0" xfId="0" applyFont="1" applyFill="1"/>
    <xf numFmtId="0" fontId="34" fillId="13" borderId="0" xfId="0" applyFont="1" applyFill="1" applyAlignment="1">
      <alignment vertical="center"/>
    </xf>
    <xf numFmtId="0" fontId="0" fillId="13" borderId="1" xfId="0" applyFill="1" applyBorder="1"/>
    <xf numFmtId="0" fontId="31" fillId="13" borderId="1" xfId="0" applyFont="1" applyFill="1" applyBorder="1" applyAlignment="1">
      <alignment vertical="center"/>
    </xf>
    <xf numFmtId="0" fontId="0" fillId="13" borderId="1" xfId="0" applyFill="1" applyBorder="1" applyAlignment="1">
      <alignment horizontal="center"/>
    </xf>
    <xf numFmtId="0" fontId="31" fillId="13" borderId="1" xfId="0" applyFont="1" applyFill="1" applyBorder="1" applyAlignment="1">
      <alignment horizontal="center"/>
    </xf>
    <xf numFmtId="0" fontId="31" fillId="13" borderId="1" xfId="0" applyFont="1" applyFill="1" applyBorder="1" applyAlignment="1">
      <alignment horizontal="center" vertical="center"/>
    </xf>
    <xf numFmtId="0" fontId="19" fillId="13" borderId="1" xfId="0" applyFont="1" applyFill="1" applyBorder="1"/>
    <xf numFmtId="0" fontId="35" fillId="13" borderId="1" xfId="0" applyFont="1" applyFill="1" applyBorder="1" applyAlignment="1">
      <alignment vertical="center"/>
    </xf>
    <xf numFmtId="0" fontId="32" fillId="13" borderId="3" xfId="0" applyFont="1" applyFill="1" applyBorder="1" applyAlignment="1">
      <alignment vertical="center"/>
    </xf>
    <xf numFmtId="0" fontId="0" fillId="13" borderId="0" xfId="0" applyFill="1" applyProtection="1">
      <protection locked="0"/>
    </xf>
    <xf numFmtId="0" fontId="32" fillId="13" borderId="1" xfId="0" applyFont="1" applyFill="1" applyBorder="1" applyAlignment="1" applyProtection="1">
      <alignment vertical="center"/>
      <protection locked="0"/>
    </xf>
    <xf numFmtId="0" fontId="33" fillId="13" borderId="1" xfId="0" applyFont="1" applyFill="1" applyBorder="1" applyAlignment="1" applyProtection="1">
      <alignment horizontal="center" vertical="center"/>
      <protection locked="0"/>
    </xf>
    <xf numFmtId="0" fontId="31" fillId="13" borderId="0" xfId="0" applyFont="1" applyFill="1" applyAlignment="1" applyProtection="1">
      <alignment vertical="center"/>
      <protection locked="0"/>
    </xf>
    <xf numFmtId="0" fontId="32" fillId="13" borderId="0" xfId="0" applyFont="1" applyFill="1" applyAlignment="1">
      <alignment vertical="center"/>
    </xf>
    <xf numFmtId="0" fontId="33" fillId="13" borderId="0" xfId="0" applyFont="1" applyFill="1" applyAlignment="1">
      <alignment horizontal="center" vertical="center"/>
    </xf>
    <xf numFmtId="0" fontId="30" fillId="13" borderId="0" xfId="0" applyFont="1" applyFill="1" applyAlignment="1" applyProtection="1">
      <alignment horizontal="left" vertical="center"/>
      <protection locked="0"/>
    </xf>
    <xf numFmtId="0" fontId="2" fillId="8" borderId="0" xfId="0" applyFont="1" applyFill="1"/>
    <xf numFmtId="0" fontId="3" fillId="13" borderId="2" xfId="0" applyFont="1" applyFill="1" applyBorder="1" applyAlignment="1">
      <alignment horizontal="center"/>
    </xf>
    <xf numFmtId="0" fontId="0" fillId="13" borderId="0" xfId="0" applyFill="1" applyAlignment="1" applyProtection="1">
      <alignment horizontal="center"/>
      <protection locked="0"/>
    </xf>
    <xf numFmtId="165" fontId="0" fillId="13" borderId="0" xfId="0" applyNumberFormat="1" applyFill="1" applyProtection="1">
      <protection locked="0"/>
    </xf>
    <xf numFmtId="165" fontId="8" fillId="13" borderId="0" xfId="3" applyNumberFormat="1" applyFont="1" applyFill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0" fontId="0" fillId="0" borderId="0" xfId="0" applyNumberFormat="1" applyProtection="1">
      <protection locked="0"/>
    </xf>
    <xf numFmtId="166" fontId="8" fillId="8" borderId="0" xfId="0" applyNumberFormat="1" applyFont="1" applyFill="1"/>
    <xf numFmtId="165" fontId="2" fillId="14" borderId="0" xfId="3" applyNumberFormat="1" applyFont="1" applyFill="1"/>
    <xf numFmtId="166" fontId="8" fillId="14" borderId="0" xfId="0" applyNumberFormat="1" applyFont="1" applyFill="1"/>
    <xf numFmtId="166" fontId="8" fillId="14" borderId="0" xfId="1" applyNumberFormat="1" applyFont="1" applyFill="1"/>
    <xf numFmtId="168" fontId="2" fillId="14" borderId="0" xfId="3" applyNumberFormat="1" applyFont="1" applyFill="1"/>
    <xf numFmtId="168" fontId="2" fillId="14" borderId="0" xfId="0" applyNumberFormat="1" applyFont="1" applyFill="1" applyAlignment="1">
      <alignment horizontal="right"/>
    </xf>
    <xf numFmtId="165" fontId="2" fillId="14" borderId="0" xfId="3" applyNumberFormat="1" applyFont="1" applyFill="1" applyAlignment="1">
      <alignment horizontal="right"/>
    </xf>
    <xf numFmtId="166" fontId="8" fillId="14" borderId="0" xfId="1" applyNumberFormat="1" applyFont="1" applyFill="1" applyAlignment="1">
      <alignment horizontal="right"/>
    </xf>
    <xf numFmtId="166" fontId="8" fillId="14" borderId="0" xfId="0" applyNumberFormat="1" applyFont="1" applyFill="1" applyAlignment="1">
      <alignment horizontal="right"/>
    </xf>
    <xf numFmtId="165" fontId="2" fillId="14" borderId="0" xfId="0" applyNumberFormat="1" applyFont="1" applyFill="1"/>
    <xf numFmtId="166" fontId="23" fillId="14" borderId="0" xfId="0" applyNumberFormat="1" applyFont="1" applyFill="1"/>
    <xf numFmtId="1" fontId="2" fillId="14" borderId="0" xfId="0" applyNumberFormat="1" applyFont="1" applyFill="1"/>
    <xf numFmtId="43" fontId="2" fillId="14" borderId="0" xfId="0" applyNumberFormat="1" applyFont="1" applyFill="1"/>
    <xf numFmtId="171" fontId="2" fillId="14" borderId="0" xfId="0" applyNumberFormat="1" applyFont="1" applyFill="1" applyAlignment="1">
      <alignment horizontal="right"/>
    </xf>
    <xf numFmtId="168" fontId="2" fillId="14" borderId="0" xfId="0" applyNumberFormat="1" applyFont="1" applyFill="1"/>
    <xf numFmtId="171" fontId="2" fillId="14" borderId="0" xfId="0" applyNumberFormat="1" applyFont="1" applyFill="1"/>
    <xf numFmtId="172" fontId="2" fillId="14" borderId="0" xfId="0" applyNumberFormat="1" applyFont="1" applyFill="1"/>
    <xf numFmtId="0" fontId="0" fillId="14" borderId="0" xfId="0" applyFill="1"/>
    <xf numFmtId="168" fontId="8" fillId="14" borderId="0" xfId="0" applyNumberFormat="1" applyFont="1" applyFill="1" applyAlignment="1">
      <alignment horizontal="right"/>
    </xf>
    <xf numFmtId="168" fontId="2" fillId="14" borderId="2" xfId="0" applyNumberFormat="1" applyFont="1" applyFill="1" applyBorder="1"/>
    <xf numFmtId="165" fontId="2" fillId="14" borderId="2" xfId="3" applyNumberFormat="1" applyFont="1" applyFill="1" applyBorder="1" applyAlignment="1">
      <alignment horizontal="right"/>
    </xf>
    <xf numFmtId="168" fontId="2" fillId="14" borderId="3" xfId="0" applyNumberFormat="1" applyFont="1" applyFill="1" applyBorder="1"/>
    <xf numFmtId="166" fontId="2" fillId="14" borderId="0" xfId="0" applyNumberFormat="1" applyFont="1" applyFill="1"/>
    <xf numFmtId="168" fontId="2" fillId="14" borderId="1" xfId="0" applyNumberFormat="1" applyFont="1" applyFill="1" applyBorder="1"/>
    <xf numFmtId="168" fontId="2" fillId="14" borderId="1" xfId="3" applyNumberFormat="1" applyFont="1" applyFill="1" applyBorder="1"/>
    <xf numFmtId="0" fontId="2" fillId="14" borderId="0" xfId="0" applyFont="1" applyFill="1"/>
    <xf numFmtId="165" fontId="8" fillId="14" borderId="0" xfId="3" applyNumberFormat="1" applyFont="1" applyFill="1" applyAlignment="1">
      <alignment horizontal="right"/>
    </xf>
    <xf numFmtId="0" fontId="8" fillId="14" borderId="0" xfId="0" applyFont="1" applyFill="1" applyAlignment="1">
      <alignment horizontal="right"/>
    </xf>
    <xf numFmtId="165" fontId="2" fillId="14" borderId="2" xfId="3" applyNumberFormat="1" applyFont="1" applyFill="1" applyBorder="1"/>
    <xf numFmtId="165" fontId="2" fillId="14" borderId="1" xfId="3" applyNumberFormat="1" applyFont="1" applyFill="1" applyBorder="1"/>
    <xf numFmtId="166" fontId="10" fillId="14" borderId="0" xfId="0" applyNumberFormat="1" applyFont="1" applyFill="1"/>
    <xf numFmtId="166" fontId="10" fillId="14" borderId="0" xfId="1" applyNumberFormat="1" applyFont="1" applyFill="1" applyAlignment="1">
      <alignment horizontal="right"/>
    </xf>
    <xf numFmtId="166" fontId="10" fillId="14" borderId="0" xfId="0" applyNumberFormat="1" applyFont="1" applyFill="1" applyAlignment="1">
      <alignment horizontal="right"/>
    </xf>
    <xf numFmtId="166" fontId="14" fillId="14" borderId="0" xfId="0" applyNumberFormat="1" applyFont="1" applyFill="1"/>
    <xf numFmtId="170" fontId="23" fillId="14" borderId="0" xfId="0" applyNumberFormat="1" applyFont="1" applyFill="1"/>
    <xf numFmtId="168" fontId="28" fillId="14" borderId="0" xfId="3" applyNumberFormat="1" applyFont="1" applyFill="1"/>
    <xf numFmtId="166" fontId="2" fillId="14" borderId="0" xfId="3" applyNumberFormat="1" applyFont="1" applyFill="1"/>
    <xf numFmtId="166" fontId="2" fillId="14" borderId="0" xfId="0" applyNumberFormat="1" applyFont="1" applyFill="1" applyAlignment="1">
      <alignment horizontal="right"/>
    </xf>
    <xf numFmtId="168" fontId="8" fillId="14" borderId="0" xfId="3" applyNumberFormat="1" applyFont="1" applyFill="1" applyAlignment="1">
      <alignment horizontal="right"/>
    </xf>
    <xf numFmtId="0" fontId="11" fillId="14" borderId="0" xfId="0" applyFont="1" applyFill="1"/>
    <xf numFmtId="168" fontId="24" fillId="14" borderId="0" xfId="0" applyNumberFormat="1" applyFont="1" applyFill="1" applyAlignment="1">
      <alignment horizontal="right"/>
    </xf>
    <xf numFmtId="166" fontId="10" fillId="14" borderId="0" xfId="1" applyNumberFormat="1" applyFont="1" applyFill="1"/>
    <xf numFmtId="165" fontId="24" fillId="14" borderId="0" xfId="3" applyNumberFormat="1" applyFont="1" applyFill="1" applyAlignment="1">
      <alignment horizontal="right"/>
    </xf>
    <xf numFmtId="0" fontId="22" fillId="14" borderId="0" xfId="0" applyFont="1" applyFill="1" applyAlignment="1">
      <alignment horizontal="right" vertical="center" readingOrder="2"/>
    </xf>
    <xf numFmtId="168" fontId="23" fillId="14" borderId="0" xfId="0" applyNumberFormat="1" applyFont="1" applyFill="1" applyAlignment="1">
      <alignment horizontal="right"/>
    </xf>
    <xf numFmtId="165" fontId="48" fillId="14" borderId="0" xfId="3" applyNumberFormat="1" applyFill="1" applyAlignment="1">
      <alignment horizontal="right"/>
    </xf>
    <xf numFmtId="168" fontId="0" fillId="14" borderId="0" xfId="0" applyNumberFormat="1" applyFill="1" applyAlignment="1">
      <alignment horizontal="right"/>
    </xf>
    <xf numFmtId="165" fontId="48" fillId="14" borderId="0" xfId="3" applyNumberFormat="1" applyFill="1" applyAlignment="1">
      <alignment horizontal="center"/>
    </xf>
    <xf numFmtId="166" fontId="0" fillId="14" borderId="0" xfId="0" applyNumberFormat="1" applyFill="1" applyAlignment="1">
      <alignment horizontal="right"/>
    </xf>
    <xf numFmtId="166" fontId="24" fillId="14" borderId="0" xfId="0" applyNumberFormat="1" applyFont="1" applyFill="1" applyAlignment="1">
      <alignment horizontal="right"/>
    </xf>
    <xf numFmtId="0" fontId="22" fillId="14" borderId="0" xfId="0" applyFont="1" applyFill="1" applyAlignment="1">
      <alignment horizontal="center" vertical="center" readingOrder="2"/>
    </xf>
    <xf numFmtId="166" fontId="8" fillId="14" borderId="0" xfId="0" applyNumberFormat="1" applyFont="1" applyFill="1" applyAlignment="1">
      <alignment horizontal="center"/>
    </xf>
    <xf numFmtId="166" fontId="8" fillId="14" borderId="0" xfId="1" applyNumberFormat="1" applyFont="1" applyFill="1" applyAlignment="1">
      <alignment horizontal="center"/>
    </xf>
    <xf numFmtId="165" fontId="10" fillId="14" borderId="0" xfId="3" applyNumberFormat="1" applyFont="1" applyFill="1"/>
    <xf numFmtId="0" fontId="14" fillId="14" borderId="0" xfId="0" applyFont="1" applyFill="1"/>
    <xf numFmtId="0" fontId="10" fillId="14" borderId="0" xfId="0" applyFont="1" applyFill="1"/>
    <xf numFmtId="166" fontId="2" fillId="14" borderId="0" xfId="1" applyNumberFormat="1" applyFont="1" applyFill="1"/>
    <xf numFmtId="9" fontId="8" fillId="14" borderId="0" xfId="0" applyNumberFormat="1" applyFont="1" applyFill="1" applyAlignment="1">
      <alignment horizontal="right"/>
    </xf>
    <xf numFmtId="9" fontId="2" fillId="14" borderId="0" xfId="1" applyFont="1" applyFill="1"/>
    <xf numFmtId="9" fontId="8" fillId="14" borderId="0" xfId="1" applyFont="1" applyFill="1" applyAlignment="1">
      <alignment horizontal="right"/>
    </xf>
    <xf numFmtId="3" fontId="8" fillId="14" borderId="0" xfId="0" applyNumberFormat="1" applyFont="1" applyFill="1" applyAlignment="1">
      <alignment horizontal="right"/>
    </xf>
    <xf numFmtId="165" fontId="2" fillId="14" borderId="0" xfId="3" applyNumberFormat="1" applyFont="1" applyFill="1" applyAlignment="1"/>
    <xf numFmtId="9" fontId="2" fillId="14" borderId="0" xfId="0" applyNumberFormat="1" applyFont="1" applyFill="1"/>
    <xf numFmtId="0" fontId="24" fillId="14" borderId="0" xfId="0" applyFont="1" applyFill="1"/>
    <xf numFmtId="0" fontId="2" fillId="15" borderId="0" xfId="0" applyFont="1" applyFill="1"/>
    <xf numFmtId="0" fontId="6" fillId="15" borderId="0" xfId="0" applyFont="1" applyFill="1"/>
    <xf numFmtId="0" fontId="0" fillId="15" borderId="0" xfId="0" applyFill="1"/>
    <xf numFmtId="165" fontId="2" fillId="16" borderId="0" xfId="3" applyNumberFormat="1" applyFont="1" applyFill="1"/>
    <xf numFmtId="166" fontId="8" fillId="16" borderId="0" xfId="1" applyNumberFormat="1" applyFont="1" applyFill="1"/>
    <xf numFmtId="166" fontId="8" fillId="16" borderId="0" xfId="0" applyNumberFormat="1" applyFont="1" applyFill="1"/>
    <xf numFmtId="168" fontId="2" fillId="16" borderId="0" xfId="0" applyNumberFormat="1" applyFont="1" applyFill="1" applyAlignment="1">
      <alignment horizontal="right"/>
    </xf>
    <xf numFmtId="166" fontId="23" fillId="16" borderId="0" xfId="0" applyNumberFormat="1" applyFont="1" applyFill="1"/>
    <xf numFmtId="43" fontId="2" fillId="16" borderId="0" xfId="3" applyFont="1" applyFill="1"/>
    <xf numFmtId="165" fontId="2" fillId="16" borderId="0" xfId="3" applyNumberFormat="1" applyFont="1" applyFill="1" applyAlignment="1">
      <alignment horizontal="right"/>
    </xf>
    <xf numFmtId="0" fontId="6" fillId="8" borderId="0" xfId="0" applyFont="1" applyFill="1"/>
    <xf numFmtId="168" fontId="2" fillId="8" borderId="0" xfId="0" applyNumberFormat="1" applyFont="1" applyFill="1"/>
    <xf numFmtId="168" fontId="2" fillId="16" borderId="0" xfId="0" applyNumberFormat="1" applyFont="1" applyFill="1"/>
    <xf numFmtId="166" fontId="23" fillId="16" borderId="0" xfId="1" applyNumberFormat="1" applyFont="1" applyFill="1"/>
    <xf numFmtId="0" fontId="2" fillId="8" borderId="4" xfId="0" applyFont="1" applyFill="1" applyBorder="1"/>
    <xf numFmtId="168" fontId="2" fillId="8" borderId="4" xfId="0" applyNumberFormat="1" applyFont="1" applyFill="1" applyBorder="1"/>
    <xf numFmtId="0" fontId="2" fillId="8" borderId="0" xfId="0" applyFont="1" applyFill="1" applyAlignment="1">
      <alignment horizontal="left"/>
    </xf>
    <xf numFmtId="166" fontId="10" fillId="8" borderId="0" xfId="0" applyNumberFormat="1" applyFont="1" applyFill="1"/>
    <xf numFmtId="168" fontId="2" fillId="16" borderId="1" xfId="0" applyNumberFormat="1" applyFont="1" applyFill="1" applyBorder="1"/>
    <xf numFmtId="0" fontId="0" fillId="16" borderId="0" xfId="0" applyFill="1"/>
    <xf numFmtId="165" fontId="2" fillId="16" borderId="2" xfId="3" applyNumberFormat="1" applyFont="1" applyFill="1" applyBorder="1" applyAlignment="1">
      <alignment horizontal="right"/>
    </xf>
    <xf numFmtId="168" fontId="2" fillId="16" borderId="2" xfId="0" applyNumberFormat="1" applyFont="1" applyFill="1" applyBorder="1"/>
    <xf numFmtId="166" fontId="2" fillId="16" borderId="0" xfId="0" applyNumberFormat="1" applyFont="1" applyFill="1"/>
    <xf numFmtId="165" fontId="2" fillId="8" borderId="0" xfId="0" applyNumberFormat="1" applyFont="1" applyFill="1"/>
    <xf numFmtId="0" fontId="9" fillId="13" borderId="2" xfId="0" applyFont="1" applyFill="1" applyBorder="1"/>
    <xf numFmtId="0" fontId="2" fillId="17" borderId="0" xfId="0" applyFont="1" applyFill="1"/>
    <xf numFmtId="0" fontId="0" fillId="17" borderId="0" xfId="0" applyFill="1"/>
    <xf numFmtId="0" fontId="6" fillId="17" borderId="0" xfId="0" applyFont="1" applyFill="1"/>
    <xf numFmtId="165" fontId="2" fillId="16" borderId="2" xfId="3" applyNumberFormat="1" applyFont="1" applyFill="1" applyBorder="1"/>
    <xf numFmtId="165" fontId="2" fillId="16" borderId="1" xfId="3" applyNumberFormat="1" applyFont="1" applyFill="1" applyBorder="1"/>
    <xf numFmtId="0" fontId="8" fillId="16" borderId="0" xfId="0" applyFont="1" applyFill="1" applyAlignment="1">
      <alignment horizontal="right"/>
    </xf>
    <xf numFmtId="0" fontId="2" fillId="16" borderId="0" xfId="0" applyFont="1" applyFill="1"/>
    <xf numFmtId="165" fontId="8" fillId="16" borderId="0" xfId="3" applyNumberFormat="1" applyFont="1" applyFill="1" applyAlignment="1">
      <alignment horizontal="right"/>
    </xf>
    <xf numFmtId="0" fontId="6" fillId="18" borderId="0" xfId="0" applyFont="1" applyFill="1"/>
    <xf numFmtId="0" fontId="0" fillId="18" borderId="0" xfId="0" applyFill="1"/>
    <xf numFmtId="166" fontId="8" fillId="16" borderId="0" xfId="1" applyNumberFormat="1" applyFont="1" applyFill="1" applyAlignment="1">
      <alignment horizontal="right"/>
    </xf>
    <xf numFmtId="166" fontId="14" fillId="16" borderId="0" xfId="0" applyNumberFormat="1" applyFont="1" applyFill="1"/>
    <xf numFmtId="166" fontId="14" fillId="8" borderId="0" xfId="0" applyNumberFormat="1" applyFont="1" applyFill="1"/>
    <xf numFmtId="170" fontId="23" fillId="16" borderId="0" xfId="0" applyNumberFormat="1" applyFont="1" applyFill="1"/>
    <xf numFmtId="166" fontId="8" fillId="16" borderId="0" xfId="0" applyNumberFormat="1" applyFont="1" applyFill="1" applyAlignment="1">
      <alignment horizontal="right"/>
    </xf>
    <xf numFmtId="166" fontId="2" fillId="16" borderId="0" xfId="0" applyNumberFormat="1" applyFont="1" applyFill="1" applyAlignment="1">
      <alignment horizontal="right"/>
    </xf>
    <xf numFmtId="0" fontId="2" fillId="19" borderId="0" xfId="0" applyFont="1" applyFill="1"/>
    <xf numFmtId="168" fontId="2" fillId="19" borderId="0" xfId="0" applyNumberFormat="1" applyFont="1" applyFill="1"/>
    <xf numFmtId="0" fontId="2" fillId="11" borderId="0" xfId="0" applyFont="1" applyFill="1"/>
    <xf numFmtId="168" fontId="2" fillId="11" borderId="0" xfId="0" applyNumberFormat="1" applyFont="1" applyFill="1"/>
    <xf numFmtId="0" fontId="2" fillId="10" borderId="0" xfId="0" applyFont="1" applyFill="1"/>
    <xf numFmtId="168" fontId="2" fillId="10" borderId="0" xfId="0" applyNumberFormat="1" applyFont="1" applyFill="1"/>
    <xf numFmtId="166" fontId="0" fillId="8" borderId="0" xfId="0" applyNumberFormat="1" applyFill="1"/>
    <xf numFmtId="0" fontId="23" fillId="3" borderId="0" xfId="0" applyFont="1" applyFill="1" applyAlignment="1">
      <alignment horizontal="center"/>
    </xf>
    <xf numFmtId="0" fontId="2" fillId="14" borderId="0" xfId="0" applyFont="1" applyFill="1" applyProtection="1">
      <protection locked="0"/>
    </xf>
    <xf numFmtId="0" fontId="0" fillId="14" borderId="0" xfId="0" applyFill="1" applyProtection="1">
      <protection locked="0"/>
    </xf>
    <xf numFmtId="0" fontId="12" fillId="0" borderId="0" xfId="0" applyFont="1" applyAlignment="1">
      <alignment vertical="center"/>
    </xf>
    <xf numFmtId="38" fontId="36" fillId="13" borderId="0" xfId="0" applyNumberFormat="1" applyFont="1" applyFill="1"/>
    <xf numFmtId="167" fontId="36" fillId="13" borderId="0" xfId="0" quotePrefix="1" applyNumberFormat="1" applyFont="1" applyFill="1"/>
    <xf numFmtId="0" fontId="37" fillId="13" borderId="0" xfId="0" applyFont="1" applyFill="1"/>
    <xf numFmtId="38" fontId="37" fillId="13" borderId="0" xfId="0" applyNumberFormat="1" applyFont="1" applyFill="1" applyAlignment="1">
      <alignment horizontal="left"/>
    </xf>
    <xf numFmtId="38" fontId="38" fillId="13" borderId="0" xfId="0" applyNumberFormat="1" applyFont="1" applyFill="1" applyAlignment="1">
      <alignment horizontal="center"/>
    </xf>
    <xf numFmtId="0" fontId="39" fillId="13" borderId="0" xfId="0" applyFont="1" applyFill="1" applyAlignment="1">
      <alignment horizontal="left"/>
    </xf>
    <xf numFmtId="0" fontId="40" fillId="13" borderId="0" xfId="0" applyFont="1" applyFill="1" applyAlignment="1">
      <alignment horizontal="left"/>
    </xf>
    <xf numFmtId="0" fontId="40" fillId="13" borderId="0" xfId="0" applyFont="1" applyFill="1" applyAlignment="1">
      <alignment horizontal="center"/>
    </xf>
    <xf numFmtId="38" fontId="40" fillId="13" borderId="0" xfId="0" applyNumberFormat="1" applyFont="1" applyFill="1"/>
    <xf numFmtId="0" fontId="40" fillId="13" borderId="0" xfId="0" applyFont="1" applyFill="1"/>
    <xf numFmtId="38" fontId="41" fillId="13" borderId="0" xfId="0" applyNumberFormat="1" applyFont="1" applyFill="1"/>
    <xf numFmtId="49" fontId="42" fillId="13" borderId="0" xfId="0" applyNumberFormat="1" applyFont="1" applyFill="1"/>
    <xf numFmtId="49" fontId="42" fillId="13" borderId="0" xfId="0" applyNumberFormat="1" applyFont="1" applyFill="1" applyAlignment="1">
      <alignment horizontal="center"/>
    </xf>
    <xf numFmtId="0" fontId="42" fillId="13" borderId="0" xfId="0" applyFont="1" applyFill="1"/>
    <xf numFmtId="38" fontId="43" fillId="13" borderId="0" xfId="0" applyNumberFormat="1" applyFont="1" applyFill="1"/>
    <xf numFmtId="0" fontId="44" fillId="13" borderId="0" xfId="0" applyFont="1" applyFill="1"/>
    <xf numFmtId="0" fontId="45" fillId="13" borderId="0" xfId="0" applyFont="1" applyFill="1"/>
    <xf numFmtId="0" fontId="46" fillId="13" borderId="0" xfId="5" applyFont="1" applyFill="1" applyProtection="1"/>
    <xf numFmtId="38" fontId="47" fillId="13" borderId="0" xfId="0" applyNumberFormat="1" applyFont="1" applyFill="1"/>
    <xf numFmtId="38" fontId="31" fillId="13" borderId="0" xfId="0" applyNumberFormat="1" applyFont="1" applyFill="1"/>
    <xf numFmtId="10" fontId="31" fillId="13" borderId="0" xfId="0" applyNumberFormat="1" applyFont="1" applyFill="1"/>
    <xf numFmtId="0" fontId="3" fillId="8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3" fillId="17" borderId="0" xfId="0" applyFont="1" applyFill="1"/>
    <xf numFmtId="0" fontId="6" fillId="17" borderId="0" xfId="0" applyFont="1" applyFill="1" applyAlignment="1">
      <alignment horizontal="center"/>
    </xf>
    <xf numFmtId="1" fontId="2" fillId="10" borderId="0" xfId="0" applyNumberFormat="1" applyFont="1" applyFill="1"/>
    <xf numFmtId="165" fontId="2" fillId="0" borderId="2" xfId="3" applyNumberFormat="1" applyFont="1" applyFill="1" applyBorder="1" applyAlignment="1">
      <alignment horizontal="right"/>
    </xf>
    <xf numFmtId="165" fontId="2" fillId="0" borderId="0" xfId="3" applyNumberFormat="1" applyFont="1" applyFill="1"/>
    <xf numFmtId="165" fontId="2" fillId="0" borderId="2" xfId="3" applyNumberFormat="1" applyFont="1" applyFill="1" applyBorder="1"/>
    <xf numFmtId="166" fontId="8" fillId="0" borderId="0" xfId="1" applyNumberFormat="1" applyFont="1" applyFill="1"/>
    <xf numFmtId="165" fontId="8" fillId="0" borderId="0" xfId="3" applyNumberFormat="1" applyFont="1" applyFill="1" applyAlignment="1">
      <alignment horizontal="right"/>
    </xf>
    <xf numFmtId="166" fontId="8" fillId="0" borderId="0" xfId="1" applyNumberFormat="1" applyFont="1" applyFill="1" applyAlignment="1">
      <alignment horizontal="right"/>
    </xf>
    <xf numFmtId="43" fontId="2" fillId="0" borderId="0" xfId="3" applyFont="1" applyFill="1" applyAlignment="1">
      <alignment horizontal="right"/>
    </xf>
    <xf numFmtId="165" fontId="2" fillId="0" borderId="0" xfId="3" applyNumberFormat="1" applyFont="1" applyFill="1" applyAlignment="1">
      <alignment horizontal="right"/>
    </xf>
    <xf numFmtId="166" fontId="8" fillId="0" borderId="0" xfId="0" applyNumberFormat="1" applyFont="1" applyAlignment="1">
      <alignment horizontal="right"/>
    </xf>
    <xf numFmtId="168" fontId="2" fillId="0" borderId="0" xfId="3" applyNumberFormat="1" applyFont="1" applyFill="1"/>
    <xf numFmtId="170" fontId="23" fillId="0" borderId="0" xfId="0" applyNumberFormat="1" applyFont="1"/>
    <xf numFmtId="165" fontId="10" fillId="14" borderId="0" xfId="3" applyNumberFormat="1" applyFont="1" applyFill="1" applyAlignment="1">
      <alignment horizontal="right"/>
    </xf>
    <xf numFmtId="0" fontId="8" fillId="0" borderId="2" xfId="0" applyFont="1" applyBorder="1" applyAlignment="1">
      <alignment horizontal="right"/>
    </xf>
    <xf numFmtId="165" fontId="2" fillId="14" borderId="0" xfId="3" applyNumberFormat="1" applyFont="1" applyFill="1" applyBorder="1"/>
    <xf numFmtId="165" fontId="2" fillId="0" borderId="0" xfId="3" applyNumberFormat="1" applyFont="1" applyFill="1" applyBorder="1"/>
    <xf numFmtId="165" fontId="2" fillId="3" borderId="1" xfId="3" applyNumberFormat="1" applyFont="1" applyFill="1" applyBorder="1"/>
    <xf numFmtId="166" fontId="24" fillId="0" borderId="0" xfId="0" applyNumberFormat="1" applyFont="1"/>
    <xf numFmtId="168" fontId="24" fillId="14" borderId="0" xfId="3" applyNumberFormat="1" applyFont="1" applyFill="1"/>
    <xf numFmtId="0" fontId="49" fillId="20" borderId="1" xfId="0" applyFont="1" applyFill="1" applyBorder="1"/>
    <xf numFmtId="0" fontId="50" fillId="13" borderId="1" xfId="0" applyFont="1" applyFill="1" applyBorder="1" applyAlignment="1">
      <alignment horizontal="center"/>
    </xf>
    <xf numFmtId="173" fontId="50" fillId="13" borderId="1" xfId="0" applyNumberFormat="1" applyFont="1" applyFill="1" applyBorder="1" applyAlignment="1">
      <alignment horizontal="center"/>
    </xf>
    <xf numFmtId="9" fontId="8" fillId="14" borderId="0" xfId="0" applyNumberFormat="1" applyFont="1" applyFill="1"/>
    <xf numFmtId="9" fontId="24" fillId="0" borderId="0" xfId="0" applyNumberFormat="1" applyFont="1" applyAlignment="1">
      <alignment horizontal="right"/>
    </xf>
    <xf numFmtId="9" fontId="8" fillId="3" borderId="0" xfId="0" applyNumberFormat="1" applyFont="1" applyFill="1"/>
    <xf numFmtId="0" fontId="16" fillId="0" borderId="0" xfId="0" applyFont="1" applyAlignment="1">
      <alignment horizontal="right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4" fontId="2" fillId="0" borderId="0" xfId="3" applyNumberFormat="1" applyFont="1" applyFill="1" applyAlignment="1">
      <alignment horizontal="center" vertical="center"/>
    </xf>
    <xf numFmtId="0" fontId="29" fillId="0" borderId="0" xfId="0" applyFont="1"/>
    <xf numFmtId="165" fontId="48" fillId="0" borderId="0" xfId="3" applyNumberFormat="1" applyFill="1"/>
    <xf numFmtId="0" fontId="26" fillId="0" borderId="2" xfId="0" applyFont="1" applyBorder="1" applyAlignment="1">
      <alignment vertical="center" wrapText="1"/>
    </xf>
    <xf numFmtId="175" fontId="2" fillId="14" borderId="0" xfId="3" applyNumberFormat="1" applyFont="1" applyFill="1"/>
    <xf numFmtId="0" fontId="2" fillId="21" borderId="0" xfId="0" applyFont="1" applyFill="1"/>
    <xf numFmtId="0" fontId="3" fillId="15" borderId="0" xfId="0" applyFont="1" applyFill="1" applyAlignment="1">
      <alignment horizontal="left"/>
    </xf>
    <xf numFmtId="174" fontId="2" fillId="21" borderId="0" xfId="3" applyNumberFormat="1" applyFont="1" applyFill="1" applyAlignment="1">
      <alignment horizontal="center" vertical="center"/>
    </xf>
    <xf numFmtId="165" fontId="2" fillId="22" borderId="0" xfId="3" applyNumberFormat="1" applyFont="1" applyFill="1"/>
    <xf numFmtId="166" fontId="8" fillId="22" borderId="0" xfId="0" applyNumberFormat="1" applyFont="1" applyFill="1"/>
    <xf numFmtId="0" fontId="3" fillId="21" borderId="0" xfId="0" applyFont="1" applyFill="1" applyAlignment="1">
      <alignment horizontal="left"/>
    </xf>
    <xf numFmtId="0" fontId="0" fillId="21" borderId="0" xfId="0" applyFill="1"/>
    <xf numFmtId="164" fontId="2" fillId="14" borderId="0" xfId="3" applyNumberFormat="1" applyFont="1" applyFill="1"/>
    <xf numFmtId="0" fontId="2" fillId="0" borderId="0" xfId="0" applyFont="1" applyAlignment="1" applyProtection="1">
      <alignment horizontal="left"/>
      <protection locked="0"/>
    </xf>
    <xf numFmtId="9" fontId="0" fillId="0" borderId="0" xfId="0" applyNumberFormat="1" applyAlignment="1">
      <alignment horizontal="left"/>
    </xf>
    <xf numFmtId="9" fontId="0" fillId="0" borderId="0" xfId="0" applyNumberFormat="1"/>
    <xf numFmtId="9" fontId="0" fillId="0" borderId="0" xfId="0" applyNumberFormat="1" applyAlignment="1">
      <alignment wrapText="1"/>
    </xf>
    <xf numFmtId="0" fontId="2" fillId="0" borderId="2" xfId="0" applyFont="1" applyBorder="1"/>
    <xf numFmtId="0" fontId="2" fillId="0" borderId="0" xfId="0" applyFont="1" applyAlignment="1">
      <alignment horizontal="left"/>
    </xf>
    <xf numFmtId="166" fontId="10" fillId="0" borderId="0" xfId="0" applyNumberFormat="1" applyFont="1"/>
    <xf numFmtId="165" fontId="2" fillId="0" borderId="1" xfId="3" applyNumberFormat="1" applyFont="1" applyFill="1" applyBorder="1"/>
    <xf numFmtId="165" fontId="48" fillId="0" borderId="0" xfId="3" applyNumberFormat="1" applyFill="1" applyAlignment="1">
      <alignment horizontal="left" vertical="center"/>
    </xf>
    <xf numFmtId="165" fontId="48" fillId="0" borderId="0" xfId="3" applyNumberFormat="1" applyFill="1" applyAlignment="1">
      <alignment horizontal="center" vertical="center"/>
    </xf>
    <xf numFmtId="10" fontId="48" fillId="0" borderId="0" xfId="3" applyNumberFormat="1" applyFill="1" applyAlignment="1">
      <alignment vertical="center"/>
    </xf>
    <xf numFmtId="0" fontId="0" fillId="0" borderId="0" xfId="0" applyAlignment="1">
      <alignment horizontal="center" vertical="center"/>
    </xf>
    <xf numFmtId="165" fontId="48" fillId="0" borderId="2" xfId="3" applyNumberFormat="1" applyFill="1" applyBorder="1" applyAlignment="1">
      <alignment horizontal="left" vertical="center"/>
    </xf>
    <xf numFmtId="165" fontId="48" fillId="0" borderId="2" xfId="3" applyNumberFormat="1" applyFill="1" applyBorder="1" applyAlignment="1">
      <alignment horizontal="center" vertical="center"/>
    </xf>
    <xf numFmtId="10" fontId="48" fillId="0" borderId="2" xfId="3" applyNumberForma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165" fontId="48" fillId="0" borderId="2" xfId="3" applyNumberFormat="1" applyFill="1" applyBorder="1" applyAlignment="1">
      <alignment vertical="center"/>
    </xf>
    <xf numFmtId="165" fontId="0" fillId="0" borderId="2" xfId="3" applyNumberFormat="1" applyFont="1" applyFill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/>
    </xf>
    <xf numFmtId="165" fontId="48" fillId="0" borderId="0" xfId="3" applyNumberFormat="1" applyFill="1" applyAlignment="1">
      <alignment vertical="center"/>
    </xf>
    <xf numFmtId="0" fontId="0" fillId="0" borderId="0" xfId="0" applyAlignment="1">
      <alignment horizontal="left" vertical="center"/>
    </xf>
    <xf numFmtId="165" fontId="48" fillId="0" borderId="0" xfId="3" applyNumberFormat="1" applyFill="1" applyAlignment="1">
      <alignment horizontal="right" vertical="center" readingOrder="1"/>
    </xf>
    <xf numFmtId="165" fontId="48" fillId="0" borderId="0" xfId="3" applyNumberFormat="1" applyFill="1" applyBorder="1" applyAlignment="1">
      <alignment vertical="center"/>
    </xf>
    <xf numFmtId="165" fontId="48" fillId="0" borderId="0" xfId="3" applyNumberFormat="1" applyFill="1" applyBorder="1" applyAlignment="1">
      <alignment horizontal="center" vertical="center"/>
    </xf>
    <xf numFmtId="10" fontId="48" fillId="0" borderId="0" xfId="3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0" xfId="0" applyNumberFormat="1" applyAlignment="1">
      <alignment horizontal="left"/>
    </xf>
    <xf numFmtId="0" fontId="2" fillId="23" borderId="0" xfId="0" applyFont="1" applyFill="1" applyAlignment="1">
      <alignment horizontal="left"/>
    </xf>
    <xf numFmtId="0" fontId="0" fillId="23" borderId="0" xfId="0" applyFill="1"/>
    <xf numFmtId="166" fontId="10" fillId="23" borderId="0" xfId="0" applyNumberFormat="1" applyFont="1" applyFill="1"/>
    <xf numFmtId="166" fontId="14" fillId="23" borderId="0" xfId="0" applyNumberFormat="1" applyFont="1" applyFill="1"/>
    <xf numFmtId="173" fontId="2" fillId="0" borderId="0" xfId="0" applyNumberFormat="1" applyFont="1" applyAlignment="1" applyProtection="1">
      <alignment horizontal="center" wrapText="1"/>
      <protection locked="0"/>
    </xf>
    <xf numFmtId="165" fontId="2" fillId="0" borderId="0" xfId="0" applyNumberFormat="1" applyFont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/>
  </cellXfs>
  <cellStyles count="6">
    <cellStyle name="Comma" xfId="3" builtinId="3"/>
    <cellStyle name="Comma [0]" xfId="4" xr:uid="{00000000-0005-0000-0000-000007000000}"/>
    <cellStyle name="Currency [0]" xfId="2" xr:uid="{00000000-0005-0000-0000-000006000000}"/>
    <cellStyle name="Normal" xfId="0" builtinId="0"/>
    <cellStyle name="Percent" xfId="1" builtinId="5"/>
    <cellStyle name="היפר-קישור" xfId="5" xr:uid="{00000000-0005-0000-0000-000008000000}"/>
  </cellStyles>
  <dxfs count="0"/>
  <tableStyles count="0" defaultTableStyle="TableStyleMedium9" defaultPivotStyle="PivotStyleLight16"/>
  <colors>
    <mruColors>
      <color rgb="FFE7EBF9"/>
      <color rgb="FFF2F2F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15</xdr:col>
      <xdr:colOff>123235</xdr:colOff>
      <xdr:row>44</xdr:row>
      <xdr:rowOff>90457</xdr:rowOff>
    </xdr:to>
    <xdr:grpSp>
      <xdr:nvGrpSpPr>
        <xdr:cNvPr id="6" name="קבוצה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>
          <a:grpSpLocks/>
        </xdr:cNvGrpSpPr>
      </xdr:nvGrpSpPr>
      <xdr:grpSpPr>
        <a:xfrm>
          <a:off x="0" y="1"/>
          <a:ext cx="9657760" cy="7920006"/>
          <a:chOff x="0" y="0"/>
          <a:chExt cx="8281359" cy="6637265"/>
        </a:xfrm>
      </xdr:grpSpPr>
      <xdr:pic>
        <xdr:nvPicPr>
          <xdr:cNvPr id="4" name="תמונה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8281358" cy="6619907"/>
          </a:xfrm>
          <a:prstGeom prst="rect">
            <a:avLst/>
          </a:prstGeom>
        </xdr:spPr>
      </xdr:pic>
      <xdr:sp macro="" textlink="" fLocksText="0">
        <xdr:nvSpPr>
          <xdr:cNvPr id="5" name="מלבן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" y="0"/>
            <a:ext cx="8281358" cy="6637265"/>
          </a:xfrm>
          <a:prstGeom prst="rect">
            <a:avLst/>
          </a:prstGeom>
          <a:gradFill rotWithShape="1">
            <a:gsLst>
              <a:gs pos="0">
                <a:srgbClr val="16254F">
                  <a:alpha val="34000"/>
                </a:srgbClr>
              </a:gs>
              <a:gs pos="100000">
                <a:srgbClr val="16254F"/>
              </a:gs>
            </a:gsLst>
            <a:lin ang="0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1</xdr:col>
      <xdr:colOff>77635</xdr:colOff>
      <xdr:row>2</xdr:row>
      <xdr:rowOff>257961</xdr:rowOff>
    </xdr:from>
    <xdr:to>
      <xdr:col>3</xdr:col>
      <xdr:colOff>353681</xdr:colOff>
      <xdr:row>8</xdr:row>
      <xdr:rowOff>19421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1475" y="581025"/>
          <a:ext cx="676275" cy="885825"/>
        </a:xfrm>
        <a:prstGeom prst="rect">
          <a:avLst/>
        </a:prstGeom>
      </xdr:spPr>
    </xdr:pic>
    <xdr:clientData/>
  </xdr:twoCellAnchor>
  <xdr:twoCellAnchor>
    <xdr:from>
      <xdr:col>3</xdr:col>
      <xdr:colOff>807330</xdr:colOff>
      <xdr:row>2</xdr:row>
      <xdr:rowOff>175573</xdr:rowOff>
    </xdr:from>
    <xdr:to>
      <xdr:col>9</xdr:col>
      <xdr:colOff>281117</xdr:colOff>
      <xdr:row>26</xdr:row>
      <xdr:rowOff>28924</xdr:rowOff>
    </xdr:to>
    <xdr:sp macro="" textlink="">
      <xdr:nvSpPr>
        <xdr:cNvPr id="7" name="תיבת טקסט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04950" y="495300"/>
          <a:ext cx="4829175" cy="4410075"/>
        </a:xfrm>
        <a:prstGeom prst="rect">
          <a:avLst/>
        </a:prstGeom>
        <a:noFill/>
        <a:ln w="9525" cmpd="sng">
          <a:noFill/>
        </a:ln>
        <a:effectLst>
          <a:outerShdw blurRad="63500" dir="5400000" algn="ctr" rotWithShape="0">
            <a:srgbClr val="000000"/>
          </a:outerShdw>
        </a:effectLst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 algn="l"/>
          <a:r>
            <a:rPr lang="en-US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Facts &amp; Figures Q4 &amp; 2025</a:t>
          </a:r>
          <a:endParaRPr lang="en-US" sz="20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/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Three months and year</a:t>
          </a:r>
          <a:r>
            <a:rPr lang="en-US" sz="12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ending December 31, 2025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Index of contents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Financials (Group, Fixed-Line and Key Subsidiaries)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Key Performance Indicators (KPIs)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Group Guidance and Mid-Term Targets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Debt Terms and Repayments</a:t>
          </a: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 Dividends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Glossary</a:t>
          </a:r>
          <a:endParaRPr lang="en-US" sz="18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800" b="1" i="1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1" i="1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For further information: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Investor Relations</a:t>
          </a: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Phone +972 50 530 5955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ir@bezeq.co.il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https://ir.bezeq.co.il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9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2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 data in this metrics file contains partial information from the public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of Bezeq under the Israeli Securities Law for which the Hebrew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can be accessed at the Israeli Securities Authority's website.</a:t>
          </a:r>
          <a:r>
            <a:rPr lang="en-US" sz="10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metrics file is not a substitute for a review of the detailed reports of Bezeq.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65230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489104</xdr:colOff>
      <xdr:row>4</xdr:row>
      <xdr:rowOff>11890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9050" y="114300"/>
          <a:ext cx="58435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67135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15573" name="Picture 2" title="Bezeq Logo">
          <a:extLst>
            <a:ext uri="{FF2B5EF4-FFF2-40B4-BE49-F238E27FC236}">
              <a16:creationId xmlns:a16="http://schemas.microsoft.com/office/drawing/2014/main" id="{00000000-0008-0000-0100-0000D5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6" name="Picture 2" title="Bezeq Log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473864</xdr:colOff>
      <xdr:row>4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485775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463704</xdr:colOff>
      <xdr:row>3</xdr:row>
      <xdr:rowOff>69040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1</xdr:col>
      <xdr:colOff>473864</xdr:colOff>
      <xdr:row>7</xdr:row>
      <xdr:rowOff>19510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61722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477674</xdr:colOff>
      <xdr:row>3</xdr:row>
      <xdr:rowOff>135715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76200"/>
          <a:ext cx="60340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137160</xdr:rowOff>
    </xdr:from>
    <xdr:to>
      <xdr:col>1</xdr:col>
      <xdr:colOff>477674</xdr:colOff>
      <xdr:row>4</xdr:row>
      <xdr:rowOff>38560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3716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9DC1D-6979-41B3-8C04-E9C1EA90F13D}">
  <sheetPr codeName="Sheet2"/>
  <dimension ref="A2:Q250"/>
  <sheetViews>
    <sheetView showGridLines="0" tabSelected="1" workbookViewId="0">
      <selection activeCell="AI81" sqref="AI81"/>
    </sheetView>
  </sheetViews>
  <sheetFormatPr defaultColWidth="8.7109375" defaultRowHeight="12.75"/>
  <cols>
    <col min="1" max="1" width="4.42578125" style="176" customWidth="1"/>
    <col min="2" max="2" width="3.42578125" style="176" customWidth="1"/>
    <col min="3" max="3" width="2.5703125" style="176" customWidth="1"/>
    <col min="4" max="4" width="13.28515625" style="176" customWidth="1"/>
    <col min="5" max="5" width="12.28515625" style="176" customWidth="1"/>
    <col min="6" max="6" width="26.42578125" style="176" customWidth="1"/>
    <col min="7" max="7" width="10.28515625" style="176" customWidth="1"/>
    <col min="8" max="8" width="9.28515625" style="176" customWidth="1"/>
    <col min="9" max="9" width="8.7109375" style="176" customWidth="1"/>
    <col min="10" max="16384" width="8.7109375" style="176"/>
  </cols>
  <sheetData>
    <row r="2" spans="1:10">
      <c r="A2" s="325"/>
      <c r="B2" s="325"/>
      <c r="C2" s="325"/>
      <c r="H2" s="325"/>
      <c r="I2" s="325"/>
      <c r="J2" s="325"/>
    </row>
    <row r="3" spans="1:10" ht="26.25">
      <c r="A3" s="325"/>
      <c r="B3" s="326"/>
      <c r="C3" s="326"/>
      <c r="H3" s="327"/>
      <c r="I3" s="325"/>
      <c r="J3" s="325"/>
    </row>
    <row r="4" spans="1:10">
      <c r="A4" s="325"/>
      <c r="B4" s="325"/>
      <c r="C4" s="325"/>
      <c r="H4" s="325"/>
      <c r="I4" s="325"/>
      <c r="J4" s="325"/>
    </row>
    <row r="5" spans="1:10">
      <c r="A5" s="325"/>
      <c r="B5" s="325"/>
      <c r="C5" s="325"/>
      <c r="H5" s="325"/>
      <c r="I5" s="325"/>
      <c r="J5" s="325"/>
    </row>
    <row r="6" spans="1:10">
      <c r="A6" s="325"/>
      <c r="B6" s="325"/>
      <c r="C6" s="325"/>
      <c r="H6" s="325"/>
      <c r="I6" s="325"/>
      <c r="J6" s="325"/>
    </row>
    <row r="7" spans="1:10">
      <c r="A7" s="325"/>
      <c r="B7" s="325"/>
      <c r="C7" s="325"/>
      <c r="H7" s="325"/>
      <c r="I7" s="325"/>
      <c r="J7" s="325"/>
    </row>
    <row r="8" spans="1:10">
      <c r="A8" s="325"/>
      <c r="B8" s="325"/>
      <c r="C8" s="325"/>
      <c r="H8" s="325"/>
      <c r="I8" s="325"/>
      <c r="J8" s="325"/>
    </row>
    <row r="9" spans="1:10">
      <c r="A9" s="325"/>
      <c r="B9" s="325"/>
      <c r="C9" s="325"/>
      <c r="H9" s="325"/>
      <c r="I9" s="325"/>
      <c r="J9" s="325"/>
    </row>
    <row r="10" spans="1:10">
      <c r="A10" s="325"/>
      <c r="B10" s="325"/>
      <c r="C10" s="325"/>
      <c r="I10" s="325"/>
      <c r="J10" s="325"/>
    </row>
    <row r="11" spans="1:10">
      <c r="A11" s="325"/>
      <c r="B11" s="325"/>
      <c r="C11" s="325"/>
      <c r="I11" s="325"/>
      <c r="J11" s="325"/>
    </row>
    <row r="12" spans="1:10" ht="30.75" customHeight="1">
      <c r="B12" s="328"/>
      <c r="E12" s="329"/>
      <c r="F12" s="329"/>
      <c r="H12" s="330"/>
      <c r="I12" s="325"/>
      <c r="J12" s="325"/>
    </row>
    <row r="13" spans="1:10" ht="15.6" customHeight="1">
      <c r="B13" s="331"/>
      <c r="E13" s="332"/>
      <c r="F13" s="332"/>
      <c r="H13" s="330"/>
      <c r="I13" s="325"/>
      <c r="J13" s="325"/>
    </row>
    <row r="14" spans="1:10" ht="15.6" customHeight="1">
      <c r="A14" s="325"/>
      <c r="B14" s="333"/>
      <c r="C14" s="333"/>
      <c r="D14" s="334"/>
      <c r="E14" s="334"/>
      <c r="F14" s="334"/>
      <c r="H14" s="330"/>
      <c r="I14" s="325"/>
      <c r="J14" s="325"/>
    </row>
    <row r="15" spans="1:10" ht="15.6" customHeight="1">
      <c r="A15" s="325"/>
      <c r="B15" s="335"/>
      <c r="C15" s="335"/>
      <c r="D15" s="334"/>
      <c r="E15" s="334"/>
      <c r="F15" s="334"/>
      <c r="H15" s="325"/>
      <c r="I15" s="325"/>
      <c r="J15" s="325"/>
    </row>
    <row r="16" spans="1:10" ht="15.6" customHeight="1">
      <c r="A16" s="325"/>
      <c r="B16" s="336"/>
      <c r="C16" s="336"/>
      <c r="D16" s="334"/>
      <c r="E16" s="334"/>
      <c r="F16" s="334"/>
      <c r="H16" s="325"/>
      <c r="I16" s="325"/>
      <c r="J16" s="325"/>
    </row>
    <row r="17" spans="1:10" ht="15.6" customHeight="1">
      <c r="A17" s="325"/>
      <c r="B17" s="337"/>
      <c r="C17" s="338"/>
      <c r="D17" s="334"/>
      <c r="E17" s="334"/>
      <c r="H17" s="339"/>
      <c r="I17" s="325"/>
      <c r="J17" s="325"/>
    </row>
    <row r="18" spans="1:10" ht="15.6" customHeight="1">
      <c r="A18" s="325"/>
      <c r="B18" s="337"/>
      <c r="C18" s="338"/>
      <c r="H18" s="339"/>
      <c r="I18" s="325"/>
      <c r="J18" s="325"/>
    </row>
    <row r="19" spans="1:10" ht="15.6" customHeight="1">
      <c r="A19" s="325"/>
      <c r="B19" s="337"/>
      <c r="C19" s="338"/>
      <c r="H19" s="325"/>
      <c r="I19" s="325"/>
    </row>
    <row r="20" spans="1:10" ht="15.6" customHeight="1">
      <c r="A20" s="325"/>
      <c r="B20" s="337"/>
      <c r="C20" s="338"/>
      <c r="H20" s="325"/>
      <c r="I20" s="325"/>
    </row>
    <row r="21" spans="1:10" ht="15.6" customHeight="1">
      <c r="A21" s="325"/>
      <c r="B21" s="337"/>
      <c r="C21" s="338"/>
      <c r="H21" s="325"/>
      <c r="I21" s="325"/>
    </row>
    <row r="22" spans="1:10" ht="15.6" customHeight="1">
      <c r="A22" s="325"/>
      <c r="B22" s="337"/>
      <c r="C22" s="338"/>
      <c r="H22" s="325"/>
      <c r="I22" s="325"/>
      <c r="J22" s="325"/>
    </row>
    <row r="23" spans="1:10">
      <c r="A23" s="325"/>
      <c r="B23" s="340"/>
      <c r="C23" s="340"/>
      <c r="H23" s="325"/>
      <c r="I23" s="325"/>
      <c r="J23" s="325"/>
    </row>
    <row r="24" spans="1:10">
      <c r="A24" s="325"/>
      <c r="B24" s="341"/>
      <c r="C24" s="341"/>
      <c r="H24" s="325"/>
      <c r="I24" s="325"/>
      <c r="J24" s="325"/>
    </row>
    <row r="25" spans="1:10">
      <c r="A25" s="325"/>
      <c r="B25" s="341"/>
      <c r="C25" s="341"/>
      <c r="H25" s="325"/>
      <c r="I25" s="325"/>
      <c r="J25" s="325"/>
    </row>
    <row r="26" spans="1:10">
      <c r="A26" s="325"/>
      <c r="B26" s="342"/>
      <c r="C26" s="342"/>
      <c r="H26" s="325"/>
      <c r="I26" s="325"/>
      <c r="J26" s="325"/>
    </row>
    <row r="27" spans="1:10">
      <c r="A27" s="325"/>
      <c r="B27" s="342"/>
      <c r="C27" s="342"/>
      <c r="H27" s="325"/>
      <c r="I27" s="325"/>
      <c r="J27" s="325"/>
    </row>
    <row r="28" spans="1:10">
      <c r="A28" s="325"/>
      <c r="J28" s="343"/>
    </row>
    <row r="29" spans="1:10">
      <c r="A29" s="325"/>
      <c r="J29" s="343"/>
    </row>
    <row r="30" spans="1:10">
      <c r="A30" s="325"/>
      <c r="J30" s="343"/>
    </row>
    <row r="31" spans="1:10" ht="12.75" customHeight="1">
      <c r="A31" s="325"/>
      <c r="J31" s="343"/>
    </row>
    <row r="32" spans="1:10" ht="14.25" customHeight="1">
      <c r="A32" s="325"/>
      <c r="C32" s="344"/>
      <c r="J32" s="343"/>
    </row>
    <row r="33" spans="1:10">
      <c r="A33" s="325"/>
      <c r="J33" s="343"/>
    </row>
    <row r="34" spans="1:10">
      <c r="A34" s="325"/>
      <c r="J34" s="343"/>
    </row>
    <row r="62" ht="6" customHeight="1"/>
    <row r="64" ht="7.5" customHeight="1"/>
    <row r="250" spans="17:17">
      <c r="Q250" s="345"/>
    </row>
  </sheetData>
  <customSheetViews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44BC518B-F505-4956-BE42-792973965029}" showPageBreaks="1" showGridLines="0" printArea="1" topLeftCell="E1">
      <selection activeCell="M263" sqref="M263"/>
      <pageMargins left="0.7" right="0.7" top="0.75" bottom="0.75" header="0.3" footer="0.3"/>
      <pageSetup paperSize="9" orientation="landscape"/>
      <headerFooter scaleWithDoc="0"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scaleWithDoc="0" alignWithMargins="0"/>
    </customSheetView>
    <customSheetView guid="{6A44E415-E6EC-4CA2-8B4C-A374F00F0261}" scale="85" showPageBreaks="1" showGridLines="0" printArea="1">
      <pageMargins left="0.7" right="0.7" top="0.75" bottom="0.75" header="0.3" footer="0.3"/>
      <pageSetup paperSize="9" orientation="landscape"/>
      <headerFooter scaleWithDoc="0" alignWithMargins="0"/>
    </customSheetView>
    <customSheetView guid="{F07085DA-2B2D-4BE1-891D-F25D604A092E}" scale="85" showPageBreaks="1" showGridLines="0" printArea="1" topLeftCell="E5">
      <selection activeCell="A77" sqref="A77"/>
      <pageMargins left="0.7" right="0.7" top="0.75" bottom="0.75" header="0.3" footer="0.3"/>
      <pageSetup paperSize="9" orientation="landscape"/>
      <headerFooter scaleWithDoc="0" alignWithMargins="0"/>
    </customSheetView>
    <customSheetView guid="{C6BBAF30-1E81-42FB-BA93-01B6813E2C8C}" showPageBreaks="1" showGridLines="0" printArea="1">
      <pageMargins left="0.7" right="0.7" top="0.75" bottom="0.75" header="0.3" footer="0.3"/>
      <printOptions horizontalCentered="1" verticalCentered="1"/>
      <pageSetup paperSize="9" orientation="landscape"/>
      <headerFooter scaleWithDoc="0" alignWithMargins="0"/>
    </customSheetView>
  </customSheetViews>
  <pageMargins left="0.23622047244094499" right="0.23622047244094499" top="0.23622047244094499" bottom="0.23622047244094499" header="0.511811023622047" footer="0.511811023622047"/>
  <pageSetup paperSize="9" orientation="landscape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076F-3CF0-448B-8BEE-C6C32C1EA45C}">
  <sheetPr>
    <tabColor theme="6"/>
  </sheetPr>
  <dimension ref="B1:AX77"/>
  <sheetViews>
    <sheetView showGridLines="0" tabSelected="1" zoomScaleNormal="100" workbookViewId="0">
      <pane xSplit="6" ySplit="4" topLeftCell="Q72" activePane="bottomRight" state="frozen"/>
      <selection activeCell="AI81" sqref="AI81"/>
      <selection pane="topRight" activeCell="AI81" sqref="AI81"/>
      <selection pane="bottomLeft" activeCell="AI81" sqref="AI81"/>
      <selection pane="bottomRight" activeCell="AI81" sqref="AI81"/>
    </sheetView>
  </sheetViews>
  <sheetFormatPr defaultColWidth="9.28515625" defaultRowHeight="12.75"/>
  <cols>
    <col min="1" max="1" width="1.7109375" customWidth="1"/>
    <col min="2" max="2" width="52.7109375" customWidth="1"/>
    <col min="3" max="16" width="9.28515625" hidden="1" customWidth="1"/>
    <col min="17" max="17" width="9.28515625" customWidth="1"/>
    <col min="18" max="21" width="9.28515625" hidden="1" customWidth="1"/>
    <col min="22" max="22" width="9.28515625" customWidth="1"/>
    <col min="23" max="26" width="8.7109375" hidden="1" customWidth="1"/>
    <col min="27" max="27" width="9.28515625" customWidth="1"/>
    <col min="28" max="31" width="9.28515625" hidden="1" customWidth="1"/>
    <col min="32" max="32" width="9.28515625" customWidth="1"/>
    <col min="33" max="35" width="9.28515625" hidden="1" customWidth="1"/>
    <col min="36" max="36" width="0" hidden="1" customWidth="1"/>
    <col min="45" max="45" width="0" hidden="1" customWidth="1"/>
    <col min="47" max="47" width="0" hidden="1" customWidth="1"/>
  </cols>
  <sheetData>
    <row r="1" spans="2:50" ht="13.9" customHeight="1">
      <c r="B1" s="6"/>
    </row>
    <row r="2" spans="2:50" ht="13.9" customHeight="1">
      <c r="B2" s="6"/>
    </row>
    <row r="3" spans="2:50" ht="13.9" customHeight="1">
      <c r="B3" s="7"/>
      <c r="C3" s="7" t="s">
        <v>49</v>
      </c>
      <c r="D3" s="7" t="s">
        <v>0</v>
      </c>
      <c r="E3" s="7" t="s">
        <v>1</v>
      </c>
      <c r="F3" s="7" t="s">
        <v>2</v>
      </c>
      <c r="G3" s="7" t="s">
        <v>4</v>
      </c>
      <c r="H3" s="7" t="s">
        <v>49</v>
      </c>
      <c r="I3" s="7" t="s">
        <v>0</v>
      </c>
      <c r="J3" s="7" t="s">
        <v>1</v>
      </c>
      <c r="K3" s="7" t="s">
        <v>2</v>
      </c>
      <c r="L3" s="7" t="s">
        <v>4</v>
      </c>
      <c r="M3" s="7" t="s">
        <v>49</v>
      </c>
      <c r="N3" s="7" t="s">
        <v>0</v>
      </c>
      <c r="O3" s="7" t="s">
        <v>1</v>
      </c>
      <c r="P3" s="7" t="s">
        <v>2</v>
      </c>
      <c r="Q3" s="7" t="s">
        <v>4</v>
      </c>
      <c r="R3" s="7" t="s">
        <v>49</v>
      </c>
      <c r="S3" s="7" t="s">
        <v>0</v>
      </c>
      <c r="T3" s="7" t="s">
        <v>1</v>
      </c>
      <c r="U3" s="7" t="s">
        <v>2</v>
      </c>
      <c r="V3" s="7" t="s">
        <v>4</v>
      </c>
      <c r="W3" s="7" t="s">
        <v>49</v>
      </c>
      <c r="X3" s="7" t="s">
        <v>0</v>
      </c>
      <c r="Y3" s="7" t="s">
        <v>1</v>
      </c>
      <c r="Z3" s="7" t="s">
        <v>2</v>
      </c>
      <c r="AA3" s="7" t="s">
        <v>4</v>
      </c>
      <c r="AB3" s="7" t="s">
        <v>49</v>
      </c>
      <c r="AC3" s="7" t="s">
        <v>0</v>
      </c>
      <c r="AD3" s="7" t="s">
        <v>1</v>
      </c>
      <c r="AE3" s="7" t="s">
        <v>2</v>
      </c>
      <c r="AF3" s="7" t="s">
        <v>4</v>
      </c>
      <c r="AG3" s="7" t="s">
        <v>49</v>
      </c>
      <c r="AH3" s="7" t="s">
        <v>0</v>
      </c>
      <c r="AI3" s="7" t="s">
        <v>1</v>
      </c>
      <c r="AJ3" s="7" t="s">
        <v>2</v>
      </c>
      <c r="AK3" s="7" t="s">
        <v>4</v>
      </c>
      <c r="AL3" s="7" t="s">
        <v>49</v>
      </c>
      <c r="AM3" s="7" t="s">
        <v>0</v>
      </c>
      <c r="AN3" s="7" t="s">
        <v>1</v>
      </c>
      <c r="AO3" s="7" t="s">
        <v>2</v>
      </c>
      <c r="AP3" s="7" t="s">
        <v>4</v>
      </c>
      <c r="AQ3" s="7" t="s">
        <v>49</v>
      </c>
      <c r="AR3" s="7" t="s">
        <v>0</v>
      </c>
      <c r="AS3" s="99" t="s">
        <v>342</v>
      </c>
      <c r="AT3" s="7" t="s">
        <v>1</v>
      </c>
      <c r="AU3" s="7" t="s">
        <v>312</v>
      </c>
      <c r="AV3" s="7" t="s">
        <v>2</v>
      </c>
      <c r="AW3" s="7" t="s">
        <v>4</v>
      </c>
    </row>
    <row r="4" spans="2:50" ht="13.9" customHeight="1">
      <c r="B4" s="15" t="s">
        <v>458</v>
      </c>
      <c r="C4" s="7">
        <v>2017</v>
      </c>
      <c r="D4" s="7">
        <v>2017</v>
      </c>
      <c r="E4" s="7">
        <v>2017</v>
      </c>
      <c r="F4" s="7">
        <v>2017</v>
      </c>
      <c r="G4" s="7">
        <v>2017</v>
      </c>
      <c r="H4" s="7">
        <v>2018</v>
      </c>
      <c r="I4" s="7">
        <v>2018</v>
      </c>
      <c r="J4" s="7">
        <v>2018</v>
      </c>
      <c r="K4" s="7">
        <v>2018</v>
      </c>
      <c r="L4" s="7">
        <v>2018</v>
      </c>
      <c r="M4" s="7">
        <v>2019</v>
      </c>
      <c r="N4" s="7">
        <v>2019</v>
      </c>
      <c r="O4" s="7">
        <v>2019</v>
      </c>
      <c r="P4" s="7">
        <v>2019</v>
      </c>
      <c r="Q4" s="7">
        <v>2019</v>
      </c>
      <c r="R4" s="7">
        <v>2020</v>
      </c>
      <c r="S4" s="7">
        <v>2020</v>
      </c>
      <c r="T4" s="7">
        <v>2020</v>
      </c>
      <c r="U4" s="7">
        <v>2020</v>
      </c>
      <c r="V4" s="7">
        <v>2020</v>
      </c>
      <c r="W4" s="7">
        <v>2021</v>
      </c>
      <c r="X4" s="7">
        <v>2021</v>
      </c>
      <c r="Y4" s="7">
        <v>2021</v>
      </c>
      <c r="Z4" s="7">
        <v>2021</v>
      </c>
      <c r="AA4" s="7">
        <v>2021</v>
      </c>
      <c r="AB4" s="7">
        <v>2022</v>
      </c>
      <c r="AC4" s="7">
        <v>2022</v>
      </c>
      <c r="AD4" s="7">
        <v>2022</v>
      </c>
      <c r="AE4" s="7">
        <v>2022</v>
      </c>
      <c r="AF4" s="7">
        <v>2022</v>
      </c>
      <c r="AG4" s="7">
        <v>2023</v>
      </c>
      <c r="AH4" s="7">
        <v>2023</v>
      </c>
      <c r="AI4" s="7">
        <v>2023</v>
      </c>
      <c r="AJ4" s="7">
        <v>2023</v>
      </c>
      <c r="AK4" s="7">
        <v>2023</v>
      </c>
      <c r="AL4" s="7">
        <v>2024</v>
      </c>
      <c r="AM4" s="7">
        <v>2024</v>
      </c>
      <c r="AN4" s="7">
        <v>2024</v>
      </c>
      <c r="AO4" s="7">
        <v>2024</v>
      </c>
      <c r="AP4" s="7">
        <v>2024</v>
      </c>
      <c r="AQ4" s="7">
        <v>2025</v>
      </c>
      <c r="AR4" s="7">
        <v>2025</v>
      </c>
      <c r="AS4" s="7">
        <v>2025</v>
      </c>
      <c r="AT4" s="7">
        <v>2025</v>
      </c>
      <c r="AU4" s="7">
        <v>2025</v>
      </c>
      <c r="AV4" s="7">
        <v>2025</v>
      </c>
      <c r="AW4" s="7">
        <v>2025</v>
      </c>
    </row>
    <row r="5" spans="2:50" ht="4.1500000000000004" customHeight="1">
      <c r="B5" s="373" t="str">
        <f t="shared" ref="B5:Z5" si="0">B3&amp;"/"&amp;B4</f>
        <v>/(NIS millions)</v>
      </c>
      <c r="C5" s="373" t="str">
        <f t="shared" si="0"/>
        <v>Q1/2017</v>
      </c>
      <c r="D5" s="373" t="str">
        <f t="shared" si="0"/>
        <v>Q2/2017</v>
      </c>
      <c r="E5" s="373" t="str">
        <f t="shared" si="0"/>
        <v>Q3/2017</v>
      </c>
      <c r="F5" s="373" t="str">
        <f t="shared" si="0"/>
        <v>Q4/2017</v>
      </c>
      <c r="G5" s="373" t="str">
        <f t="shared" si="0"/>
        <v>FY/2017</v>
      </c>
      <c r="H5" s="373" t="str">
        <f t="shared" si="0"/>
        <v>Q1/2018</v>
      </c>
      <c r="I5" s="373" t="str">
        <f t="shared" si="0"/>
        <v>Q2/2018</v>
      </c>
      <c r="J5" s="373" t="str">
        <f t="shared" si="0"/>
        <v>Q3/2018</v>
      </c>
      <c r="K5" s="373" t="str">
        <f t="shared" si="0"/>
        <v>Q4/2018</v>
      </c>
      <c r="L5" s="373" t="str">
        <f t="shared" si="0"/>
        <v>FY/2018</v>
      </c>
      <c r="M5" s="373" t="str">
        <f t="shared" si="0"/>
        <v>Q1/2019</v>
      </c>
      <c r="N5" s="373" t="str">
        <f t="shared" si="0"/>
        <v>Q2/2019</v>
      </c>
      <c r="O5" s="373" t="str">
        <f t="shared" si="0"/>
        <v>Q3/2019</v>
      </c>
      <c r="P5" s="373" t="str">
        <f t="shared" si="0"/>
        <v>Q4/2019</v>
      </c>
      <c r="Q5" s="373" t="str">
        <f t="shared" si="0"/>
        <v>FY/2019</v>
      </c>
      <c r="R5" s="373" t="str">
        <f t="shared" si="0"/>
        <v>Q1/2020</v>
      </c>
      <c r="S5" s="373" t="str">
        <f t="shared" si="0"/>
        <v>Q2/2020</v>
      </c>
      <c r="T5" s="373" t="str">
        <f t="shared" si="0"/>
        <v>Q3/2020</v>
      </c>
      <c r="U5" s="373" t="str">
        <f t="shared" si="0"/>
        <v>Q4/2020</v>
      </c>
      <c r="V5" s="373" t="str">
        <f t="shared" si="0"/>
        <v>FY/2020</v>
      </c>
      <c r="W5" s="373" t="str">
        <f t="shared" si="0"/>
        <v>Q1/2021</v>
      </c>
      <c r="X5" s="373" t="str">
        <f t="shared" si="0"/>
        <v>Q2/2021</v>
      </c>
      <c r="Y5" s="373" t="str">
        <f t="shared" si="0"/>
        <v>Q3/2021</v>
      </c>
      <c r="Z5" s="373" t="str">
        <f t="shared" si="0"/>
        <v>Q4/2021</v>
      </c>
      <c r="AA5" s="373" t="str">
        <f t="shared" ref="AA5:AO5" si="1">AA3&amp;"/"&amp;AA4</f>
        <v>FY/2021</v>
      </c>
      <c r="AB5" s="373" t="str">
        <f t="shared" si="1"/>
        <v>Q1/2022</v>
      </c>
      <c r="AC5" s="373" t="str">
        <f t="shared" si="1"/>
        <v>Q2/2022</v>
      </c>
      <c r="AD5" s="373" t="str">
        <f t="shared" si="1"/>
        <v>Q3/2022</v>
      </c>
      <c r="AE5" s="373" t="str">
        <f t="shared" si="1"/>
        <v>Q4/2022</v>
      </c>
      <c r="AF5" s="373" t="str">
        <f t="shared" si="1"/>
        <v>FY/2022</v>
      </c>
      <c r="AG5" s="373" t="str">
        <f t="shared" si="1"/>
        <v>Q1/2023</v>
      </c>
      <c r="AH5" s="373" t="str">
        <f t="shared" si="1"/>
        <v>Q2/2023</v>
      </c>
      <c r="AI5" s="373" t="str">
        <f t="shared" si="1"/>
        <v>Q3/2023</v>
      </c>
      <c r="AJ5" s="373" t="str">
        <f t="shared" si="1"/>
        <v>Q4/2023</v>
      </c>
      <c r="AK5" s="373" t="str">
        <f t="shared" si="1"/>
        <v>FY/2023</v>
      </c>
      <c r="AL5" s="373" t="str">
        <f t="shared" si="1"/>
        <v>Q1/2024</v>
      </c>
      <c r="AM5" s="373" t="str">
        <f t="shared" si="1"/>
        <v>Q2/2024</v>
      </c>
      <c r="AN5" s="373" t="str">
        <f t="shared" si="1"/>
        <v>Q3/2024</v>
      </c>
      <c r="AO5" s="373" t="str">
        <f t="shared" si="1"/>
        <v>Q4/2024</v>
      </c>
      <c r="AP5" s="373" t="str">
        <f>AP3&amp;"/"&amp;AP4</f>
        <v>FY/2024</v>
      </c>
      <c r="AQ5" s="373" t="str">
        <f t="shared" ref="AQ5:AV5" si="2">AQ3&amp;"/"&amp;AQ4</f>
        <v>Q1/2025</v>
      </c>
      <c r="AR5" s="373" t="str">
        <f t="shared" si="2"/>
        <v>Q2/2025</v>
      </c>
      <c r="AS5" s="373" t="str">
        <f t="shared" si="2"/>
        <v>6M/2025</v>
      </c>
      <c r="AT5" s="373" t="str">
        <f t="shared" si="2"/>
        <v>Q3/2025</v>
      </c>
      <c r="AU5" s="373" t="str">
        <f t="shared" si="2"/>
        <v>9M/2025</v>
      </c>
      <c r="AV5" s="373" t="str">
        <f t="shared" si="2"/>
        <v>Q4/2025</v>
      </c>
      <c r="AW5" s="373" t="str">
        <f>AW3&amp;"/"&amp;AW4</f>
        <v>FY/2025</v>
      </c>
    </row>
    <row r="6" spans="2:50" ht="25.35" customHeight="1">
      <c r="B6" s="177" t="s">
        <v>12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</row>
    <row r="7" spans="2:50" ht="13.9" customHeight="1">
      <c r="B7" s="201" t="s">
        <v>38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</row>
    <row r="8" spans="2:50" ht="13.9" customHeight="1">
      <c r="B8" s="12" t="s">
        <v>31</v>
      </c>
      <c r="C8" s="19">
        <v>384</v>
      </c>
      <c r="D8" s="19">
        <v>407</v>
      </c>
      <c r="E8" s="19">
        <v>367</v>
      </c>
      <c r="F8" s="19">
        <f>G8-E8-D8-C8</f>
        <v>379</v>
      </c>
      <c r="G8" s="210">
        <v>1537</v>
      </c>
      <c r="H8" s="210">
        <v>352</v>
      </c>
      <c r="I8" s="210">
        <v>336</v>
      </c>
      <c r="J8" s="210">
        <v>333</v>
      </c>
      <c r="K8" s="210">
        <f>L8-J8-I8-H8</f>
        <v>370</v>
      </c>
      <c r="L8" s="210">
        <v>1391</v>
      </c>
      <c r="M8" s="210">
        <v>341</v>
      </c>
      <c r="N8" s="210">
        <v>339</v>
      </c>
      <c r="O8" s="210">
        <v>329</v>
      </c>
      <c r="P8" s="210">
        <f>Q8-M8-N8-O8</f>
        <v>330</v>
      </c>
      <c r="Q8" s="210">
        <v>1339</v>
      </c>
      <c r="R8" s="210">
        <v>317</v>
      </c>
      <c r="S8" s="210">
        <v>314</v>
      </c>
      <c r="T8" s="210">
        <v>315</v>
      </c>
      <c r="U8" s="210">
        <v>325</v>
      </c>
      <c r="V8" s="210">
        <v>1271</v>
      </c>
      <c r="W8" s="210">
        <v>312</v>
      </c>
      <c r="X8" s="210">
        <v>310</v>
      </c>
      <c r="Y8" s="210">
        <v>287</v>
      </c>
      <c r="Z8" s="210">
        <v>328</v>
      </c>
      <c r="AA8" s="210">
        <v>1237</v>
      </c>
      <c r="AB8" s="19">
        <v>307</v>
      </c>
      <c r="AC8" s="19">
        <v>302</v>
      </c>
      <c r="AD8" s="19">
        <v>311</v>
      </c>
      <c r="AE8" s="19">
        <v>319</v>
      </c>
      <c r="AF8" s="210">
        <v>1239</v>
      </c>
      <c r="AG8" s="19">
        <v>312</v>
      </c>
      <c r="AH8" s="19">
        <v>293</v>
      </c>
      <c r="AI8" s="19">
        <v>303</v>
      </c>
      <c r="AJ8" s="19">
        <v>304</v>
      </c>
      <c r="AK8" s="210">
        <v>1212</v>
      </c>
      <c r="AL8" s="19">
        <v>289</v>
      </c>
      <c r="AM8" s="19">
        <v>261</v>
      </c>
      <c r="AN8" s="19">
        <v>270</v>
      </c>
      <c r="AO8" s="19">
        <v>285</v>
      </c>
      <c r="AP8" s="210">
        <v>1105</v>
      </c>
      <c r="AQ8" s="19">
        <v>273</v>
      </c>
      <c r="AR8" s="19">
        <v>263</v>
      </c>
      <c r="AS8" s="137">
        <v>536</v>
      </c>
      <c r="AT8" s="19">
        <v>281</v>
      </c>
      <c r="AU8" s="276">
        <v>817</v>
      </c>
      <c r="AV8" s="19">
        <v>263</v>
      </c>
      <c r="AW8" s="210">
        <v>1080</v>
      </c>
      <c r="AX8" s="97"/>
    </row>
    <row r="9" spans="2:50" ht="13.9" customHeight="1">
      <c r="B9" s="20" t="s">
        <v>5</v>
      </c>
      <c r="C9" s="21"/>
      <c r="D9" s="21">
        <f>D8/C8-1</f>
        <v>5.9895833333333259E-2</v>
      </c>
      <c r="E9" s="21">
        <f>E8/D8-1</f>
        <v>-9.8280098280098316E-2</v>
      </c>
      <c r="F9" s="21">
        <f>F8/E8-1</f>
        <v>3.2697547683923744E-2</v>
      </c>
      <c r="G9" s="211"/>
      <c r="H9" s="212">
        <f>H8/F8-1</f>
        <v>-7.1240105540897103E-2</v>
      </c>
      <c r="I9" s="212">
        <f>I8/H8-1</f>
        <v>-4.5454545454545414E-2</v>
      </c>
      <c r="J9" s="212">
        <f>J8/I8-1</f>
        <v>-8.9285714285713969E-3</v>
      </c>
      <c r="K9" s="212">
        <f>K8/J8-1</f>
        <v>0.11111111111111116</v>
      </c>
      <c r="L9" s="211"/>
      <c r="M9" s="212">
        <f>M8/K8-1</f>
        <v>-7.8378378378378355E-2</v>
      </c>
      <c r="N9" s="212">
        <f>N8/M8-1</f>
        <v>-5.8651026392961825E-3</v>
      </c>
      <c r="O9" s="212">
        <f>O8/N8-1</f>
        <v>-2.9498525073746285E-2</v>
      </c>
      <c r="P9" s="212">
        <f>P8/O8-1</f>
        <v>3.0395136778116338E-3</v>
      </c>
      <c r="Q9" s="211"/>
      <c r="R9" s="212">
        <v>-3.9393939393939426E-2</v>
      </c>
      <c r="S9" s="212">
        <v>-9.4637223974763929E-3</v>
      </c>
      <c r="T9" s="212">
        <v>3.1847133757962887E-3</v>
      </c>
      <c r="U9" s="212">
        <v>3.1746031746031855E-2</v>
      </c>
      <c r="V9" s="211"/>
      <c r="W9" s="212">
        <v>-4.0000000000000036E-2</v>
      </c>
      <c r="X9" s="212">
        <v>-6.4102564102563875E-3</v>
      </c>
      <c r="Y9" s="212">
        <v>-7.4193548387096797E-2</v>
      </c>
      <c r="Z9" s="212">
        <v>0.14285714285714279</v>
      </c>
      <c r="AA9" s="211"/>
      <c r="AB9" s="21">
        <v>-6.4024390243902385E-2</v>
      </c>
      <c r="AC9" s="21">
        <v>-1.6286644951140072E-2</v>
      </c>
      <c r="AD9" s="21">
        <v>2.9801324503311299E-2</v>
      </c>
      <c r="AE9" s="21">
        <v>2.5723472668810254E-2</v>
      </c>
      <c r="AF9" s="211"/>
      <c r="AG9" s="21">
        <v>-2.1943573667711602E-2</v>
      </c>
      <c r="AH9" s="21">
        <v>-6.0897435897435903E-2</v>
      </c>
      <c r="AI9" s="21">
        <v>3.4129692832764569E-2</v>
      </c>
      <c r="AJ9" s="21">
        <v>3.3003300330032292E-3</v>
      </c>
      <c r="AK9" s="211"/>
      <c r="AL9" s="21">
        <v>-4.9342105263157854E-2</v>
      </c>
      <c r="AM9" s="21">
        <v>-9.6885813148788968E-2</v>
      </c>
      <c r="AN9" s="21">
        <v>3.4482758620689724E-2</v>
      </c>
      <c r="AO9" s="21">
        <v>5.555555555555558E-2</v>
      </c>
      <c r="AP9" s="211"/>
      <c r="AQ9" s="21">
        <v>-4.2105263157894757E-2</v>
      </c>
      <c r="AR9" s="21">
        <v>-3.6630036630036611E-2</v>
      </c>
      <c r="AS9" s="138"/>
      <c r="AT9" s="21">
        <v>6.8441064638783189E-2</v>
      </c>
      <c r="AU9" s="277"/>
      <c r="AV9" s="21">
        <v>-6.4056939501779375E-2</v>
      </c>
      <c r="AW9" s="211"/>
    </row>
    <row r="10" spans="2:50" ht="13.9" customHeight="1">
      <c r="B10" s="20" t="s">
        <v>6</v>
      </c>
      <c r="C10" s="22"/>
      <c r="D10" s="22"/>
      <c r="E10" s="22"/>
      <c r="F10" s="22"/>
      <c r="G10" s="211"/>
      <c r="H10" s="211">
        <f t="shared" ref="H10:N10" si="3">H8/C8-1</f>
        <v>-8.333333333333337E-2</v>
      </c>
      <c r="I10" s="211">
        <f t="shared" si="3"/>
        <v>-0.1744471744471745</v>
      </c>
      <c r="J10" s="211">
        <f t="shared" si="3"/>
        <v>-9.2643051771117202E-2</v>
      </c>
      <c r="K10" s="211">
        <f t="shared" si="3"/>
        <v>-2.3746701846965701E-2</v>
      </c>
      <c r="L10" s="211">
        <f t="shared" si="3"/>
        <v>-9.4990240728692221E-2</v>
      </c>
      <c r="M10" s="211">
        <f t="shared" si="3"/>
        <v>-3.125E-2</v>
      </c>
      <c r="N10" s="211">
        <f t="shared" si="3"/>
        <v>8.9285714285713969E-3</v>
      </c>
      <c r="O10" s="211">
        <f t="shared" ref="O10:P10" si="4">O8/J8-1</f>
        <v>-1.2012012012011963E-2</v>
      </c>
      <c r="P10" s="211">
        <f t="shared" si="4"/>
        <v>-0.10810810810810811</v>
      </c>
      <c r="Q10" s="211">
        <v>-3.7383177570093462E-2</v>
      </c>
      <c r="R10" s="211">
        <v>-7.0381231671554301E-2</v>
      </c>
      <c r="S10" s="211">
        <v>-7.3746312684365822E-2</v>
      </c>
      <c r="T10" s="211">
        <v>-4.2553191489361653E-2</v>
      </c>
      <c r="U10" s="211">
        <v>-1.5151515151515138E-2</v>
      </c>
      <c r="V10" s="211">
        <v>-5.0784167289021687E-2</v>
      </c>
      <c r="W10" s="211">
        <v>-1.5772870662460581E-2</v>
      </c>
      <c r="X10" s="211">
        <v>-1.2738853503184711E-2</v>
      </c>
      <c r="Y10" s="211">
        <v>-8.8888888888888906E-2</v>
      </c>
      <c r="Z10" s="211">
        <v>9.2307692307691536E-3</v>
      </c>
      <c r="AA10" s="211">
        <v>-2.6750590086546011E-2</v>
      </c>
      <c r="AB10" s="22">
        <v>-1.602564102564108E-2</v>
      </c>
      <c r="AC10" s="22">
        <v>-2.5806451612903181E-2</v>
      </c>
      <c r="AD10" s="22">
        <v>8.362369337979092E-2</v>
      </c>
      <c r="AE10" s="22">
        <v>-2.7439024390243927E-2</v>
      </c>
      <c r="AF10" s="211">
        <v>1.6168148746968924E-3</v>
      </c>
      <c r="AG10" s="22">
        <v>1.6286644951140072E-2</v>
      </c>
      <c r="AH10" s="22">
        <v>-2.9801324503311299E-2</v>
      </c>
      <c r="AI10" s="22">
        <v>-2.5723472668810254E-2</v>
      </c>
      <c r="AJ10" s="22">
        <v>-4.7021943573667735E-2</v>
      </c>
      <c r="AK10" s="211">
        <v>-2.1791767554479424E-2</v>
      </c>
      <c r="AL10" s="22">
        <v>-7.3717948717948678E-2</v>
      </c>
      <c r="AM10" s="22">
        <v>-0.10921501706484638</v>
      </c>
      <c r="AN10" s="22">
        <v>-0.1089108910891089</v>
      </c>
      <c r="AO10" s="22">
        <v>-6.25E-2</v>
      </c>
      <c r="AP10" s="211">
        <v>-8.8283828382838325E-2</v>
      </c>
      <c r="AQ10" s="22">
        <v>-5.5363321799307919E-2</v>
      </c>
      <c r="AR10" s="22">
        <v>7.6628352490422103E-3</v>
      </c>
      <c r="AS10" s="139"/>
      <c r="AT10" s="22">
        <v>4.0740740740740744E-2</v>
      </c>
      <c r="AU10" s="278"/>
      <c r="AV10" s="22">
        <v>-7.7192982456140369E-2</v>
      </c>
      <c r="AW10" s="211">
        <v>-2.2624434389140302E-2</v>
      </c>
    </row>
    <row r="11" spans="2:50" ht="13.9" customHeight="1">
      <c r="B11" s="12" t="s">
        <v>451</v>
      </c>
      <c r="C11" s="27" t="s">
        <v>25</v>
      </c>
      <c r="D11" s="27" t="s">
        <v>25</v>
      </c>
      <c r="E11" s="27" t="s">
        <v>25</v>
      </c>
      <c r="F11" s="27" t="s">
        <v>25</v>
      </c>
      <c r="G11" s="235" t="s">
        <v>24</v>
      </c>
      <c r="H11" s="235" t="s">
        <v>25</v>
      </c>
      <c r="I11" s="235" t="s">
        <v>25</v>
      </c>
      <c r="J11" s="235" t="s">
        <v>25</v>
      </c>
      <c r="K11" s="235" t="s">
        <v>25</v>
      </c>
      <c r="L11" s="235" t="s">
        <v>24</v>
      </c>
      <c r="M11" s="235" t="s">
        <v>25</v>
      </c>
      <c r="N11" s="235" t="s">
        <v>25</v>
      </c>
      <c r="O11" s="235" t="s">
        <v>25</v>
      </c>
      <c r="P11" s="235" t="s">
        <v>25</v>
      </c>
      <c r="Q11" s="210">
        <v>746</v>
      </c>
      <c r="R11" s="235" t="s">
        <v>25</v>
      </c>
      <c r="S11" s="235" t="s">
        <v>25</v>
      </c>
      <c r="T11" s="235" t="s">
        <v>25</v>
      </c>
      <c r="U11" s="235" t="s">
        <v>25</v>
      </c>
      <c r="V11" s="210">
        <v>710</v>
      </c>
      <c r="W11" s="235" t="s">
        <v>25</v>
      </c>
      <c r="X11" s="235" t="s">
        <v>25</v>
      </c>
      <c r="Y11" s="235" t="s">
        <v>25</v>
      </c>
      <c r="Z11" s="235" t="s">
        <v>25</v>
      </c>
      <c r="AA11" s="210">
        <v>683</v>
      </c>
      <c r="AB11" s="27" t="s">
        <v>25</v>
      </c>
      <c r="AC11" s="27" t="s">
        <v>25</v>
      </c>
      <c r="AD11" s="27" t="s">
        <v>25</v>
      </c>
      <c r="AE11" s="27" t="s">
        <v>25</v>
      </c>
      <c r="AF11" s="210">
        <v>637</v>
      </c>
      <c r="AG11" s="27" t="s">
        <v>25</v>
      </c>
      <c r="AH11" s="27" t="s">
        <v>25</v>
      </c>
      <c r="AI11" s="27" t="s">
        <v>25</v>
      </c>
      <c r="AJ11" s="27" t="s">
        <v>25</v>
      </c>
      <c r="AK11" s="210">
        <v>538</v>
      </c>
      <c r="AL11" s="27" t="s">
        <v>25</v>
      </c>
      <c r="AM11" s="27" t="s">
        <v>25</v>
      </c>
      <c r="AN11" s="27" t="s">
        <v>25</v>
      </c>
      <c r="AO11" s="27" t="s">
        <v>25</v>
      </c>
      <c r="AP11" s="210">
        <v>435</v>
      </c>
      <c r="AQ11" s="27" t="s">
        <v>25</v>
      </c>
      <c r="AR11" s="27" t="s">
        <v>25</v>
      </c>
      <c r="AS11" s="142" t="s">
        <v>25</v>
      </c>
      <c r="AT11" s="27" t="s">
        <v>25</v>
      </c>
      <c r="AU11" s="305" t="s">
        <v>25</v>
      </c>
      <c r="AV11" s="27" t="s">
        <v>25</v>
      </c>
      <c r="AW11" s="210">
        <v>370</v>
      </c>
    </row>
    <row r="12" spans="2:50" ht="13.9" customHeight="1">
      <c r="B12" s="20" t="s">
        <v>6</v>
      </c>
      <c r="C12" s="22"/>
      <c r="D12" s="22"/>
      <c r="E12" s="22"/>
      <c r="F12" s="22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>
        <v>-4.8257372654155528E-2</v>
      </c>
      <c r="W12" s="211"/>
      <c r="X12" s="211"/>
      <c r="Y12" s="211"/>
      <c r="Z12" s="211"/>
      <c r="AA12" s="211">
        <v>-3.8028169014084456E-2</v>
      </c>
      <c r="AB12" s="22"/>
      <c r="AC12" s="22"/>
      <c r="AD12" s="22"/>
      <c r="AE12" s="22"/>
      <c r="AF12" s="211">
        <v>-6.7349926793557779E-2</v>
      </c>
      <c r="AG12" s="22"/>
      <c r="AH12" s="22"/>
      <c r="AI12" s="22"/>
      <c r="AJ12" s="22"/>
      <c r="AK12" s="211">
        <v>-0.15541601255886972</v>
      </c>
      <c r="AL12" s="22"/>
      <c r="AM12" s="22"/>
      <c r="AN12" s="22"/>
      <c r="AO12" s="22"/>
      <c r="AP12" s="211">
        <v>-0.19144981412639406</v>
      </c>
      <c r="AQ12" s="22"/>
      <c r="AR12" s="22"/>
      <c r="AS12" s="139"/>
      <c r="AT12" s="22"/>
      <c r="AU12" s="278"/>
      <c r="AV12" s="22"/>
      <c r="AW12" s="211">
        <v>-0.14942528735632188</v>
      </c>
    </row>
    <row r="13" spans="2:50" ht="13.9" customHeight="1">
      <c r="B13" s="12" t="s">
        <v>403</v>
      </c>
      <c r="C13" s="27" t="s">
        <v>25</v>
      </c>
      <c r="D13" s="27" t="s">
        <v>25</v>
      </c>
      <c r="E13" s="27" t="s">
        <v>25</v>
      </c>
      <c r="F13" s="27" t="s">
        <v>25</v>
      </c>
      <c r="G13" s="235" t="s">
        <v>24</v>
      </c>
      <c r="H13" s="235" t="s">
        <v>25</v>
      </c>
      <c r="I13" s="235" t="s">
        <v>25</v>
      </c>
      <c r="J13" s="235" t="s">
        <v>25</v>
      </c>
      <c r="K13" s="235" t="s">
        <v>25</v>
      </c>
      <c r="L13" s="235" t="s">
        <v>24</v>
      </c>
      <c r="M13" s="235" t="s">
        <v>25</v>
      </c>
      <c r="N13" s="235" t="s">
        <v>25</v>
      </c>
      <c r="O13" s="235" t="s">
        <v>25</v>
      </c>
      <c r="P13" s="235" t="s">
        <v>25</v>
      </c>
      <c r="Q13" s="210">
        <v>198</v>
      </c>
      <c r="R13" s="235" t="s">
        <v>25</v>
      </c>
      <c r="S13" s="235" t="s">
        <v>25</v>
      </c>
      <c r="T13" s="235" t="s">
        <v>25</v>
      </c>
      <c r="U13" s="235" t="s">
        <v>25</v>
      </c>
      <c r="V13" s="210">
        <v>181</v>
      </c>
      <c r="W13" s="235" t="s">
        <v>25</v>
      </c>
      <c r="X13" s="235" t="s">
        <v>25</v>
      </c>
      <c r="Y13" s="235" t="s">
        <v>25</v>
      </c>
      <c r="Z13" s="235" t="s">
        <v>25</v>
      </c>
      <c r="AA13" s="210">
        <v>177</v>
      </c>
      <c r="AB13" s="27" t="s">
        <v>25</v>
      </c>
      <c r="AC13" s="27" t="s">
        <v>25</v>
      </c>
      <c r="AD13" s="27" t="s">
        <v>25</v>
      </c>
      <c r="AE13" s="27" t="s">
        <v>25</v>
      </c>
      <c r="AF13" s="210">
        <v>183</v>
      </c>
      <c r="AG13" s="27" t="s">
        <v>25</v>
      </c>
      <c r="AH13" s="27" t="s">
        <v>25</v>
      </c>
      <c r="AI13" s="27" t="s">
        <v>25</v>
      </c>
      <c r="AJ13" s="27" t="s">
        <v>25</v>
      </c>
      <c r="AK13" s="210">
        <v>185</v>
      </c>
      <c r="AL13" s="27" t="s">
        <v>25</v>
      </c>
      <c r="AM13" s="27" t="s">
        <v>25</v>
      </c>
      <c r="AN13" s="27" t="s">
        <v>25</v>
      </c>
      <c r="AO13" s="27" t="s">
        <v>25</v>
      </c>
      <c r="AP13" s="210">
        <v>153</v>
      </c>
      <c r="AQ13" s="27" t="s">
        <v>25</v>
      </c>
      <c r="AR13" s="27" t="s">
        <v>25</v>
      </c>
      <c r="AS13" s="142" t="s">
        <v>25</v>
      </c>
      <c r="AT13" s="27" t="s">
        <v>25</v>
      </c>
      <c r="AU13" s="305" t="s">
        <v>25</v>
      </c>
      <c r="AV13" s="27" t="s">
        <v>25</v>
      </c>
      <c r="AW13" s="210">
        <v>150</v>
      </c>
    </row>
    <row r="14" spans="2:50" ht="13.9" customHeight="1">
      <c r="B14" s="20" t="s">
        <v>6</v>
      </c>
      <c r="C14" s="22"/>
      <c r="D14" s="22"/>
      <c r="E14" s="22"/>
      <c r="F14" s="22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>
        <v>-8.5858585858585856E-2</v>
      </c>
      <c r="W14" s="211"/>
      <c r="X14" s="211"/>
      <c r="Y14" s="211"/>
      <c r="Z14" s="211"/>
      <c r="AA14" s="211">
        <v>-2.2099447513812209E-2</v>
      </c>
      <c r="AB14" s="22"/>
      <c r="AC14" s="22"/>
      <c r="AD14" s="22"/>
      <c r="AE14" s="22"/>
      <c r="AF14" s="211">
        <v>3.3898305084745672E-2</v>
      </c>
      <c r="AG14" s="22"/>
      <c r="AH14" s="22"/>
      <c r="AI14" s="22"/>
      <c r="AJ14" s="22"/>
      <c r="AK14" s="211">
        <v>1.0928961748633892E-2</v>
      </c>
      <c r="AL14" s="22"/>
      <c r="AM14" s="22"/>
      <c r="AN14" s="22"/>
      <c r="AO14" s="22"/>
      <c r="AP14" s="211">
        <v>-0.17297297297297298</v>
      </c>
      <c r="AQ14" s="22"/>
      <c r="AR14" s="22"/>
      <c r="AS14" s="139"/>
      <c r="AT14" s="22"/>
      <c r="AU14" s="278"/>
      <c r="AV14" s="22"/>
      <c r="AW14" s="211">
        <v>-1.9607843137254943E-2</v>
      </c>
    </row>
    <row r="15" spans="2:50" ht="13.9" customHeight="1">
      <c r="B15" s="12" t="s">
        <v>405</v>
      </c>
      <c r="C15" s="22"/>
      <c r="D15" s="22"/>
      <c r="E15" s="22"/>
      <c r="F15" s="22"/>
      <c r="G15" s="235" t="s">
        <v>24</v>
      </c>
      <c r="H15" s="235" t="s">
        <v>25</v>
      </c>
      <c r="I15" s="235" t="s">
        <v>25</v>
      </c>
      <c r="J15" s="235" t="s">
        <v>25</v>
      </c>
      <c r="K15" s="235" t="s">
        <v>25</v>
      </c>
      <c r="L15" s="235" t="s">
        <v>24</v>
      </c>
      <c r="M15" s="235" t="s">
        <v>25</v>
      </c>
      <c r="N15" s="235" t="s">
        <v>25</v>
      </c>
      <c r="O15" s="235" t="s">
        <v>25</v>
      </c>
      <c r="P15" s="235" t="s">
        <v>25</v>
      </c>
      <c r="Q15" s="210">
        <v>106</v>
      </c>
      <c r="R15" s="235" t="s">
        <v>25</v>
      </c>
      <c r="S15" s="235" t="s">
        <v>25</v>
      </c>
      <c r="T15" s="235" t="s">
        <v>25</v>
      </c>
      <c r="U15" s="235" t="s">
        <v>25</v>
      </c>
      <c r="V15" s="210">
        <v>131</v>
      </c>
      <c r="W15" s="235" t="s">
        <v>25</v>
      </c>
      <c r="X15" s="235" t="s">
        <v>25</v>
      </c>
      <c r="Y15" s="235" t="s">
        <v>25</v>
      </c>
      <c r="Z15" s="235" t="s">
        <v>25</v>
      </c>
      <c r="AA15" s="210">
        <v>142</v>
      </c>
      <c r="AB15" s="27" t="s">
        <v>25</v>
      </c>
      <c r="AC15" s="27" t="s">
        <v>25</v>
      </c>
      <c r="AD15" s="27" t="s">
        <v>25</v>
      </c>
      <c r="AE15" s="27" t="s">
        <v>25</v>
      </c>
      <c r="AF15" s="210">
        <v>185</v>
      </c>
      <c r="AG15" s="27" t="s">
        <v>25</v>
      </c>
      <c r="AH15" s="27" t="s">
        <v>25</v>
      </c>
      <c r="AI15" s="27" t="s">
        <v>25</v>
      </c>
      <c r="AJ15" s="27" t="s">
        <v>25</v>
      </c>
      <c r="AK15" s="210">
        <v>224</v>
      </c>
      <c r="AL15" s="27" t="s">
        <v>25</v>
      </c>
      <c r="AM15" s="27" t="s">
        <v>25</v>
      </c>
      <c r="AN15" s="27" t="s">
        <v>25</v>
      </c>
      <c r="AO15" s="27" t="s">
        <v>25</v>
      </c>
      <c r="AP15" s="210">
        <v>254</v>
      </c>
      <c r="AQ15" s="27" t="s">
        <v>25</v>
      </c>
      <c r="AR15" s="27" t="s">
        <v>25</v>
      </c>
      <c r="AS15" s="142" t="s">
        <v>25</v>
      </c>
      <c r="AT15" s="27" t="s">
        <v>25</v>
      </c>
      <c r="AU15" s="305" t="s">
        <v>25</v>
      </c>
      <c r="AV15" s="27" t="s">
        <v>25</v>
      </c>
      <c r="AW15" s="210">
        <v>284</v>
      </c>
    </row>
    <row r="16" spans="2:50" ht="13.9" customHeight="1">
      <c r="B16" s="20" t="s">
        <v>6</v>
      </c>
      <c r="C16" s="22"/>
      <c r="D16" s="22"/>
      <c r="E16" s="22"/>
      <c r="F16" s="22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>
        <v>0.23584905660377364</v>
      </c>
      <c r="W16" s="211"/>
      <c r="X16" s="211"/>
      <c r="Y16" s="211"/>
      <c r="Z16" s="211"/>
      <c r="AA16" s="211">
        <v>8.3969465648854991E-2</v>
      </c>
      <c r="AB16" s="22"/>
      <c r="AC16" s="22"/>
      <c r="AD16" s="22"/>
      <c r="AE16" s="22"/>
      <c r="AF16" s="211">
        <v>0.30281690140845074</v>
      </c>
      <c r="AG16" s="22"/>
      <c r="AH16" s="22"/>
      <c r="AI16" s="22"/>
      <c r="AJ16" s="22"/>
      <c r="AK16" s="211">
        <v>0.21081081081081088</v>
      </c>
      <c r="AL16" s="22"/>
      <c r="AM16" s="22"/>
      <c r="AN16" s="22"/>
      <c r="AO16" s="22"/>
      <c r="AP16" s="211">
        <v>0.1339285714285714</v>
      </c>
      <c r="AQ16" s="22"/>
      <c r="AR16" s="22"/>
      <c r="AS16" s="139"/>
      <c r="AT16" s="22"/>
      <c r="AU16" s="278"/>
      <c r="AV16" s="22"/>
      <c r="AW16" s="211">
        <v>0.11811023622047245</v>
      </c>
    </row>
    <row r="17" spans="2:50" ht="13.9" customHeight="1">
      <c r="B17" s="34" t="s">
        <v>404</v>
      </c>
      <c r="C17" s="27" t="s">
        <v>25</v>
      </c>
      <c r="D17" s="27" t="s">
        <v>25</v>
      </c>
      <c r="E17" s="27" t="s">
        <v>25</v>
      </c>
      <c r="F17" s="27" t="s">
        <v>25</v>
      </c>
      <c r="G17" s="235" t="s">
        <v>24</v>
      </c>
      <c r="H17" s="235" t="s">
        <v>25</v>
      </c>
      <c r="I17" s="235" t="s">
        <v>25</v>
      </c>
      <c r="J17" s="235" t="s">
        <v>25</v>
      </c>
      <c r="K17" s="235" t="s">
        <v>25</v>
      </c>
      <c r="L17" s="235" t="s">
        <v>24</v>
      </c>
      <c r="M17" s="235" t="s">
        <v>25</v>
      </c>
      <c r="N17" s="235" t="s">
        <v>25</v>
      </c>
      <c r="O17" s="235" t="s">
        <v>25</v>
      </c>
      <c r="P17" s="235" t="s">
        <v>25</v>
      </c>
      <c r="Q17" s="210">
        <v>289</v>
      </c>
      <c r="R17" s="235" t="s">
        <v>25</v>
      </c>
      <c r="S17" s="235" t="s">
        <v>25</v>
      </c>
      <c r="T17" s="235" t="s">
        <v>25</v>
      </c>
      <c r="U17" s="235" t="s">
        <v>25</v>
      </c>
      <c r="V17" s="210">
        <v>249</v>
      </c>
      <c r="W17" s="235" t="s">
        <v>25</v>
      </c>
      <c r="X17" s="235" t="s">
        <v>25</v>
      </c>
      <c r="Y17" s="235" t="s">
        <v>25</v>
      </c>
      <c r="Z17" s="235" t="s">
        <v>25</v>
      </c>
      <c r="AA17" s="210">
        <v>235</v>
      </c>
      <c r="AB17" s="27" t="s">
        <v>25</v>
      </c>
      <c r="AC17" s="27" t="s">
        <v>25</v>
      </c>
      <c r="AD17" s="27" t="s">
        <v>25</v>
      </c>
      <c r="AE17" s="27" t="s">
        <v>25</v>
      </c>
      <c r="AF17" s="210">
        <v>234</v>
      </c>
      <c r="AG17" s="27" t="s">
        <v>25</v>
      </c>
      <c r="AH17" s="27" t="s">
        <v>25</v>
      </c>
      <c r="AI17" s="27" t="s">
        <v>25</v>
      </c>
      <c r="AJ17" s="27" t="s">
        <v>25</v>
      </c>
      <c r="AK17" s="210">
        <v>265</v>
      </c>
      <c r="AL17" s="27" t="s">
        <v>25</v>
      </c>
      <c r="AM17" s="27" t="s">
        <v>25</v>
      </c>
      <c r="AN17" s="27" t="s">
        <v>25</v>
      </c>
      <c r="AO17" s="27" t="s">
        <v>25</v>
      </c>
      <c r="AP17" s="210">
        <v>263</v>
      </c>
      <c r="AQ17" s="27" t="s">
        <v>25</v>
      </c>
      <c r="AR17" s="27" t="s">
        <v>25</v>
      </c>
      <c r="AS17" s="142" t="s">
        <v>25</v>
      </c>
      <c r="AT17" s="27" t="s">
        <v>25</v>
      </c>
      <c r="AU17" s="305" t="s">
        <v>25</v>
      </c>
      <c r="AV17" s="27" t="s">
        <v>25</v>
      </c>
      <c r="AW17" s="210">
        <v>276</v>
      </c>
    </row>
    <row r="18" spans="2:50" ht="13.9" customHeight="1">
      <c r="B18" s="20" t="s">
        <v>6</v>
      </c>
      <c r="C18" s="22"/>
      <c r="D18" s="22"/>
      <c r="E18" s="22"/>
      <c r="F18" s="22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>
        <v>-0.13840830449826991</v>
      </c>
      <c r="W18" s="211"/>
      <c r="X18" s="211"/>
      <c r="Y18" s="211"/>
      <c r="Z18" s="211"/>
      <c r="AA18" s="211">
        <v>-5.6224899598393607E-2</v>
      </c>
      <c r="AB18" s="22"/>
      <c r="AC18" s="22"/>
      <c r="AD18" s="22"/>
      <c r="AE18" s="22"/>
      <c r="AF18" s="211">
        <v>-4.2553191489361764E-3</v>
      </c>
      <c r="AG18" s="22"/>
      <c r="AH18" s="22"/>
      <c r="AI18" s="22"/>
      <c r="AJ18" s="22"/>
      <c r="AK18" s="211">
        <v>0.13247863247863245</v>
      </c>
      <c r="AL18" s="22"/>
      <c r="AM18" s="22"/>
      <c r="AN18" s="22"/>
      <c r="AO18" s="22"/>
      <c r="AP18" s="211">
        <v>-7.547169811320753E-3</v>
      </c>
      <c r="AQ18" s="22"/>
      <c r="AR18" s="22"/>
      <c r="AS18" s="139"/>
      <c r="AT18" s="22"/>
      <c r="AU18" s="278"/>
      <c r="AV18" s="22"/>
      <c r="AW18" s="211">
        <v>4.9429657794676896E-2</v>
      </c>
    </row>
    <row r="19" spans="2:50" ht="13.9" customHeight="1">
      <c r="B19" s="201"/>
      <c r="C19" s="283"/>
      <c r="D19" s="283"/>
      <c r="E19" s="283"/>
      <c r="F19" s="283"/>
      <c r="G19" s="122"/>
      <c r="H19" s="283"/>
      <c r="I19" s="283"/>
      <c r="J19" s="283"/>
      <c r="K19" s="283"/>
      <c r="L19" s="122"/>
      <c r="M19" s="283"/>
      <c r="N19" s="283"/>
      <c r="O19" s="283"/>
      <c r="P19" s="283"/>
      <c r="Q19" s="122"/>
      <c r="R19" s="283"/>
      <c r="S19" s="283"/>
      <c r="T19" s="283"/>
      <c r="U19" s="283"/>
      <c r="V19" s="122"/>
      <c r="W19" s="283"/>
      <c r="X19" s="283"/>
      <c r="Y19" s="283"/>
      <c r="Z19" s="283"/>
      <c r="AA19" s="122"/>
      <c r="AB19" s="283"/>
      <c r="AC19" s="283"/>
      <c r="AD19" s="283"/>
      <c r="AE19" s="283"/>
      <c r="AF19" s="122"/>
      <c r="AG19" s="283"/>
      <c r="AH19" s="283"/>
      <c r="AI19" s="283"/>
      <c r="AJ19" s="283"/>
      <c r="AK19" s="122"/>
      <c r="AL19" s="283"/>
      <c r="AM19" s="283"/>
      <c r="AN19" s="283"/>
      <c r="AO19" s="283"/>
      <c r="AP19" s="122"/>
      <c r="AQ19" s="283"/>
      <c r="AR19" s="283"/>
      <c r="AS19" s="283"/>
      <c r="AT19" s="283"/>
      <c r="AU19" s="283"/>
      <c r="AV19" s="283"/>
      <c r="AW19" s="122"/>
    </row>
    <row r="20" spans="2:50" ht="13.9" customHeight="1">
      <c r="B20" s="12" t="s">
        <v>434</v>
      </c>
      <c r="C20" s="27" t="s">
        <v>25</v>
      </c>
      <c r="D20" s="27" t="s">
        <v>25</v>
      </c>
      <c r="E20" s="27" t="s">
        <v>25</v>
      </c>
      <c r="F20" s="27" t="s">
        <v>25</v>
      </c>
      <c r="G20" s="210">
        <v>488</v>
      </c>
      <c r="H20" s="235" t="s">
        <v>25</v>
      </c>
      <c r="I20" s="235" t="s">
        <v>25</v>
      </c>
      <c r="J20" s="235" t="s">
        <v>25</v>
      </c>
      <c r="K20" s="235" t="s">
        <v>25</v>
      </c>
      <c r="L20" s="210">
        <v>468</v>
      </c>
      <c r="M20" s="235" t="s">
        <v>25</v>
      </c>
      <c r="N20" s="235" t="s">
        <v>25</v>
      </c>
      <c r="O20" s="235" t="s">
        <v>25</v>
      </c>
      <c r="P20" s="235" t="s">
        <v>25</v>
      </c>
      <c r="Q20" s="365" t="s">
        <v>24</v>
      </c>
      <c r="R20" s="235" t="s">
        <v>25</v>
      </c>
      <c r="S20" s="235" t="s">
        <v>25</v>
      </c>
      <c r="T20" s="235" t="s">
        <v>25</v>
      </c>
      <c r="U20" s="235" t="s">
        <v>25</v>
      </c>
      <c r="V20" s="210">
        <v>474</v>
      </c>
      <c r="W20" s="235" t="s">
        <v>25</v>
      </c>
      <c r="X20" s="235" t="s">
        <v>25</v>
      </c>
      <c r="Y20" s="235" t="s">
        <v>25</v>
      </c>
      <c r="Z20" s="235" t="s">
        <v>25</v>
      </c>
      <c r="AA20" s="210">
        <v>437</v>
      </c>
      <c r="AB20" s="27" t="s">
        <v>25</v>
      </c>
      <c r="AC20" s="27" t="s">
        <v>25</v>
      </c>
      <c r="AD20" s="27" t="s">
        <v>25</v>
      </c>
      <c r="AE20" s="27" t="s">
        <v>25</v>
      </c>
      <c r="AF20" s="210">
        <v>368</v>
      </c>
      <c r="AG20" s="19">
        <v>72</v>
      </c>
      <c r="AH20" s="19">
        <v>66</v>
      </c>
      <c r="AI20" s="19">
        <v>60</v>
      </c>
      <c r="AJ20" s="19">
        <v>55</v>
      </c>
      <c r="AK20" s="210">
        <v>253</v>
      </c>
      <c r="AL20" s="355">
        <v>48</v>
      </c>
      <c r="AM20" s="19">
        <v>44</v>
      </c>
      <c r="AN20" s="19">
        <v>39</v>
      </c>
      <c r="AO20" s="19">
        <v>36</v>
      </c>
      <c r="AP20" s="210">
        <v>167</v>
      </c>
      <c r="AQ20" s="355">
        <v>34</v>
      </c>
      <c r="AR20" s="19">
        <v>32</v>
      </c>
      <c r="AS20" s="137">
        <v>66</v>
      </c>
      <c r="AT20" s="19">
        <v>30</v>
      </c>
      <c r="AU20" s="390">
        <v>96</v>
      </c>
      <c r="AV20" s="19">
        <v>26</v>
      </c>
      <c r="AW20" s="210">
        <v>122</v>
      </c>
    </row>
    <row r="21" spans="2:50" ht="13.9" customHeight="1">
      <c r="B21" s="20" t="s">
        <v>87</v>
      </c>
      <c r="C21" s="22"/>
      <c r="D21" s="22"/>
      <c r="E21" s="22"/>
      <c r="F21" s="22"/>
      <c r="G21" s="211">
        <f>G20/G8</f>
        <v>0.31750162654521796</v>
      </c>
      <c r="H21" s="211"/>
      <c r="I21" s="211"/>
      <c r="J21" s="211"/>
      <c r="K21" s="211"/>
      <c r="L21" s="211">
        <f>L20/L8</f>
        <v>0.3364485981308411</v>
      </c>
      <c r="M21" s="211"/>
      <c r="N21" s="211"/>
      <c r="O21" s="211"/>
      <c r="P21" s="211"/>
      <c r="Q21" s="211"/>
      <c r="R21" s="211"/>
      <c r="S21" s="211"/>
      <c r="T21" s="211"/>
      <c r="U21" s="211"/>
      <c r="V21" s="211">
        <v>0.37293469708890636</v>
      </c>
      <c r="W21" s="211"/>
      <c r="X21" s="211"/>
      <c r="Y21" s="211"/>
      <c r="Z21" s="211"/>
      <c r="AA21" s="211">
        <v>0.35327405012126112</v>
      </c>
      <c r="AB21" s="66"/>
      <c r="AC21" s="66"/>
      <c r="AD21" s="66"/>
      <c r="AE21" s="66"/>
      <c r="AF21" s="211">
        <v>0.29701372074253429</v>
      </c>
      <c r="AG21" s="66">
        <v>0.23076923076923078</v>
      </c>
      <c r="AH21" s="66">
        <v>0.22525597269624573</v>
      </c>
      <c r="AI21" s="66">
        <v>0.19801980198019803</v>
      </c>
      <c r="AJ21" s="66">
        <v>0.18092105263157895</v>
      </c>
      <c r="AK21" s="211">
        <v>0.20874587458745875</v>
      </c>
      <c r="AL21" s="66">
        <v>0.16608996539792387</v>
      </c>
      <c r="AM21" s="66">
        <v>0.16858237547892721</v>
      </c>
      <c r="AN21" s="66">
        <v>0.14444444444444443</v>
      </c>
      <c r="AO21" s="66">
        <v>0.12631578947368421</v>
      </c>
      <c r="AP21" s="211">
        <v>0.151131221719457</v>
      </c>
      <c r="AQ21" s="66">
        <v>0.12454212454212454</v>
      </c>
      <c r="AR21" s="66">
        <v>0.12167300380228137</v>
      </c>
      <c r="AS21" s="139">
        <v>0.12313432835820895</v>
      </c>
      <c r="AT21" s="66">
        <v>0.10676156583629894</v>
      </c>
      <c r="AU21" s="391">
        <v>0.1175030599755202</v>
      </c>
      <c r="AV21" s="66">
        <v>9.8859315589353611E-2</v>
      </c>
      <c r="AW21" s="211">
        <v>0.11296296296296296</v>
      </c>
    </row>
    <row r="22" spans="2:50" ht="13.9" customHeight="1">
      <c r="B22" s="12" t="s">
        <v>86</v>
      </c>
      <c r="C22" s="27" t="s">
        <v>25</v>
      </c>
      <c r="D22" s="27" t="s">
        <v>25</v>
      </c>
      <c r="E22" s="27" t="s">
        <v>25</v>
      </c>
      <c r="F22" s="27" t="s">
        <v>25</v>
      </c>
      <c r="G22" s="210">
        <v>1049</v>
      </c>
      <c r="H22" s="235" t="s">
        <v>25</v>
      </c>
      <c r="I22" s="235" t="s">
        <v>25</v>
      </c>
      <c r="J22" s="235" t="s">
        <v>25</v>
      </c>
      <c r="K22" s="235" t="s">
        <v>25</v>
      </c>
      <c r="L22" s="210">
        <v>923</v>
      </c>
      <c r="M22" s="235" t="s">
        <v>25</v>
      </c>
      <c r="N22" s="235" t="s">
        <v>25</v>
      </c>
      <c r="O22" s="235" t="s">
        <v>25</v>
      </c>
      <c r="P22" s="235" t="s">
        <v>25</v>
      </c>
      <c r="Q22" s="365" t="s">
        <v>24</v>
      </c>
      <c r="R22" s="235" t="s">
        <v>25</v>
      </c>
      <c r="S22" s="235" t="s">
        <v>25</v>
      </c>
      <c r="T22" s="235" t="s">
        <v>25</v>
      </c>
      <c r="U22" s="235" t="s">
        <v>25</v>
      </c>
      <c r="V22" s="210">
        <v>797</v>
      </c>
      <c r="W22" s="235" t="s">
        <v>25</v>
      </c>
      <c r="X22" s="235" t="s">
        <v>25</v>
      </c>
      <c r="Y22" s="235" t="s">
        <v>25</v>
      </c>
      <c r="Z22" s="235" t="s">
        <v>25</v>
      </c>
      <c r="AA22" s="210">
        <v>800</v>
      </c>
      <c r="AB22" s="27" t="s">
        <v>25</v>
      </c>
      <c r="AC22" s="27" t="s">
        <v>25</v>
      </c>
      <c r="AD22" s="27" t="s">
        <v>25</v>
      </c>
      <c r="AE22" s="27" t="s">
        <v>25</v>
      </c>
      <c r="AF22" s="210">
        <v>871</v>
      </c>
      <c r="AG22" s="19">
        <v>240</v>
      </c>
      <c r="AH22" s="19">
        <v>227</v>
      </c>
      <c r="AI22" s="19">
        <v>243</v>
      </c>
      <c r="AJ22" s="19">
        <v>249</v>
      </c>
      <c r="AK22" s="210">
        <v>959</v>
      </c>
      <c r="AL22" s="19">
        <v>241</v>
      </c>
      <c r="AM22" s="19">
        <v>217</v>
      </c>
      <c r="AN22" s="19">
        <v>231</v>
      </c>
      <c r="AO22" s="19">
        <v>249</v>
      </c>
      <c r="AP22" s="210">
        <v>938</v>
      </c>
      <c r="AQ22" s="19">
        <v>239</v>
      </c>
      <c r="AR22" s="19">
        <v>231</v>
      </c>
      <c r="AS22" s="137">
        <v>470</v>
      </c>
      <c r="AT22" s="19">
        <v>251</v>
      </c>
      <c r="AU22" s="390">
        <v>721</v>
      </c>
      <c r="AV22" s="19">
        <v>237</v>
      </c>
      <c r="AW22" s="210">
        <v>958</v>
      </c>
    </row>
    <row r="23" spans="2:50" ht="13.9" customHeight="1">
      <c r="B23" s="20" t="s">
        <v>87</v>
      </c>
      <c r="C23" s="22"/>
      <c r="D23" s="22"/>
      <c r="E23" s="22"/>
      <c r="F23" s="22"/>
      <c r="G23" s="211">
        <f>G22/G8</f>
        <v>0.68249837345478204</v>
      </c>
      <c r="H23" s="211"/>
      <c r="I23" s="211"/>
      <c r="J23" s="211"/>
      <c r="K23" s="211"/>
      <c r="L23" s="211">
        <f>L22/L8</f>
        <v>0.66355140186915884</v>
      </c>
      <c r="M23" s="211"/>
      <c r="N23" s="211"/>
      <c r="O23" s="211"/>
      <c r="P23" s="211"/>
      <c r="Q23" s="211"/>
      <c r="R23" s="211"/>
      <c r="S23" s="211"/>
      <c r="T23" s="211"/>
      <c r="U23" s="211"/>
      <c r="V23" s="211">
        <v>0.62706530291109364</v>
      </c>
      <c r="W23" s="211"/>
      <c r="X23" s="211"/>
      <c r="Y23" s="211"/>
      <c r="Z23" s="211"/>
      <c r="AA23" s="211">
        <v>0.64672594987873888</v>
      </c>
      <c r="AB23" s="27"/>
      <c r="AC23" s="27"/>
      <c r="AD23" s="27"/>
      <c r="AE23" s="27"/>
      <c r="AF23" s="211">
        <v>0.70298627925746571</v>
      </c>
      <c r="AG23" s="22">
        <v>0.76923076923076927</v>
      </c>
      <c r="AH23" s="22">
        <v>0.77474402730375425</v>
      </c>
      <c r="AI23" s="22">
        <v>0.80198019801980203</v>
      </c>
      <c r="AJ23" s="22">
        <v>0.81907894736842102</v>
      </c>
      <c r="AK23" s="211">
        <v>0.79125412541254125</v>
      </c>
      <c r="AL23" s="22">
        <v>0.83391003460207613</v>
      </c>
      <c r="AM23" s="22">
        <v>0.83141762452107282</v>
      </c>
      <c r="AN23" s="22">
        <v>0.85555555555555551</v>
      </c>
      <c r="AO23" s="22">
        <v>0.87368421052631584</v>
      </c>
      <c r="AP23" s="211">
        <v>0.84886877828054297</v>
      </c>
      <c r="AQ23" s="22">
        <v>0.87545787545787546</v>
      </c>
      <c r="AR23" s="22">
        <v>0.87832699619771859</v>
      </c>
      <c r="AS23" s="139">
        <v>0.87686567164179108</v>
      </c>
      <c r="AT23" s="22">
        <v>0.89323843416370108</v>
      </c>
      <c r="AU23" s="391">
        <v>0.88249694002447976</v>
      </c>
      <c r="AV23" s="22">
        <v>0.90114068441064643</v>
      </c>
      <c r="AW23" s="211">
        <v>0.88703703703703707</v>
      </c>
    </row>
    <row r="24" spans="2:50" ht="13.9" customHeight="1">
      <c r="B24" s="201" t="s">
        <v>19</v>
      </c>
      <c r="C24" s="283"/>
      <c r="D24" s="283"/>
      <c r="E24" s="283"/>
      <c r="F24" s="283"/>
      <c r="G24" s="122"/>
      <c r="H24" s="283"/>
      <c r="I24" s="283"/>
      <c r="J24" s="283"/>
      <c r="K24" s="283"/>
      <c r="L24" s="122"/>
      <c r="M24" s="283"/>
      <c r="N24" s="283"/>
      <c r="O24" s="283"/>
      <c r="P24" s="283"/>
      <c r="Q24" s="122"/>
      <c r="R24" s="283"/>
      <c r="S24" s="283"/>
      <c r="T24" s="283"/>
      <c r="U24" s="283"/>
      <c r="V24" s="122"/>
      <c r="W24" s="283"/>
      <c r="X24" s="283"/>
      <c r="Y24" s="283"/>
      <c r="Z24" s="283"/>
      <c r="AA24" s="122"/>
      <c r="AB24" s="283"/>
      <c r="AC24" s="283"/>
      <c r="AD24" s="283"/>
      <c r="AE24" s="283"/>
      <c r="AF24" s="122"/>
      <c r="AG24" s="283"/>
      <c r="AH24" s="283"/>
      <c r="AI24" s="283"/>
      <c r="AJ24" s="283"/>
      <c r="AK24" s="122"/>
      <c r="AL24" s="283"/>
      <c r="AM24" s="283"/>
      <c r="AN24" s="283"/>
      <c r="AO24" s="283"/>
      <c r="AP24" s="122"/>
      <c r="AQ24" s="283"/>
      <c r="AR24" s="283"/>
      <c r="AS24" s="283"/>
      <c r="AT24" s="283"/>
      <c r="AU24" s="283"/>
      <c r="AV24" s="283"/>
      <c r="AW24" s="122"/>
    </row>
    <row r="25" spans="2:50" ht="13.9" customHeight="1">
      <c r="B25" s="12" t="s">
        <v>163</v>
      </c>
      <c r="C25" s="19">
        <f>15+11+7</f>
        <v>33</v>
      </c>
      <c r="D25" s="19">
        <f>14+11+8</f>
        <v>33</v>
      </c>
      <c r="E25" s="19">
        <f>15+11+8</f>
        <v>34</v>
      </c>
      <c r="F25" s="19">
        <f>G25-E25-D25-C25</f>
        <v>35</v>
      </c>
      <c r="G25" s="210">
        <f>60+43+32</f>
        <v>135</v>
      </c>
      <c r="H25" s="210">
        <f>16+10+9+8</f>
        <v>43</v>
      </c>
      <c r="I25" s="210">
        <f>15+11+10+9</f>
        <v>45</v>
      </c>
      <c r="J25" s="210">
        <v>46</v>
      </c>
      <c r="K25" s="210">
        <f>L25-J25-I25-H25</f>
        <v>60</v>
      </c>
      <c r="L25" s="210">
        <v>194</v>
      </c>
      <c r="M25" s="210">
        <v>46</v>
      </c>
      <c r="N25" s="210">
        <v>46</v>
      </c>
      <c r="O25" s="210">
        <v>47</v>
      </c>
      <c r="P25" s="210">
        <f>Q25-M25-N25-O25</f>
        <v>51</v>
      </c>
      <c r="Q25" s="210">
        <v>190</v>
      </c>
      <c r="R25" s="210">
        <v>43</v>
      </c>
      <c r="S25" s="210">
        <v>38</v>
      </c>
      <c r="T25" s="210">
        <v>42</v>
      </c>
      <c r="U25" s="210">
        <v>26</v>
      </c>
      <c r="V25" s="210">
        <v>149</v>
      </c>
      <c r="W25" s="210">
        <v>49</v>
      </c>
      <c r="X25" s="210">
        <v>46</v>
      </c>
      <c r="Y25" s="210">
        <v>38</v>
      </c>
      <c r="Z25" s="210">
        <v>40</v>
      </c>
      <c r="AA25" s="210">
        <v>173</v>
      </c>
      <c r="AB25" s="19">
        <v>38</v>
      </c>
      <c r="AC25" s="19">
        <v>29</v>
      </c>
      <c r="AD25" s="19">
        <v>32</v>
      </c>
      <c r="AE25" s="19">
        <v>35</v>
      </c>
      <c r="AF25" s="210">
        <v>134</v>
      </c>
      <c r="AG25" s="19">
        <v>30</v>
      </c>
      <c r="AH25" s="19">
        <v>33</v>
      </c>
      <c r="AI25" s="19">
        <v>29</v>
      </c>
      <c r="AJ25" s="19">
        <v>45</v>
      </c>
      <c r="AK25" s="210">
        <v>137</v>
      </c>
      <c r="AL25" s="19">
        <v>27</v>
      </c>
      <c r="AM25" s="19">
        <v>26</v>
      </c>
      <c r="AN25" s="19">
        <v>23</v>
      </c>
      <c r="AO25" s="19">
        <v>42</v>
      </c>
      <c r="AP25" s="210">
        <v>118</v>
      </c>
      <c r="AQ25" s="19">
        <v>19</v>
      </c>
      <c r="AR25" s="19">
        <v>29</v>
      </c>
      <c r="AS25" s="137">
        <v>48</v>
      </c>
      <c r="AT25" s="19">
        <v>23</v>
      </c>
      <c r="AU25" s="276">
        <v>71</v>
      </c>
      <c r="AV25" s="19">
        <v>32</v>
      </c>
      <c r="AW25" s="210">
        <v>103</v>
      </c>
      <c r="AX25" s="97"/>
    </row>
    <row r="26" spans="2:50" ht="13.9" customHeight="1">
      <c r="B26" s="20" t="s">
        <v>5</v>
      </c>
      <c r="C26" s="21"/>
      <c r="D26" s="21">
        <f>D25/C25-1</f>
        <v>0</v>
      </c>
      <c r="E26" s="21">
        <f>E25/D25-1</f>
        <v>3.0303030303030276E-2</v>
      </c>
      <c r="F26" s="21">
        <f>F25/E25-1</f>
        <v>2.9411764705882248E-2</v>
      </c>
      <c r="G26" s="211"/>
      <c r="H26" s="212">
        <f>H25/F25-1</f>
        <v>0.22857142857142865</v>
      </c>
      <c r="I26" s="212">
        <f>I25/H25-1</f>
        <v>4.6511627906976827E-2</v>
      </c>
      <c r="J26" s="212">
        <f>J25/I25-1</f>
        <v>2.2222222222222143E-2</v>
      </c>
      <c r="K26" s="212">
        <f>K25/J25-1</f>
        <v>0.30434782608695654</v>
      </c>
      <c r="L26" s="211"/>
      <c r="M26" s="212">
        <f>M25/K25-1</f>
        <v>-0.23333333333333328</v>
      </c>
      <c r="N26" s="212">
        <f>N25/M25-1</f>
        <v>0</v>
      </c>
      <c r="O26" s="212">
        <f>O25/N25-1</f>
        <v>2.1739130434782705E-2</v>
      </c>
      <c r="P26" s="212">
        <f>P25/O25-1</f>
        <v>8.5106382978723305E-2</v>
      </c>
      <c r="Q26" s="211"/>
      <c r="R26" s="212">
        <v>-0.15686274509803921</v>
      </c>
      <c r="S26" s="212">
        <v>-0.11627906976744184</v>
      </c>
      <c r="T26" s="212">
        <v>0.10526315789473695</v>
      </c>
      <c r="U26" s="212">
        <v>-0.38095238095238093</v>
      </c>
      <c r="V26" s="211"/>
      <c r="W26" s="212">
        <v>0.88461538461538458</v>
      </c>
      <c r="X26" s="212">
        <v>-6.1224489795918324E-2</v>
      </c>
      <c r="Y26" s="212">
        <v>-0.17391304347826086</v>
      </c>
      <c r="Z26" s="212">
        <v>5.2631578947368363E-2</v>
      </c>
      <c r="AA26" s="211"/>
      <c r="AB26" s="21">
        <v>-5.0000000000000044E-2</v>
      </c>
      <c r="AC26" s="21">
        <v>-0.23684210526315785</v>
      </c>
      <c r="AD26" s="21">
        <v>0.10344827586206895</v>
      </c>
      <c r="AE26" s="21">
        <v>9.375E-2</v>
      </c>
      <c r="AF26" s="211"/>
      <c r="AG26" s="21">
        <v>-0.1428571428571429</v>
      </c>
      <c r="AH26" s="21">
        <v>0.10000000000000009</v>
      </c>
      <c r="AI26" s="21">
        <v>-0.12121212121212122</v>
      </c>
      <c r="AJ26" s="21">
        <v>0.55172413793103448</v>
      </c>
      <c r="AK26" s="211"/>
      <c r="AL26" s="21">
        <v>-0.4</v>
      </c>
      <c r="AM26" s="21">
        <v>-3.703703703703709E-2</v>
      </c>
      <c r="AN26" s="21">
        <v>-0.11538461538461542</v>
      </c>
      <c r="AO26" s="21">
        <v>0.82608695652173902</v>
      </c>
      <c r="AP26" s="211"/>
      <c r="AQ26" s="21">
        <v>-0.54761904761904767</v>
      </c>
      <c r="AR26" s="21">
        <v>0.52631578947368429</v>
      </c>
      <c r="AS26" s="138"/>
      <c r="AT26" s="21">
        <v>-0.2068965517241379</v>
      </c>
      <c r="AU26" s="277"/>
      <c r="AV26" s="21">
        <v>0.39130434782608692</v>
      </c>
      <c r="AW26" s="211"/>
    </row>
    <row r="27" spans="2:50" ht="13.9" customHeight="1">
      <c r="B27" s="20" t="s">
        <v>6</v>
      </c>
      <c r="C27" s="22"/>
      <c r="D27" s="22"/>
      <c r="E27" s="22"/>
      <c r="F27" s="22"/>
      <c r="G27" s="211"/>
      <c r="H27" s="211">
        <f t="shared" ref="H27:O27" si="5">H25/C25-1</f>
        <v>0.30303030303030298</v>
      </c>
      <c r="I27" s="211">
        <f t="shared" si="5"/>
        <v>0.36363636363636354</v>
      </c>
      <c r="J27" s="211">
        <f t="shared" si="5"/>
        <v>0.35294117647058831</v>
      </c>
      <c r="K27" s="211">
        <f t="shared" si="5"/>
        <v>0.71428571428571419</v>
      </c>
      <c r="L27" s="211">
        <f t="shared" si="5"/>
        <v>0.43703703703703711</v>
      </c>
      <c r="M27" s="211">
        <f t="shared" si="5"/>
        <v>6.9767441860465018E-2</v>
      </c>
      <c r="N27" s="211">
        <f t="shared" si="5"/>
        <v>2.2222222222222143E-2</v>
      </c>
      <c r="O27" s="211">
        <f t="shared" si="5"/>
        <v>2.1739130434782705E-2</v>
      </c>
      <c r="P27" s="211">
        <f>P25/K25-1</f>
        <v>-0.15000000000000002</v>
      </c>
      <c r="Q27" s="211">
        <v>-2.0618556701030966E-2</v>
      </c>
      <c r="R27" s="211">
        <v>-6.5217391304347783E-2</v>
      </c>
      <c r="S27" s="211">
        <v>-0.17391304347826086</v>
      </c>
      <c r="T27" s="211">
        <v>-0.1063829787234043</v>
      </c>
      <c r="U27" s="211">
        <v>-0.49019607843137258</v>
      </c>
      <c r="V27" s="211">
        <v>-0.21578947368421053</v>
      </c>
      <c r="W27" s="211">
        <v>0.13953488372093026</v>
      </c>
      <c r="X27" s="211">
        <v>0.21052631578947367</v>
      </c>
      <c r="Y27" s="211">
        <v>-9.5238095238095233E-2</v>
      </c>
      <c r="Z27" s="211">
        <v>0.53846153846153855</v>
      </c>
      <c r="AA27" s="211">
        <v>0.16107382550335569</v>
      </c>
      <c r="AB27" s="22">
        <v>-0.22448979591836737</v>
      </c>
      <c r="AC27" s="22">
        <v>-0.36956521739130432</v>
      </c>
      <c r="AD27" s="22">
        <v>-0.15789473684210531</v>
      </c>
      <c r="AE27" s="22">
        <v>-0.125</v>
      </c>
      <c r="AF27" s="211">
        <v>-0.22543352601156075</v>
      </c>
      <c r="AG27" s="22">
        <v>-0.21052631578947367</v>
      </c>
      <c r="AH27" s="22">
        <v>0.13793103448275867</v>
      </c>
      <c r="AI27" s="22">
        <v>-9.375E-2</v>
      </c>
      <c r="AJ27" s="22">
        <v>0.28571428571428581</v>
      </c>
      <c r="AK27" s="211">
        <v>2.2388059701492491E-2</v>
      </c>
      <c r="AL27" s="22">
        <v>-9.9999999999999978E-2</v>
      </c>
      <c r="AM27" s="22">
        <v>-0.21212121212121215</v>
      </c>
      <c r="AN27" s="22">
        <v>-0.2068965517241379</v>
      </c>
      <c r="AO27" s="22">
        <v>-6.6666666666666652E-2</v>
      </c>
      <c r="AP27" s="211">
        <v>-0.13868613138686137</v>
      </c>
      <c r="AQ27" s="22">
        <v>-0.29629629629629628</v>
      </c>
      <c r="AR27" s="22">
        <v>0.11538461538461542</v>
      </c>
      <c r="AS27" s="139"/>
      <c r="AT27" s="22">
        <v>0</v>
      </c>
      <c r="AU27" s="278"/>
      <c r="AV27" s="22">
        <v>-0.23809523809523814</v>
      </c>
      <c r="AW27" s="211">
        <v>-0.1271186440677966</v>
      </c>
    </row>
    <row r="28" spans="2:50" ht="13.9" customHeight="1">
      <c r="B28" s="12" t="s">
        <v>50</v>
      </c>
      <c r="C28" s="19">
        <v>84</v>
      </c>
      <c r="D28" s="19">
        <v>81</v>
      </c>
      <c r="E28" s="19">
        <v>81</v>
      </c>
      <c r="F28" s="19">
        <f>G28-E28-D28-C28</f>
        <v>82</v>
      </c>
      <c r="G28" s="210">
        <v>328</v>
      </c>
      <c r="H28" s="210">
        <v>84</v>
      </c>
      <c r="I28" s="210">
        <v>75</v>
      </c>
      <c r="J28" s="210">
        <v>71</v>
      </c>
      <c r="K28" s="210">
        <f>L28-J28-I28-H28</f>
        <v>70</v>
      </c>
      <c r="L28" s="210">
        <v>300</v>
      </c>
      <c r="M28" s="210">
        <v>68</v>
      </c>
      <c r="N28" s="210">
        <v>67</v>
      </c>
      <c r="O28" s="210">
        <v>64</v>
      </c>
      <c r="P28" s="210">
        <f>Q28-M28-N28-O28</f>
        <v>62</v>
      </c>
      <c r="Q28" s="210">
        <v>261</v>
      </c>
      <c r="R28" s="210">
        <v>64</v>
      </c>
      <c r="S28" s="210">
        <v>62</v>
      </c>
      <c r="T28" s="210">
        <v>63</v>
      </c>
      <c r="U28" s="210">
        <v>59</v>
      </c>
      <c r="V28" s="210">
        <v>248</v>
      </c>
      <c r="W28" s="210">
        <v>60</v>
      </c>
      <c r="X28" s="210">
        <v>58</v>
      </c>
      <c r="Y28" s="210">
        <v>59</v>
      </c>
      <c r="Z28" s="210">
        <v>60</v>
      </c>
      <c r="AA28" s="210">
        <v>237</v>
      </c>
      <c r="AB28" s="19">
        <v>56</v>
      </c>
      <c r="AC28" s="19">
        <v>59</v>
      </c>
      <c r="AD28" s="19">
        <v>60</v>
      </c>
      <c r="AE28" s="19">
        <v>62</v>
      </c>
      <c r="AF28" s="210">
        <v>237</v>
      </c>
      <c r="AG28" s="19">
        <v>54</v>
      </c>
      <c r="AH28" s="19">
        <v>55</v>
      </c>
      <c r="AI28" s="19">
        <v>55</v>
      </c>
      <c r="AJ28" s="19">
        <v>52</v>
      </c>
      <c r="AK28" s="210">
        <v>216</v>
      </c>
      <c r="AL28" s="19">
        <v>53</v>
      </c>
      <c r="AM28" s="19">
        <v>51</v>
      </c>
      <c r="AN28" s="19">
        <v>53</v>
      </c>
      <c r="AO28" s="19">
        <v>54</v>
      </c>
      <c r="AP28" s="210">
        <v>211</v>
      </c>
      <c r="AQ28" s="19">
        <v>55</v>
      </c>
      <c r="AR28" s="19">
        <v>54</v>
      </c>
      <c r="AS28" s="137">
        <v>109</v>
      </c>
      <c r="AT28" s="19">
        <v>52</v>
      </c>
      <c r="AU28" s="276">
        <v>161</v>
      </c>
      <c r="AV28" s="19">
        <v>53</v>
      </c>
      <c r="AW28" s="210">
        <v>214</v>
      </c>
      <c r="AX28" s="97"/>
    </row>
    <row r="29" spans="2:50" ht="13.9" customHeight="1">
      <c r="B29" s="20" t="s">
        <v>5</v>
      </c>
      <c r="C29" s="21"/>
      <c r="D29" s="21">
        <f>D28/C28-1</f>
        <v>-3.5714285714285698E-2</v>
      </c>
      <c r="E29" s="21">
        <f>E28/D28-1</f>
        <v>0</v>
      </c>
      <c r="F29" s="21">
        <f>F28/E28-1</f>
        <v>1.2345679012345734E-2</v>
      </c>
      <c r="G29" s="211"/>
      <c r="H29" s="212">
        <f>H28/F28-1</f>
        <v>2.4390243902439046E-2</v>
      </c>
      <c r="I29" s="212">
        <f>I28/H28-1</f>
        <v>-0.1071428571428571</v>
      </c>
      <c r="J29" s="212">
        <f>J28/I28-1</f>
        <v>-5.3333333333333344E-2</v>
      </c>
      <c r="K29" s="212">
        <f>K28/J28-1</f>
        <v>-1.4084507042253502E-2</v>
      </c>
      <c r="L29" s="211"/>
      <c r="M29" s="212">
        <f>M28/K28-1</f>
        <v>-2.8571428571428581E-2</v>
      </c>
      <c r="N29" s="212">
        <f>N28/M28-1</f>
        <v>-1.4705882352941124E-2</v>
      </c>
      <c r="O29" s="212">
        <f>O28/N28-1</f>
        <v>-4.4776119402985093E-2</v>
      </c>
      <c r="P29" s="212">
        <f>P28/O28-1</f>
        <v>-3.125E-2</v>
      </c>
      <c r="Q29" s="211"/>
      <c r="R29" s="212">
        <v>3.2258064516129004E-2</v>
      </c>
      <c r="S29" s="212">
        <v>-3.125E-2</v>
      </c>
      <c r="T29" s="212">
        <v>1.6129032258064502E-2</v>
      </c>
      <c r="U29" s="212">
        <v>-6.3492063492063489E-2</v>
      </c>
      <c r="V29" s="211"/>
      <c r="W29" s="212">
        <v>1.6949152542372836E-2</v>
      </c>
      <c r="X29" s="212">
        <v>-3.3333333333333326E-2</v>
      </c>
      <c r="Y29" s="212">
        <v>1.7241379310344751E-2</v>
      </c>
      <c r="Z29" s="212">
        <v>1.6949152542372836E-2</v>
      </c>
      <c r="AA29" s="211"/>
      <c r="AB29" s="21">
        <v>-6.6666666666666652E-2</v>
      </c>
      <c r="AC29" s="21">
        <v>5.3571428571428603E-2</v>
      </c>
      <c r="AD29" s="21">
        <v>1.6949152542372836E-2</v>
      </c>
      <c r="AE29" s="21">
        <v>3.3333333333333437E-2</v>
      </c>
      <c r="AF29" s="211"/>
      <c r="AG29" s="21">
        <v>-0.12903225806451613</v>
      </c>
      <c r="AH29" s="21">
        <v>1.8518518518518601E-2</v>
      </c>
      <c r="AI29" s="21">
        <v>0</v>
      </c>
      <c r="AJ29" s="21">
        <v>-5.4545454545454564E-2</v>
      </c>
      <c r="AK29" s="211"/>
      <c r="AL29" s="21">
        <v>1.9230769230769162E-2</v>
      </c>
      <c r="AM29" s="21">
        <v>-3.7735849056603765E-2</v>
      </c>
      <c r="AN29" s="21">
        <v>3.9215686274509887E-2</v>
      </c>
      <c r="AO29" s="21">
        <v>1.8867924528301883E-2</v>
      </c>
      <c r="AP29" s="211"/>
      <c r="AQ29" s="21">
        <v>1.8518518518518601E-2</v>
      </c>
      <c r="AR29" s="21">
        <v>-1.8181818181818188E-2</v>
      </c>
      <c r="AS29" s="138"/>
      <c r="AT29" s="21">
        <v>-3.703703703703709E-2</v>
      </c>
      <c r="AU29" s="277"/>
      <c r="AV29" s="21">
        <v>1.9230769230769162E-2</v>
      </c>
      <c r="AW29" s="211"/>
    </row>
    <row r="30" spans="2:50" ht="13.9" customHeight="1">
      <c r="B30" s="20" t="s">
        <v>6</v>
      </c>
      <c r="C30" s="22"/>
      <c r="D30" s="22"/>
      <c r="E30" s="22"/>
      <c r="F30" s="22"/>
      <c r="G30" s="211"/>
      <c r="H30" s="211">
        <f t="shared" ref="H30:O30" si="6">H28/C28-1</f>
        <v>0</v>
      </c>
      <c r="I30" s="211">
        <f t="shared" si="6"/>
        <v>-7.407407407407407E-2</v>
      </c>
      <c r="J30" s="211">
        <f t="shared" si="6"/>
        <v>-0.12345679012345678</v>
      </c>
      <c r="K30" s="211">
        <f t="shared" si="6"/>
        <v>-0.14634146341463417</v>
      </c>
      <c r="L30" s="211">
        <f t="shared" si="6"/>
        <v>-8.536585365853655E-2</v>
      </c>
      <c r="M30" s="211">
        <f t="shared" si="6"/>
        <v>-0.19047619047619047</v>
      </c>
      <c r="N30" s="211">
        <f t="shared" si="6"/>
        <v>-0.10666666666666669</v>
      </c>
      <c r="O30" s="211">
        <f t="shared" si="6"/>
        <v>-9.8591549295774628E-2</v>
      </c>
      <c r="P30" s="211">
        <f>P28/K28-1</f>
        <v>-0.11428571428571432</v>
      </c>
      <c r="Q30" s="211">
        <v>-0.13</v>
      </c>
      <c r="R30" s="211">
        <v>-5.8823529411764719E-2</v>
      </c>
      <c r="S30" s="211">
        <v>-7.4626865671641784E-2</v>
      </c>
      <c r="T30" s="211">
        <v>-1.5625E-2</v>
      </c>
      <c r="U30" s="211">
        <v>-4.8387096774193505E-2</v>
      </c>
      <c r="V30" s="211">
        <v>-4.9808429118773923E-2</v>
      </c>
      <c r="W30" s="211">
        <v>-6.25E-2</v>
      </c>
      <c r="X30" s="211">
        <v>-6.4516129032258118E-2</v>
      </c>
      <c r="Y30" s="211">
        <v>-6.3492063492063489E-2</v>
      </c>
      <c r="Z30" s="211">
        <v>1.6949152542372836E-2</v>
      </c>
      <c r="AA30" s="211">
        <v>-4.435483870967738E-2</v>
      </c>
      <c r="AB30" s="22">
        <v>-6.6666666666666652E-2</v>
      </c>
      <c r="AC30" s="22">
        <v>1.7241379310344751E-2</v>
      </c>
      <c r="AD30" s="22">
        <v>1.6949152542372836E-2</v>
      </c>
      <c r="AE30" s="22">
        <v>3.3333333333333437E-2</v>
      </c>
      <c r="AF30" s="211">
        <v>0</v>
      </c>
      <c r="AG30" s="22">
        <v>-3.5714285714285698E-2</v>
      </c>
      <c r="AH30" s="22">
        <v>-6.7796610169491567E-2</v>
      </c>
      <c r="AI30" s="22">
        <v>-8.333333333333337E-2</v>
      </c>
      <c r="AJ30" s="22">
        <v>-0.16129032258064513</v>
      </c>
      <c r="AK30" s="211">
        <v>-8.8607594936708889E-2</v>
      </c>
      <c r="AL30" s="22">
        <v>-1.851851851851849E-2</v>
      </c>
      <c r="AM30" s="22">
        <v>-7.2727272727272751E-2</v>
      </c>
      <c r="AN30" s="22">
        <v>-3.6363636363636376E-2</v>
      </c>
      <c r="AO30" s="22">
        <v>3.8461538461538547E-2</v>
      </c>
      <c r="AP30" s="211">
        <v>-2.314814814814814E-2</v>
      </c>
      <c r="AQ30" s="22">
        <v>3.7735849056603765E-2</v>
      </c>
      <c r="AR30" s="22">
        <v>5.8823529411764719E-2</v>
      </c>
      <c r="AS30" s="139"/>
      <c r="AT30" s="22">
        <v>-1.8867924528301883E-2</v>
      </c>
      <c r="AU30" s="278"/>
      <c r="AV30" s="22">
        <v>-1.851851851851849E-2</v>
      </c>
      <c r="AW30" s="211">
        <v>1.4218009478673022E-2</v>
      </c>
    </row>
    <row r="31" spans="2:50" ht="13.9" customHeight="1">
      <c r="B31" s="12" t="s">
        <v>181</v>
      </c>
      <c r="C31" s="61">
        <v>218</v>
      </c>
      <c r="D31" s="61">
        <v>247</v>
      </c>
      <c r="E31" s="61">
        <v>214</v>
      </c>
      <c r="F31" s="19">
        <f>G31-E31-D31-C31</f>
        <v>236</v>
      </c>
      <c r="G31" s="213">
        <v>915</v>
      </c>
      <c r="H31" s="214">
        <f>H8-H25-H28-H35-H37</f>
        <v>197</v>
      </c>
      <c r="I31" s="214">
        <f>I8-I25-I28-I35-I37</f>
        <v>195</v>
      </c>
      <c r="J31" s="214">
        <f>J8-J25-J28-J35-J37</f>
        <v>191</v>
      </c>
      <c r="K31" s="210">
        <f>L31-J31-I31-H31</f>
        <v>229</v>
      </c>
      <c r="L31" s="210">
        <v>812</v>
      </c>
      <c r="M31" s="214">
        <v>201</v>
      </c>
      <c r="N31" s="214">
        <v>203</v>
      </c>
      <c r="O31" s="214">
        <v>213</v>
      </c>
      <c r="P31" s="210">
        <f>Q31-M31-N31-O31</f>
        <v>210</v>
      </c>
      <c r="Q31" s="210">
        <v>827</v>
      </c>
      <c r="R31" s="214">
        <v>181</v>
      </c>
      <c r="S31" s="214">
        <v>187</v>
      </c>
      <c r="T31" s="214">
        <v>203</v>
      </c>
      <c r="U31" s="210">
        <v>231</v>
      </c>
      <c r="V31" s="210">
        <v>802</v>
      </c>
      <c r="W31" s="214">
        <v>211</v>
      </c>
      <c r="X31" s="214">
        <v>191</v>
      </c>
      <c r="Y31" s="214">
        <v>179</v>
      </c>
      <c r="Z31" s="210">
        <v>218</v>
      </c>
      <c r="AA31" s="210">
        <v>799</v>
      </c>
      <c r="AB31" s="61">
        <v>216</v>
      </c>
      <c r="AC31" s="61">
        <v>197</v>
      </c>
      <c r="AD31" s="61">
        <v>200</v>
      </c>
      <c r="AE31" s="19">
        <v>214</v>
      </c>
      <c r="AF31" s="210">
        <v>827</v>
      </c>
      <c r="AG31" s="61">
        <v>208</v>
      </c>
      <c r="AH31" s="61">
        <v>189</v>
      </c>
      <c r="AI31" s="61">
        <v>199</v>
      </c>
      <c r="AJ31" s="19">
        <v>204</v>
      </c>
      <c r="AK31" s="210">
        <v>800</v>
      </c>
      <c r="AL31" s="61">
        <v>193</v>
      </c>
      <c r="AM31" s="61">
        <v>166</v>
      </c>
      <c r="AN31" s="61">
        <v>179</v>
      </c>
      <c r="AO31" s="19">
        <v>184</v>
      </c>
      <c r="AP31" s="210">
        <v>722</v>
      </c>
      <c r="AQ31" s="61">
        <v>185</v>
      </c>
      <c r="AR31" s="61">
        <v>172</v>
      </c>
      <c r="AS31" s="137">
        <v>357</v>
      </c>
      <c r="AT31" s="61">
        <v>189</v>
      </c>
      <c r="AU31" s="276">
        <v>546</v>
      </c>
      <c r="AV31" s="19">
        <v>174</v>
      </c>
      <c r="AW31" s="210">
        <v>720</v>
      </c>
      <c r="AX31" s="97"/>
    </row>
    <row r="32" spans="2:50" ht="13.9" customHeight="1">
      <c r="B32" s="20" t="s">
        <v>5</v>
      </c>
      <c r="C32" s="21"/>
      <c r="D32" s="21">
        <f>D31/C31-1</f>
        <v>0.1330275229357798</v>
      </c>
      <c r="E32" s="21">
        <f>E31/D31-1</f>
        <v>-0.1336032388663968</v>
      </c>
      <c r="F32" s="21">
        <f>F31/E31-1</f>
        <v>0.10280373831775691</v>
      </c>
      <c r="G32" s="211"/>
      <c r="H32" s="212">
        <f>H31/F31-1</f>
        <v>-0.1652542372881356</v>
      </c>
      <c r="I32" s="212">
        <f>I31/H31-1</f>
        <v>-1.0152284263959421E-2</v>
      </c>
      <c r="J32" s="212">
        <f>J31/I31-1</f>
        <v>-2.0512820512820551E-2</v>
      </c>
      <c r="K32" s="212">
        <f>K31/J31-1</f>
        <v>0.19895287958115193</v>
      </c>
      <c r="L32" s="211"/>
      <c r="M32" s="212">
        <f>M31/K31-1</f>
        <v>-0.12227074235807855</v>
      </c>
      <c r="N32" s="212">
        <f>N31/M31-1</f>
        <v>9.9502487562188602E-3</v>
      </c>
      <c r="O32" s="212">
        <f>O31/N31-1</f>
        <v>4.9261083743842304E-2</v>
      </c>
      <c r="P32" s="212">
        <f>P31/O31-1</f>
        <v>-1.4084507042253502E-2</v>
      </c>
      <c r="Q32" s="211"/>
      <c r="R32" s="212">
        <v>-0.13809523809523805</v>
      </c>
      <c r="S32" s="212">
        <v>3.3149171270718147E-2</v>
      </c>
      <c r="T32" s="212">
        <v>8.5561497326203106E-2</v>
      </c>
      <c r="U32" s="212">
        <v>0.13793103448275867</v>
      </c>
      <c r="V32" s="211"/>
      <c r="W32" s="212">
        <v>-8.6580086580086535E-2</v>
      </c>
      <c r="X32" s="212">
        <v>-9.4786729857819885E-2</v>
      </c>
      <c r="Y32" s="212">
        <v>-6.2827225130890008E-2</v>
      </c>
      <c r="Z32" s="212">
        <v>0.21787709497206698</v>
      </c>
      <c r="AA32" s="211"/>
      <c r="AB32" s="21">
        <v>-9.1743119266054496E-3</v>
      </c>
      <c r="AC32" s="21">
        <v>-8.796296296296291E-2</v>
      </c>
      <c r="AD32" s="21">
        <v>1.5228426395939021E-2</v>
      </c>
      <c r="AE32" s="21">
        <v>7.0000000000000062E-2</v>
      </c>
      <c r="AF32" s="211"/>
      <c r="AG32" s="21">
        <v>-2.8037383177570097E-2</v>
      </c>
      <c r="AH32" s="21">
        <v>-9.1346153846153855E-2</v>
      </c>
      <c r="AI32" s="21">
        <v>5.2910052910053018E-2</v>
      </c>
      <c r="AJ32" s="21">
        <v>2.5125628140703515E-2</v>
      </c>
      <c r="AK32" s="211"/>
      <c r="AL32" s="21">
        <v>-5.3921568627451011E-2</v>
      </c>
      <c r="AM32" s="21">
        <v>-0.13989637305699487</v>
      </c>
      <c r="AN32" s="21">
        <v>7.8313253012048278E-2</v>
      </c>
      <c r="AO32" s="21">
        <v>2.7932960893854775E-2</v>
      </c>
      <c r="AP32" s="211"/>
      <c r="AQ32" s="21">
        <v>5.4347826086955653E-3</v>
      </c>
      <c r="AR32" s="21">
        <v>-7.0270270270270219E-2</v>
      </c>
      <c r="AS32" s="138"/>
      <c r="AT32" s="21">
        <v>9.8837209302325535E-2</v>
      </c>
      <c r="AU32" s="277"/>
      <c r="AV32" s="21">
        <v>-7.9365079365079416E-2</v>
      </c>
      <c r="AW32" s="211"/>
    </row>
    <row r="33" spans="2:50" ht="13.9" customHeight="1">
      <c r="B33" s="20" t="s">
        <v>6</v>
      </c>
      <c r="C33" s="22"/>
      <c r="D33" s="22"/>
      <c r="E33" s="22"/>
      <c r="F33" s="22"/>
      <c r="G33" s="211"/>
      <c r="H33" s="211">
        <f t="shared" ref="H33:O33" si="7">H31/C31-1</f>
        <v>-9.6330275229357776E-2</v>
      </c>
      <c r="I33" s="211">
        <f t="shared" si="7"/>
        <v>-0.21052631578947367</v>
      </c>
      <c r="J33" s="211">
        <f t="shared" si="7"/>
        <v>-0.10747663551401865</v>
      </c>
      <c r="K33" s="211">
        <f t="shared" si="7"/>
        <v>-2.9661016949152574E-2</v>
      </c>
      <c r="L33" s="211">
        <f t="shared" si="7"/>
        <v>-0.11256830601092893</v>
      </c>
      <c r="M33" s="211">
        <f t="shared" si="7"/>
        <v>2.0304568527918843E-2</v>
      </c>
      <c r="N33" s="211">
        <f t="shared" si="7"/>
        <v>4.1025641025641102E-2</v>
      </c>
      <c r="O33" s="211">
        <f t="shared" si="7"/>
        <v>0.11518324607329844</v>
      </c>
      <c r="P33" s="211">
        <f>P31/K31-1</f>
        <v>-8.2969432314410452E-2</v>
      </c>
      <c r="Q33" s="211">
        <v>1.8472906403940836E-2</v>
      </c>
      <c r="R33" s="211">
        <v>-9.9502487562189046E-2</v>
      </c>
      <c r="S33" s="211">
        <v>-7.8817733990147798E-2</v>
      </c>
      <c r="T33" s="211">
        <v>-4.6948356807511749E-2</v>
      </c>
      <c r="U33" s="211">
        <v>0.10000000000000009</v>
      </c>
      <c r="V33" s="211">
        <v>-3.0229746070132957E-2</v>
      </c>
      <c r="W33" s="211">
        <v>0.16574585635359118</v>
      </c>
      <c r="X33" s="211">
        <v>2.1390374331550888E-2</v>
      </c>
      <c r="Y33" s="211">
        <v>-0.11822660098522164</v>
      </c>
      <c r="Z33" s="211">
        <v>-5.6277056277056259E-2</v>
      </c>
      <c r="AA33" s="211">
        <v>-3.7406483790524137E-3</v>
      </c>
      <c r="AB33" s="22">
        <v>2.3696682464454888E-2</v>
      </c>
      <c r="AC33" s="22">
        <v>3.1413612565444948E-2</v>
      </c>
      <c r="AD33" s="22">
        <v>0.11731843575418988</v>
      </c>
      <c r="AE33" s="22">
        <v>-1.834862385321101E-2</v>
      </c>
      <c r="AF33" s="211">
        <v>3.5043804755944929E-2</v>
      </c>
      <c r="AG33" s="22">
        <v>-3.703703703703709E-2</v>
      </c>
      <c r="AH33" s="22">
        <v>-4.0609137055837574E-2</v>
      </c>
      <c r="AI33" s="22">
        <v>-5.0000000000000044E-3</v>
      </c>
      <c r="AJ33" s="22">
        <v>-4.6728971962616828E-2</v>
      </c>
      <c r="AK33" s="211">
        <v>-3.2648125755743607E-2</v>
      </c>
      <c r="AL33" s="22">
        <v>-7.2115384615384581E-2</v>
      </c>
      <c r="AM33" s="22">
        <v>-0.12169312169312174</v>
      </c>
      <c r="AN33" s="22">
        <v>-0.10050251256281406</v>
      </c>
      <c r="AO33" s="22">
        <v>-9.8039215686274495E-2</v>
      </c>
      <c r="AP33" s="211">
        <v>-9.7500000000000031E-2</v>
      </c>
      <c r="AQ33" s="22">
        <v>-4.1450777202072575E-2</v>
      </c>
      <c r="AR33" s="22">
        <v>3.6144578313253017E-2</v>
      </c>
      <c r="AS33" s="139"/>
      <c r="AT33" s="22">
        <v>5.5865921787709549E-2</v>
      </c>
      <c r="AU33" s="278"/>
      <c r="AV33" s="22">
        <v>-5.4347826086956541E-2</v>
      </c>
      <c r="AW33" s="211">
        <v>-2.7700831024930483E-3</v>
      </c>
    </row>
    <row r="34" spans="2:50" ht="13.9" customHeight="1">
      <c r="B34" s="20"/>
      <c r="C34" s="22"/>
      <c r="D34" s="22"/>
      <c r="E34" s="22"/>
      <c r="F34" s="22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2"/>
      <c r="AC34" s="22"/>
      <c r="AD34" s="22"/>
      <c r="AE34" s="22"/>
      <c r="AF34" s="211"/>
      <c r="AG34" s="22"/>
      <c r="AH34" s="22"/>
      <c r="AI34" s="22"/>
      <c r="AJ34" s="22"/>
      <c r="AK34" s="211"/>
      <c r="AL34" s="22"/>
      <c r="AM34" s="22"/>
      <c r="AN34" s="22"/>
      <c r="AO34" s="22"/>
      <c r="AP34" s="211"/>
      <c r="AQ34" s="22"/>
      <c r="AR34" s="22"/>
      <c r="AS34" s="139"/>
      <c r="AT34" s="22"/>
      <c r="AU34" s="278"/>
      <c r="AV34" s="22"/>
      <c r="AW34" s="211"/>
    </row>
    <row r="35" spans="2:50" ht="13.9" customHeight="1">
      <c r="B35" s="12" t="s">
        <v>53</v>
      </c>
      <c r="C35" s="19">
        <v>0</v>
      </c>
      <c r="D35" s="61">
        <v>1</v>
      </c>
      <c r="E35" s="61">
        <v>-1</v>
      </c>
      <c r="F35" s="19">
        <v>3</v>
      </c>
      <c r="G35" s="213">
        <v>3</v>
      </c>
      <c r="H35" s="214">
        <v>2</v>
      </c>
      <c r="I35" s="214">
        <v>-1</v>
      </c>
      <c r="J35" s="214">
        <v>2</v>
      </c>
      <c r="K35" s="214">
        <f>L35-J35-I35-H35</f>
        <v>5</v>
      </c>
      <c r="L35" s="213">
        <v>8</v>
      </c>
      <c r="M35" s="210">
        <v>0</v>
      </c>
      <c r="N35" s="214">
        <v>16</v>
      </c>
      <c r="O35" s="214">
        <v>45</v>
      </c>
      <c r="P35" s="210">
        <f>Q35-M35-N35-O35</f>
        <v>196</v>
      </c>
      <c r="Q35" s="213">
        <v>257</v>
      </c>
      <c r="R35" s="215">
        <v>0</v>
      </c>
      <c r="S35" s="215">
        <v>0</v>
      </c>
      <c r="T35" s="215">
        <v>282</v>
      </c>
      <c r="U35" s="210">
        <v>31</v>
      </c>
      <c r="V35" s="213">
        <v>313</v>
      </c>
      <c r="W35" s="215">
        <v>0</v>
      </c>
      <c r="X35" s="214">
        <v>-1</v>
      </c>
      <c r="Y35" s="214">
        <v>-2</v>
      </c>
      <c r="Z35" s="210">
        <v>9</v>
      </c>
      <c r="AA35" s="213">
        <v>6</v>
      </c>
      <c r="AB35" s="24">
        <v>1</v>
      </c>
      <c r="AC35" s="19">
        <v>0</v>
      </c>
      <c r="AD35" s="61">
        <v>2</v>
      </c>
      <c r="AE35" s="19">
        <v>68</v>
      </c>
      <c r="AF35" s="213">
        <v>71</v>
      </c>
      <c r="AG35" s="24">
        <v>6</v>
      </c>
      <c r="AH35" s="19">
        <v>0</v>
      </c>
      <c r="AI35" s="19">
        <v>0</v>
      </c>
      <c r="AJ35" s="19">
        <v>14</v>
      </c>
      <c r="AK35" s="213">
        <v>20</v>
      </c>
      <c r="AL35" s="61">
        <v>-4</v>
      </c>
      <c r="AM35" s="19">
        <v>0</v>
      </c>
      <c r="AN35" s="19">
        <v>2</v>
      </c>
      <c r="AO35" s="19">
        <v>72</v>
      </c>
      <c r="AP35" s="213">
        <v>70</v>
      </c>
      <c r="AQ35" s="19">
        <v>0</v>
      </c>
      <c r="AR35" s="19">
        <v>0</v>
      </c>
      <c r="AS35" s="143">
        <v>0</v>
      </c>
      <c r="AT35" s="19">
        <v>0</v>
      </c>
      <c r="AU35" s="279">
        <v>0</v>
      </c>
      <c r="AV35" s="19">
        <v>0</v>
      </c>
      <c r="AW35" s="210">
        <v>0</v>
      </c>
    </row>
    <row r="36" spans="2:50" ht="13.9" customHeight="1">
      <c r="B36" s="201"/>
      <c r="C36" s="283"/>
      <c r="D36" s="283"/>
      <c r="E36" s="283"/>
      <c r="F36" s="283"/>
      <c r="G36" s="122"/>
      <c r="H36" s="283"/>
      <c r="I36" s="283"/>
      <c r="J36" s="283"/>
      <c r="K36" s="283"/>
      <c r="L36" s="122"/>
      <c r="M36" s="283"/>
      <c r="N36" s="283"/>
      <c r="O36" s="283"/>
      <c r="P36" s="283"/>
      <c r="Q36" s="122"/>
      <c r="R36" s="283"/>
      <c r="S36" s="283"/>
      <c r="T36" s="283"/>
      <c r="U36" s="283"/>
      <c r="V36" s="122"/>
      <c r="W36" s="283"/>
      <c r="X36" s="283"/>
      <c r="Y36" s="283"/>
      <c r="Z36" s="283"/>
      <c r="AA36" s="122"/>
      <c r="AB36" s="283"/>
      <c r="AC36" s="283"/>
      <c r="AD36" s="283"/>
      <c r="AE36" s="283"/>
      <c r="AF36" s="122"/>
      <c r="AG36" s="283"/>
      <c r="AH36" s="283"/>
      <c r="AI36" s="283"/>
      <c r="AJ36" s="283"/>
      <c r="AK36" s="122"/>
      <c r="AL36" s="283"/>
      <c r="AM36" s="283"/>
      <c r="AN36" s="283"/>
      <c r="AO36" s="283"/>
      <c r="AP36" s="122"/>
      <c r="AQ36" s="283"/>
      <c r="AR36" s="283"/>
      <c r="AS36" s="283"/>
      <c r="AT36" s="283"/>
      <c r="AU36" s="283"/>
      <c r="AV36" s="283"/>
      <c r="AW36" s="122"/>
    </row>
    <row r="37" spans="2:50" ht="13.9" customHeight="1">
      <c r="B37" s="12" t="s">
        <v>164</v>
      </c>
      <c r="C37" s="19">
        <v>49</v>
      </c>
      <c r="D37" s="19">
        <v>45</v>
      </c>
      <c r="E37" s="19">
        <v>39</v>
      </c>
      <c r="F37" s="19">
        <f>G37-E37-D37-C37</f>
        <v>23</v>
      </c>
      <c r="G37" s="210">
        <v>156</v>
      </c>
      <c r="H37" s="210">
        <v>26</v>
      </c>
      <c r="I37" s="210">
        <v>22</v>
      </c>
      <c r="J37" s="210">
        <v>23</v>
      </c>
      <c r="K37" s="214">
        <f>L37-J37-I37-H37</f>
        <v>6</v>
      </c>
      <c r="L37" s="210">
        <f>L8-L25-L28-L31-L35</f>
        <v>77</v>
      </c>
      <c r="M37" s="210">
        <f>M8-M25-M28-M31-M35</f>
        <v>26</v>
      </c>
      <c r="N37" s="210">
        <f>N8-N25-N28-N31-N35</f>
        <v>7</v>
      </c>
      <c r="O37" s="214">
        <f>O8-O25-O28-O31-O35</f>
        <v>-40</v>
      </c>
      <c r="P37" s="214">
        <f>Q37-M37-N37-O37</f>
        <v>-189</v>
      </c>
      <c r="Q37" s="213">
        <v>-196</v>
      </c>
      <c r="R37" s="210">
        <v>29</v>
      </c>
      <c r="S37" s="210">
        <v>27</v>
      </c>
      <c r="T37" s="214">
        <v>-275</v>
      </c>
      <c r="U37" s="214">
        <v>-22</v>
      </c>
      <c r="V37" s="213">
        <v>-241</v>
      </c>
      <c r="W37" s="214">
        <v>-8</v>
      </c>
      <c r="X37" s="210">
        <v>16</v>
      </c>
      <c r="Y37" s="214">
        <v>13</v>
      </c>
      <c r="Z37" s="214">
        <v>1</v>
      </c>
      <c r="AA37" s="213">
        <v>22</v>
      </c>
      <c r="AB37" s="61">
        <v>-4</v>
      </c>
      <c r="AC37" s="19">
        <v>17</v>
      </c>
      <c r="AD37" s="61">
        <v>17</v>
      </c>
      <c r="AE37" s="61">
        <v>-60</v>
      </c>
      <c r="AF37" s="213">
        <v>-30</v>
      </c>
      <c r="AG37" s="61">
        <v>14</v>
      </c>
      <c r="AH37" s="19">
        <v>16</v>
      </c>
      <c r="AI37" s="61">
        <v>20</v>
      </c>
      <c r="AJ37" s="61">
        <v>-11</v>
      </c>
      <c r="AK37" s="213">
        <v>39</v>
      </c>
      <c r="AL37" s="61">
        <v>20</v>
      </c>
      <c r="AM37" s="19">
        <v>18</v>
      </c>
      <c r="AN37" s="61">
        <v>13</v>
      </c>
      <c r="AO37" s="61">
        <v>-67</v>
      </c>
      <c r="AP37" s="213">
        <v>-16</v>
      </c>
      <c r="AQ37" s="61">
        <v>14</v>
      </c>
      <c r="AR37" s="19">
        <v>8</v>
      </c>
      <c r="AS37" s="137">
        <v>22</v>
      </c>
      <c r="AT37" s="61">
        <v>17</v>
      </c>
      <c r="AU37" s="279">
        <v>39</v>
      </c>
      <c r="AV37" s="19">
        <v>4</v>
      </c>
      <c r="AW37" s="213">
        <v>43</v>
      </c>
      <c r="AX37" s="97"/>
    </row>
    <row r="38" spans="2:50" ht="13.9" customHeight="1">
      <c r="B38" s="20" t="s">
        <v>5</v>
      </c>
      <c r="C38" s="21"/>
      <c r="D38" s="21">
        <f>D37/C37-1</f>
        <v>-8.1632653061224469E-2</v>
      </c>
      <c r="E38" s="21">
        <f>E37/D37-1</f>
        <v>-0.1333333333333333</v>
      </c>
      <c r="F38" s="21">
        <f>F37/E37-1</f>
        <v>-0.41025641025641024</v>
      </c>
      <c r="G38" s="211"/>
      <c r="H38" s="212">
        <f>H37/F37-1</f>
        <v>0.13043478260869557</v>
      </c>
      <c r="I38" s="212">
        <f>I37/H37-1</f>
        <v>-0.15384615384615385</v>
      </c>
      <c r="J38" s="212">
        <f>J37/I37-1</f>
        <v>4.5454545454545414E-2</v>
      </c>
      <c r="K38" s="212">
        <f>K37/J37-1</f>
        <v>-0.73913043478260865</v>
      </c>
      <c r="L38" s="211"/>
      <c r="M38" s="212">
        <f>M37/K37-1</f>
        <v>3.333333333333333</v>
      </c>
      <c r="N38" s="212">
        <f>N37/M37-1</f>
        <v>-0.73076923076923084</v>
      </c>
      <c r="O38" s="216" t="s">
        <v>23</v>
      </c>
      <c r="P38" s="212">
        <f>P37/O37-1</f>
        <v>3.7249999999999996</v>
      </c>
      <c r="Q38" s="211"/>
      <c r="R38" s="212">
        <v>-1.1534391534391535</v>
      </c>
      <c r="S38" s="212">
        <v>-6.8965517241379337E-2</v>
      </c>
      <c r="T38" s="216" t="s">
        <v>23</v>
      </c>
      <c r="U38" s="212">
        <v>-0.92</v>
      </c>
      <c r="V38" s="211"/>
      <c r="W38" s="212">
        <v>-0.63636363636363635</v>
      </c>
      <c r="X38" s="216" t="s">
        <v>23</v>
      </c>
      <c r="Y38" s="212">
        <v>-0.1875</v>
      </c>
      <c r="Z38" s="212">
        <v>-0.92307692307692313</v>
      </c>
      <c r="AA38" s="211"/>
      <c r="AB38" s="31" t="s">
        <v>23</v>
      </c>
      <c r="AC38" s="31" t="s">
        <v>23</v>
      </c>
      <c r="AD38" s="21">
        <v>0</v>
      </c>
      <c r="AE38" s="31" t="s">
        <v>23</v>
      </c>
      <c r="AF38" s="211"/>
      <c r="AG38" s="31" t="s">
        <v>23</v>
      </c>
      <c r="AH38" s="31" t="s">
        <v>23</v>
      </c>
      <c r="AI38" s="21">
        <v>0.25</v>
      </c>
      <c r="AJ38" s="31" t="s">
        <v>23</v>
      </c>
      <c r="AK38" s="211"/>
      <c r="AL38" s="31" t="s">
        <v>23</v>
      </c>
      <c r="AM38" s="21">
        <v>-9.9999999999999978E-2</v>
      </c>
      <c r="AN38" s="21">
        <v>-0.27777777777777779</v>
      </c>
      <c r="AO38" s="31" t="s">
        <v>23</v>
      </c>
      <c r="AP38" s="211"/>
      <c r="AQ38" s="31" t="s">
        <v>23</v>
      </c>
      <c r="AR38" s="21">
        <v>-0.4285714285714286</v>
      </c>
      <c r="AS38" s="138"/>
      <c r="AT38" s="21">
        <v>1.125</v>
      </c>
      <c r="AU38" s="277"/>
      <c r="AV38" s="21">
        <v>-0.76470588235294112</v>
      </c>
      <c r="AW38" s="211"/>
    </row>
    <row r="39" spans="2:50" ht="13.9" customHeight="1">
      <c r="B39" s="20" t="s">
        <v>6</v>
      </c>
      <c r="C39" s="22"/>
      <c r="D39" s="22"/>
      <c r="E39" s="22"/>
      <c r="F39" s="22"/>
      <c r="G39" s="211"/>
      <c r="H39" s="211">
        <f t="shared" ref="H39:N39" si="8">H37/C37-1</f>
        <v>-0.46938775510204078</v>
      </c>
      <c r="I39" s="211">
        <f t="shared" si="8"/>
        <v>-0.51111111111111107</v>
      </c>
      <c r="J39" s="211">
        <f t="shared" si="8"/>
        <v>-0.41025641025641024</v>
      </c>
      <c r="K39" s="211">
        <f t="shared" si="8"/>
        <v>-0.73913043478260865</v>
      </c>
      <c r="L39" s="211">
        <f t="shared" si="8"/>
        <v>-0.50641025641025639</v>
      </c>
      <c r="M39" s="211">
        <f t="shared" si="8"/>
        <v>0</v>
      </c>
      <c r="N39" s="211">
        <f t="shared" si="8"/>
        <v>-0.68181818181818188</v>
      </c>
      <c r="O39" s="216" t="s">
        <v>23</v>
      </c>
      <c r="P39" s="216" t="s">
        <v>23</v>
      </c>
      <c r="Q39" s="217" t="s">
        <v>23</v>
      </c>
      <c r="R39" s="211">
        <v>0.11538461538461542</v>
      </c>
      <c r="S39" s="211">
        <v>2.8571428571428572</v>
      </c>
      <c r="T39" s="211">
        <v>5.875</v>
      </c>
      <c r="U39" s="211">
        <v>-0.8835978835978836</v>
      </c>
      <c r="V39" s="211">
        <v>0.22959183673469385</v>
      </c>
      <c r="W39" s="216" t="s">
        <v>23</v>
      </c>
      <c r="X39" s="211">
        <v>-0.40740740740740744</v>
      </c>
      <c r="Y39" s="216" t="s">
        <v>23</v>
      </c>
      <c r="Z39" s="216" t="s">
        <v>23</v>
      </c>
      <c r="AA39" s="217" t="s">
        <v>23</v>
      </c>
      <c r="AB39" s="22">
        <v>-0.5</v>
      </c>
      <c r="AC39" s="22">
        <v>6.25E-2</v>
      </c>
      <c r="AD39" s="22">
        <v>0.30769230769230771</v>
      </c>
      <c r="AE39" s="31" t="s">
        <v>23</v>
      </c>
      <c r="AF39" s="217" t="s">
        <v>23</v>
      </c>
      <c r="AG39" s="31" t="s">
        <v>23</v>
      </c>
      <c r="AH39" s="22">
        <v>-5.8823529411764719E-2</v>
      </c>
      <c r="AI39" s="22">
        <v>0.17647058823529416</v>
      </c>
      <c r="AJ39" s="22">
        <v>-0.81666666666666665</v>
      </c>
      <c r="AK39" s="217" t="s">
        <v>23</v>
      </c>
      <c r="AL39" s="22">
        <v>0.4285714285714286</v>
      </c>
      <c r="AM39" s="22">
        <v>0.125</v>
      </c>
      <c r="AN39" s="22">
        <v>-0.35</v>
      </c>
      <c r="AO39" s="22">
        <v>5.0909090909090908</v>
      </c>
      <c r="AP39" s="217" t="s">
        <v>23</v>
      </c>
      <c r="AQ39" s="22">
        <v>-0.30000000000000004</v>
      </c>
      <c r="AR39" s="22">
        <v>-0.55555555555555558</v>
      </c>
      <c r="AS39" s="139"/>
      <c r="AT39" s="22">
        <v>0.30769230769230771</v>
      </c>
      <c r="AU39" s="278"/>
      <c r="AV39" s="22">
        <v>-1.0597014925373134</v>
      </c>
      <c r="AW39" s="211">
        <v>-3.6875</v>
      </c>
    </row>
    <row r="40" spans="2:50" ht="13.9" customHeight="1">
      <c r="B40" s="12" t="s">
        <v>354</v>
      </c>
      <c r="C40" s="25">
        <f>C25+C37</f>
        <v>82</v>
      </c>
      <c r="D40" s="25">
        <f>D25+D37</f>
        <v>78</v>
      </c>
      <c r="E40" s="25">
        <f>E25+E37</f>
        <v>73</v>
      </c>
      <c r="F40" s="19">
        <f>G40-E40-D40-C40</f>
        <v>58</v>
      </c>
      <c r="G40" s="210">
        <f>G25+G37</f>
        <v>291</v>
      </c>
      <c r="H40" s="218">
        <f>H25+H37</f>
        <v>69</v>
      </c>
      <c r="I40" s="218">
        <f>I25+I37</f>
        <v>67</v>
      </c>
      <c r="J40" s="218">
        <f>J25+J37</f>
        <v>69</v>
      </c>
      <c r="K40" s="214">
        <f>L40-J40-I40-H40</f>
        <v>66</v>
      </c>
      <c r="L40" s="210">
        <f>L25+L37</f>
        <v>271</v>
      </c>
      <c r="M40" s="218">
        <f>M25+M37</f>
        <v>72</v>
      </c>
      <c r="N40" s="218">
        <f>N25+N37</f>
        <v>53</v>
      </c>
      <c r="O40" s="218">
        <f>O25+O37</f>
        <v>7</v>
      </c>
      <c r="P40" s="214">
        <f>Q40-M40-N40-O40</f>
        <v>-138</v>
      </c>
      <c r="Q40" s="213">
        <v>-6</v>
      </c>
      <c r="R40" s="218">
        <v>72</v>
      </c>
      <c r="S40" s="218">
        <v>65</v>
      </c>
      <c r="T40" s="214">
        <v>-233</v>
      </c>
      <c r="U40" s="214">
        <v>4</v>
      </c>
      <c r="V40" s="213">
        <v>-92</v>
      </c>
      <c r="W40" s="218">
        <v>41</v>
      </c>
      <c r="X40" s="218">
        <v>62</v>
      </c>
      <c r="Y40" s="214">
        <v>51</v>
      </c>
      <c r="Z40" s="214">
        <v>41</v>
      </c>
      <c r="AA40" s="213">
        <v>195</v>
      </c>
      <c r="AB40" s="25">
        <v>34</v>
      </c>
      <c r="AC40" s="25">
        <v>46</v>
      </c>
      <c r="AD40" s="61">
        <v>49</v>
      </c>
      <c r="AE40" s="61">
        <v>-25</v>
      </c>
      <c r="AF40" s="213">
        <v>104</v>
      </c>
      <c r="AG40" s="25">
        <v>44</v>
      </c>
      <c r="AH40" s="25">
        <v>49</v>
      </c>
      <c r="AI40" s="61">
        <v>49</v>
      </c>
      <c r="AJ40" s="19">
        <v>34</v>
      </c>
      <c r="AK40" s="213">
        <v>176</v>
      </c>
      <c r="AL40" s="25">
        <v>47</v>
      </c>
      <c r="AM40" s="25">
        <v>44</v>
      </c>
      <c r="AN40" s="61">
        <v>36</v>
      </c>
      <c r="AO40" s="61">
        <v>-25</v>
      </c>
      <c r="AP40" s="213">
        <v>102</v>
      </c>
      <c r="AQ40" s="25">
        <v>33</v>
      </c>
      <c r="AR40" s="25">
        <v>37</v>
      </c>
      <c r="AS40" s="137">
        <v>70</v>
      </c>
      <c r="AT40" s="61">
        <v>40</v>
      </c>
      <c r="AU40" s="279">
        <v>110</v>
      </c>
      <c r="AV40" s="19">
        <v>36</v>
      </c>
      <c r="AW40" s="213">
        <v>146</v>
      </c>
    </row>
    <row r="41" spans="2:50" ht="13.9" customHeight="1">
      <c r="B41" s="20" t="s">
        <v>5</v>
      </c>
      <c r="C41" s="21"/>
      <c r="D41" s="21">
        <f>D40/C40-1</f>
        <v>-4.8780487804878092E-2</v>
      </c>
      <c r="E41" s="21">
        <f>E40/D40-1</f>
        <v>-6.4102564102564097E-2</v>
      </c>
      <c r="F41" s="21">
        <f>F40/E40-1</f>
        <v>-0.20547945205479456</v>
      </c>
      <c r="G41" s="211"/>
      <c r="H41" s="212">
        <f>H40/F40-1</f>
        <v>0.18965517241379315</v>
      </c>
      <c r="I41" s="212">
        <f>I40/H40-1</f>
        <v>-2.8985507246376829E-2</v>
      </c>
      <c r="J41" s="212">
        <f>J40/I40-1</f>
        <v>2.9850746268656803E-2</v>
      </c>
      <c r="K41" s="212">
        <f>K40/J40-1</f>
        <v>-4.3478260869565188E-2</v>
      </c>
      <c r="L41" s="211"/>
      <c r="M41" s="212">
        <f>M40/K40-1</f>
        <v>9.0909090909090828E-2</v>
      </c>
      <c r="N41" s="212">
        <f>N40/M40-1</f>
        <v>-0.26388888888888884</v>
      </c>
      <c r="O41" s="212">
        <f>O40/N40-1</f>
        <v>-0.86792452830188682</v>
      </c>
      <c r="P41" s="216" t="s">
        <v>23</v>
      </c>
      <c r="Q41" s="211"/>
      <c r="R41" s="212">
        <v>-1.5217391304347827</v>
      </c>
      <c r="S41" s="212">
        <v>-9.722222222222221E-2</v>
      </c>
      <c r="T41" s="216" t="s">
        <v>23</v>
      </c>
      <c r="U41" s="216" t="s">
        <v>23</v>
      </c>
      <c r="V41" s="211"/>
      <c r="W41" s="212">
        <v>9.25</v>
      </c>
      <c r="X41" s="212">
        <v>0.51219512195121952</v>
      </c>
      <c r="Y41" s="212">
        <v>-0.17741935483870963</v>
      </c>
      <c r="Z41" s="212">
        <v>-0.19607843137254899</v>
      </c>
      <c r="AA41" s="211"/>
      <c r="AB41" s="21">
        <v>-0.17073170731707321</v>
      </c>
      <c r="AC41" s="21">
        <v>0.35294117647058831</v>
      </c>
      <c r="AD41" s="21">
        <v>6.5217391304347894E-2</v>
      </c>
      <c r="AE41" s="31" t="s">
        <v>23</v>
      </c>
      <c r="AF41" s="211"/>
      <c r="AG41" s="31" t="s">
        <v>23</v>
      </c>
      <c r="AH41" s="21">
        <v>0.11363636363636354</v>
      </c>
      <c r="AI41" s="21">
        <v>0</v>
      </c>
      <c r="AJ41" s="21">
        <v>-0.30612244897959184</v>
      </c>
      <c r="AK41" s="211"/>
      <c r="AL41" s="21">
        <v>0.38235294117647056</v>
      </c>
      <c r="AM41" s="21">
        <v>-6.3829787234042534E-2</v>
      </c>
      <c r="AN41" s="21">
        <v>-0.18181818181818177</v>
      </c>
      <c r="AO41" s="31" t="s">
        <v>23</v>
      </c>
      <c r="AP41" s="211"/>
      <c r="AQ41" s="31" t="s">
        <v>23</v>
      </c>
      <c r="AR41" s="21">
        <v>0.1212121212121211</v>
      </c>
      <c r="AS41" s="138"/>
      <c r="AT41" s="21">
        <v>8.1081081081081141E-2</v>
      </c>
      <c r="AU41" s="277"/>
      <c r="AV41" s="21">
        <v>-9.9999999999999978E-2</v>
      </c>
      <c r="AW41" s="211"/>
    </row>
    <row r="42" spans="2:50" ht="13.9" customHeight="1">
      <c r="B42" s="20" t="s">
        <v>6</v>
      </c>
      <c r="C42" s="22"/>
      <c r="D42" s="22"/>
      <c r="E42" s="22"/>
      <c r="F42" s="22"/>
      <c r="G42" s="211"/>
      <c r="H42" s="211">
        <f t="shared" ref="H42:N42" si="9">H40/C40-1</f>
        <v>-0.15853658536585369</v>
      </c>
      <c r="I42" s="211">
        <f t="shared" si="9"/>
        <v>-0.14102564102564108</v>
      </c>
      <c r="J42" s="211">
        <f t="shared" si="9"/>
        <v>-5.4794520547945202E-2</v>
      </c>
      <c r="K42" s="211">
        <f t="shared" si="9"/>
        <v>0.13793103448275867</v>
      </c>
      <c r="L42" s="211">
        <f t="shared" si="9"/>
        <v>-6.8728522336769737E-2</v>
      </c>
      <c r="M42" s="211">
        <f t="shared" si="9"/>
        <v>4.3478260869565188E-2</v>
      </c>
      <c r="N42" s="211">
        <f t="shared" si="9"/>
        <v>-0.20895522388059706</v>
      </c>
      <c r="O42" s="211">
        <f>O40/J40-1</f>
        <v>-0.89855072463768115</v>
      </c>
      <c r="P42" s="216" t="s">
        <v>23</v>
      </c>
      <c r="Q42" s="211">
        <v>-1.0221402214022139</v>
      </c>
      <c r="R42" s="211">
        <v>0</v>
      </c>
      <c r="S42" s="211">
        <v>0.22641509433962259</v>
      </c>
      <c r="T42" s="216" t="s">
        <v>23</v>
      </c>
      <c r="U42" s="216" t="s">
        <v>23</v>
      </c>
      <c r="V42" s="211">
        <v>14.333333333333334</v>
      </c>
      <c r="W42" s="211">
        <v>-0.43055555555555558</v>
      </c>
      <c r="X42" s="211">
        <v>-4.6153846153846101E-2</v>
      </c>
      <c r="Y42" s="216" t="s">
        <v>23</v>
      </c>
      <c r="Z42" s="211">
        <v>9.25</v>
      </c>
      <c r="AA42" s="217" t="s">
        <v>23</v>
      </c>
      <c r="AB42" s="22">
        <v>-0.17073170731707321</v>
      </c>
      <c r="AC42" s="22">
        <v>-0.25806451612903225</v>
      </c>
      <c r="AD42" s="22">
        <v>-3.9215686274509776E-2</v>
      </c>
      <c r="AE42" s="31" t="s">
        <v>23</v>
      </c>
      <c r="AF42" s="211">
        <v>-0.46666666666666667</v>
      </c>
      <c r="AG42" s="22">
        <v>0.29411764705882359</v>
      </c>
      <c r="AH42" s="22">
        <v>6.5217391304347894E-2</v>
      </c>
      <c r="AI42" s="22">
        <v>0</v>
      </c>
      <c r="AJ42" s="31" t="s">
        <v>23</v>
      </c>
      <c r="AK42" s="211">
        <v>0.69230769230769229</v>
      </c>
      <c r="AL42" s="22">
        <v>6.8181818181818121E-2</v>
      </c>
      <c r="AM42" s="22">
        <v>-0.10204081632653061</v>
      </c>
      <c r="AN42" s="22">
        <v>-0.26530612244897955</v>
      </c>
      <c r="AO42" s="31" t="s">
        <v>23</v>
      </c>
      <c r="AP42" s="211">
        <v>-0.42045454545454541</v>
      </c>
      <c r="AQ42" s="22">
        <v>-0.2978723404255319</v>
      </c>
      <c r="AR42" s="22">
        <v>-0.15909090909090906</v>
      </c>
      <c r="AS42" s="139"/>
      <c r="AT42" s="22">
        <v>0.11111111111111116</v>
      </c>
      <c r="AU42" s="278"/>
      <c r="AV42" s="22">
        <v>-2.44</v>
      </c>
      <c r="AW42" s="211">
        <v>0.43137254901960786</v>
      </c>
    </row>
    <row r="43" spans="2:50" ht="13.9" customHeight="1">
      <c r="B43" s="34" t="s">
        <v>237</v>
      </c>
      <c r="C43" s="25">
        <f>C40</f>
        <v>82</v>
      </c>
      <c r="D43" s="25">
        <f>D40+D35</f>
        <v>79</v>
      </c>
      <c r="E43" s="25">
        <f>E40+E35</f>
        <v>72</v>
      </c>
      <c r="F43" s="61">
        <f>G43-E43-D43-C43</f>
        <v>61</v>
      </c>
      <c r="G43" s="210">
        <f>G40+G35</f>
        <v>294</v>
      </c>
      <c r="H43" s="218">
        <f>H40+H35</f>
        <v>71</v>
      </c>
      <c r="I43" s="218">
        <f>I40+I35</f>
        <v>66</v>
      </c>
      <c r="J43" s="218">
        <f>J40+J35</f>
        <v>71</v>
      </c>
      <c r="K43" s="214">
        <f>L43-J43-I43-H43</f>
        <v>71</v>
      </c>
      <c r="L43" s="210">
        <f>L40+L35</f>
        <v>279</v>
      </c>
      <c r="M43" s="218">
        <f>M40</f>
        <v>72</v>
      </c>
      <c r="N43" s="218">
        <f>N40+N35</f>
        <v>69</v>
      </c>
      <c r="O43" s="218">
        <f>O40+O35</f>
        <v>52</v>
      </c>
      <c r="P43" s="210">
        <f>Q43-M43-N43-O43</f>
        <v>58</v>
      </c>
      <c r="Q43" s="210">
        <v>251</v>
      </c>
      <c r="R43" s="218">
        <v>72</v>
      </c>
      <c r="S43" s="218">
        <v>65</v>
      </c>
      <c r="T43" s="218">
        <v>49</v>
      </c>
      <c r="U43" s="210">
        <v>35</v>
      </c>
      <c r="V43" s="210">
        <v>221</v>
      </c>
      <c r="W43" s="218">
        <v>41</v>
      </c>
      <c r="X43" s="218">
        <v>62</v>
      </c>
      <c r="Y43" s="218">
        <v>50</v>
      </c>
      <c r="Z43" s="210">
        <v>50</v>
      </c>
      <c r="AA43" s="210">
        <v>203</v>
      </c>
      <c r="AB43" s="25">
        <v>35</v>
      </c>
      <c r="AC43" s="25">
        <v>47</v>
      </c>
      <c r="AD43" s="25">
        <v>52</v>
      </c>
      <c r="AE43" s="19">
        <v>43</v>
      </c>
      <c r="AF43" s="210">
        <v>177</v>
      </c>
      <c r="AG43" s="25">
        <v>51</v>
      </c>
      <c r="AH43" s="25">
        <v>49</v>
      </c>
      <c r="AI43" s="25">
        <v>50</v>
      </c>
      <c r="AJ43" s="19">
        <v>48</v>
      </c>
      <c r="AK43" s="210">
        <v>198</v>
      </c>
      <c r="AL43" s="25">
        <v>44</v>
      </c>
      <c r="AM43" s="25">
        <v>45</v>
      </c>
      <c r="AN43" s="61">
        <v>39</v>
      </c>
      <c r="AO43" s="19">
        <v>48</v>
      </c>
      <c r="AP43" s="210">
        <v>176</v>
      </c>
      <c r="AQ43" s="25">
        <v>34</v>
      </c>
      <c r="AR43" s="25">
        <v>37</v>
      </c>
      <c r="AS43" s="137">
        <v>71</v>
      </c>
      <c r="AT43" s="61">
        <v>40</v>
      </c>
      <c r="AU43" s="279">
        <v>111</v>
      </c>
      <c r="AV43" s="19">
        <v>37</v>
      </c>
      <c r="AW43" s="213">
        <v>148</v>
      </c>
      <c r="AX43" s="97"/>
    </row>
    <row r="44" spans="2:50" ht="13.9" customHeight="1">
      <c r="B44" s="20" t="s">
        <v>5</v>
      </c>
      <c r="C44" s="21"/>
      <c r="D44" s="21">
        <f>D43/C43-1</f>
        <v>-3.6585365853658569E-2</v>
      </c>
      <c r="E44" s="21">
        <f>E43/D43-1</f>
        <v>-8.8607594936708889E-2</v>
      </c>
      <c r="F44" s="21">
        <f>F43/E43-1</f>
        <v>-0.15277777777777779</v>
      </c>
      <c r="G44" s="211"/>
      <c r="H44" s="212">
        <f>H43/F43-1</f>
        <v>0.16393442622950816</v>
      </c>
      <c r="I44" s="212">
        <f>I43/H43-1</f>
        <v>-7.0422535211267623E-2</v>
      </c>
      <c r="J44" s="212">
        <f>J43/I43-1</f>
        <v>7.575757575757569E-2</v>
      </c>
      <c r="K44" s="212">
        <f>K43/J43-1</f>
        <v>0</v>
      </c>
      <c r="L44" s="211"/>
      <c r="M44" s="212">
        <f>M43/K43-1</f>
        <v>1.4084507042253502E-2</v>
      </c>
      <c r="N44" s="212">
        <f>N43/M43-1</f>
        <v>-4.166666666666663E-2</v>
      </c>
      <c r="O44" s="212">
        <f>O43/N43-1</f>
        <v>-0.24637681159420288</v>
      </c>
      <c r="P44" s="212">
        <f>P43/O43-1</f>
        <v>0.11538461538461542</v>
      </c>
      <c r="Q44" s="211"/>
      <c r="R44" s="212">
        <v>0.24137931034482762</v>
      </c>
      <c r="S44" s="212">
        <v>-9.722222222222221E-2</v>
      </c>
      <c r="T44" s="212">
        <v>-0.24615384615384617</v>
      </c>
      <c r="U44" s="212">
        <v>-0.2857142857142857</v>
      </c>
      <c r="V44" s="211"/>
      <c r="W44" s="212">
        <v>0.17142857142857149</v>
      </c>
      <c r="X44" s="212">
        <v>0.51219512195121952</v>
      </c>
      <c r="Y44" s="212">
        <v>-0.19354838709677424</v>
      </c>
      <c r="Z44" s="212">
        <v>0</v>
      </c>
      <c r="AA44" s="211"/>
      <c r="AB44" s="21">
        <v>-0.30000000000000004</v>
      </c>
      <c r="AC44" s="21">
        <v>0.34285714285714275</v>
      </c>
      <c r="AD44" s="21">
        <v>0.1063829787234043</v>
      </c>
      <c r="AE44" s="21">
        <v>-0.17307692307692313</v>
      </c>
      <c r="AF44" s="211"/>
      <c r="AG44" s="21">
        <v>0.18604651162790709</v>
      </c>
      <c r="AH44" s="21">
        <v>-3.9215686274509776E-2</v>
      </c>
      <c r="AI44" s="21">
        <v>2.0408163265306145E-2</v>
      </c>
      <c r="AJ44" s="21">
        <v>-4.0000000000000036E-2</v>
      </c>
      <c r="AK44" s="211"/>
      <c r="AL44" s="21">
        <v>-8.333333333333337E-2</v>
      </c>
      <c r="AM44" s="21">
        <v>2.2727272727272707E-2</v>
      </c>
      <c r="AN44" s="21">
        <v>-0.1333333333333333</v>
      </c>
      <c r="AO44" s="21">
        <v>0.23076923076923084</v>
      </c>
      <c r="AP44" s="211"/>
      <c r="AQ44" s="21">
        <v>-0.29166666666666663</v>
      </c>
      <c r="AR44" s="21">
        <v>8.8235294117646967E-2</v>
      </c>
      <c r="AS44" s="138"/>
      <c r="AT44" s="21">
        <v>8.1081081081081141E-2</v>
      </c>
      <c r="AU44" s="277"/>
      <c r="AV44" s="21">
        <v>-7.4999999999999956E-2</v>
      </c>
      <c r="AW44" s="211"/>
    </row>
    <row r="45" spans="2:50" ht="13.9" customHeight="1">
      <c r="B45" s="20" t="s">
        <v>6</v>
      </c>
      <c r="C45" s="22"/>
      <c r="D45" s="22"/>
      <c r="E45" s="22"/>
      <c r="F45" s="22"/>
      <c r="G45" s="211"/>
      <c r="H45" s="211">
        <f t="shared" ref="H45:O45" si="10">H43/C43-1</f>
        <v>-0.13414634146341464</v>
      </c>
      <c r="I45" s="211">
        <f t="shared" si="10"/>
        <v>-0.16455696202531644</v>
      </c>
      <c r="J45" s="211">
        <f t="shared" si="10"/>
        <v>-1.388888888888884E-2</v>
      </c>
      <c r="K45" s="211">
        <f t="shared" si="10"/>
        <v>0.16393442622950816</v>
      </c>
      <c r="L45" s="211">
        <f t="shared" si="10"/>
        <v>-5.1020408163265252E-2</v>
      </c>
      <c r="M45" s="211">
        <f t="shared" si="10"/>
        <v>1.4084507042253502E-2</v>
      </c>
      <c r="N45" s="211">
        <f t="shared" si="10"/>
        <v>4.5454545454545414E-2</v>
      </c>
      <c r="O45" s="211">
        <f t="shared" si="10"/>
        <v>-0.26760563380281688</v>
      </c>
      <c r="P45" s="211">
        <f>P43/K43-1</f>
        <v>-0.18309859154929575</v>
      </c>
      <c r="Q45" s="211">
        <v>-0.10035842293906805</v>
      </c>
      <c r="R45" s="211">
        <v>0</v>
      </c>
      <c r="S45" s="211">
        <v>-5.7971014492753659E-2</v>
      </c>
      <c r="T45" s="211">
        <v>-5.7692307692307709E-2</v>
      </c>
      <c r="U45" s="211">
        <v>-0.39655172413793105</v>
      </c>
      <c r="V45" s="211">
        <v>-0.11952191235059761</v>
      </c>
      <c r="W45" s="211">
        <v>-0.43055555555555558</v>
      </c>
      <c r="X45" s="211">
        <v>-4.6153846153846101E-2</v>
      </c>
      <c r="Y45" s="211">
        <v>2.0408163265306145E-2</v>
      </c>
      <c r="Z45" s="211">
        <v>0.4285714285714286</v>
      </c>
      <c r="AA45" s="211">
        <v>-8.1447963800905021E-2</v>
      </c>
      <c r="AB45" s="22">
        <v>-0.14634146341463417</v>
      </c>
      <c r="AC45" s="22">
        <v>-0.24193548387096775</v>
      </c>
      <c r="AD45" s="22">
        <v>4.0000000000000036E-2</v>
      </c>
      <c r="AE45" s="22">
        <v>-0.14000000000000001</v>
      </c>
      <c r="AF45" s="211">
        <v>-0.1280788177339901</v>
      </c>
      <c r="AG45" s="22">
        <v>0.45714285714285707</v>
      </c>
      <c r="AH45" s="22">
        <v>4.2553191489361764E-2</v>
      </c>
      <c r="AI45" s="22">
        <v>-3.8461538461538436E-2</v>
      </c>
      <c r="AJ45" s="22">
        <v>0.11627906976744184</v>
      </c>
      <c r="AK45" s="211">
        <v>0.11864406779661008</v>
      </c>
      <c r="AL45" s="22">
        <v>-0.13725490196078427</v>
      </c>
      <c r="AM45" s="22">
        <v>-8.1632653061224469E-2</v>
      </c>
      <c r="AN45" s="22">
        <v>-0.21999999999999997</v>
      </c>
      <c r="AO45" s="22">
        <v>0</v>
      </c>
      <c r="AP45" s="211">
        <v>-0.11111111111111116</v>
      </c>
      <c r="AQ45" s="22">
        <v>-0.22727272727272729</v>
      </c>
      <c r="AR45" s="22">
        <v>-0.17777777777777781</v>
      </c>
      <c r="AS45" s="139"/>
      <c r="AT45" s="22">
        <v>2.564102564102555E-2</v>
      </c>
      <c r="AU45" s="278"/>
      <c r="AV45" s="22">
        <v>-0.22916666666666663</v>
      </c>
      <c r="AW45" s="211">
        <v>-0.15909090909090906</v>
      </c>
    </row>
    <row r="46" spans="2:50" ht="13.9" customHeight="1">
      <c r="B46" s="12" t="s">
        <v>355</v>
      </c>
      <c r="C46" s="155">
        <f t="shared" ref="C46:P46" si="11">C43/C8</f>
        <v>0.21354166666666666</v>
      </c>
      <c r="D46" s="155">
        <f t="shared" si="11"/>
        <v>0.1941031941031941</v>
      </c>
      <c r="E46" s="155">
        <f t="shared" si="11"/>
        <v>0.19618528610354224</v>
      </c>
      <c r="F46" s="155">
        <f t="shared" si="11"/>
        <v>0.16094986807387862</v>
      </c>
      <c r="G46" s="219">
        <f t="shared" si="11"/>
        <v>0.19128171763175017</v>
      </c>
      <c r="H46" s="219">
        <f t="shared" si="11"/>
        <v>0.20170454545454544</v>
      </c>
      <c r="I46" s="219">
        <f t="shared" si="11"/>
        <v>0.19642857142857142</v>
      </c>
      <c r="J46" s="219">
        <f t="shared" si="11"/>
        <v>0.21321321321321321</v>
      </c>
      <c r="K46" s="219">
        <f t="shared" si="11"/>
        <v>0.1918918918918919</v>
      </c>
      <c r="L46" s="219">
        <f t="shared" si="11"/>
        <v>0.20057512580877068</v>
      </c>
      <c r="M46" s="219">
        <f t="shared" si="11"/>
        <v>0.21114369501466276</v>
      </c>
      <c r="N46" s="219">
        <f t="shared" si="11"/>
        <v>0.20353982300884957</v>
      </c>
      <c r="O46" s="219">
        <f t="shared" si="11"/>
        <v>0.1580547112462006</v>
      </c>
      <c r="P46" s="219">
        <f t="shared" si="11"/>
        <v>0.17575757575757575</v>
      </c>
      <c r="Q46" s="219">
        <v>0.18745332337565349</v>
      </c>
      <c r="R46" s="219">
        <v>0.22712933753943218</v>
      </c>
      <c r="S46" s="219">
        <v>0.2070063694267516</v>
      </c>
      <c r="T46" s="219">
        <v>0.15555555555555556</v>
      </c>
      <c r="U46" s="219">
        <v>0.1076923076923077</v>
      </c>
      <c r="V46" s="219">
        <v>0.17387883556254918</v>
      </c>
      <c r="W46" s="219">
        <v>0.13141025641025642</v>
      </c>
      <c r="X46" s="219">
        <v>0.2</v>
      </c>
      <c r="Y46" s="219">
        <v>0.17421602787456447</v>
      </c>
      <c r="Z46" s="219">
        <v>0.1524390243902439</v>
      </c>
      <c r="AA46" s="219">
        <v>0.16410670978173</v>
      </c>
      <c r="AB46" s="155">
        <v>0.11400651465798045</v>
      </c>
      <c r="AC46" s="155">
        <v>0.15562913907284767</v>
      </c>
      <c r="AD46" s="155">
        <v>0.16720257234726688</v>
      </c>
      <c r="AE46" s="155">
        <v>0.13479623824451412</v>
      </c>
      <c r="AF46" s="219">
        <v>0.14285714285714285</v>
      </c>
      <c r="AG46" s="155">
        <v>0.16346153846153846</v>
      </c>
      <c r="AH46" s="155">
        <v>0.16723549488054607</v>
      </c>
      <c r="AI46" s="155">
        <v>0.16501650165016502</v>
      </c>
      <c r="AJ46" s="155">
        <v>0.15789473684210525</v>
      </c>
      <c r="AK46" s="219">
        <v>0.16336633663366337</v>
      </c>
      <c r="AL46" s="155">
        <v>0.15224913494809689</v>
      </c>
      <c r="AM46" s="155">
        <v>0.17241379310344829</v>
      </c>
      <c r="AN46" s="155">
        <v>0.14444444444444443</v>
      </c>
      <c r="AO46" s="155">
        <v>0.16842105263157894</v>
      </c>
      <c r="AP46" s="219">
        <v>0.1592760180995475</v>
      </c>
      <c r="AQ46" s="155">
        <v>0.12454212454212454</v>
      </c>
      <c r="AR46" s="155">
        <v>0.14068441064638784</v>
      </c>
      <c r="AS46" s="156">
        <v>0.13246268656716417</v>
      </c>
      <c r="AT46" s="155">
        <v>0.14234875444839859</v>
      </c>
      <c r="AU46" s="280">
        <v>0.13586291309669524</v>
      </c>
      <c r="AV46" s="155">
        <v>0.14068441064638784</v>
      </c>
      <c r="AW46" s="219">
        <v>0.13703703703703704</v>
      </c>
    </row>
    <row r="47" spans="2:50" ht="13.9" customHeight="1">
      <c r="B47" s="20"/>
      <c r="C47" s="22"/>
      <c r="D47" s="22"/>
      <c r="E47" s="22"/>
      <c r="F47" s="22"/>
      <c r="G47" s="211"/>
      <c r="H47" s="211"/>
      <c r="I47" s="211"/>
      <c r="J47" s="211"/>
      <c r="K47" s="211"/>
      <c r="L47" s="211"/>
      <c r="M47" s="211"/>
      <c r="N47" s="211"/>
      <c r="O47" s="216"/>
      <c r="P47" s="216"/>
      <c r="Q47" s="217"/>
      <c r="R47" s="211"/>
      <c r="S47" s="211"/>
      <c r="T47" s="211"/>
      <c r="U47" s="211"/>
      <c r="V47" s="211"/>
      <c r="W47" s="216"/>
      <c r="X47" s="211"/>
      <c r="Y47" s="216"/>
      <c r="Z47" s="216"/>
      <c r="AA47" s="217"/>
      <c r="AB47" s="22"/>
      <c r="AC47" s="22"/>
      <c r="AD47" s="22"/>
      <c r="AE47" s="31"/>
      <c r="AF47" s="217"/>
      <c r="AG47" s="22"/>
      <c r="AH47" s="22"/>
      <c r="AI47" s="22"/>
      <c r="AJ47" s="31"/>
      <c r="AK47" s="217"/>
      <c r="AL47" s="22"/>
      <c r="AM47" s="22"/>
      <c r="AN47" s="22"/>
      <c r="AO47" s="31"/>
      <c r="AP47" s="217"/>
      <c r="AQ47" s="22"/>
      <c r="AR47" s="22"/>
      <c r="AS47" s="139"/>
      <c r="AT47" s="22"/>
      <c r="AU47" s="278"/>
      <c r="AV47" s="31"/>
      <c r="AW47" s="217"/>
    </row>
    <row r="48" spans="2:50" ht="13.9" customHeight="1">
      <c r="B48" s="12" t="s">
        <v>353</v>
      </c>
      <c r="C48" s="19">
        <v>36</v>
      </c>
      <c r="D48" s="19">
        <v>33</v>
      </c>
      <c r="E48" s="19">
        <v>27</v>
      </c>
      <c r="F48" s="19">
        <f>G48-E48-D48-C48</f>
        <v>19</v>
      </c>
      <c r="G48" s="210">
        <v>115</v>
      </c>
      <c r="H48" s="210">
        <v>18</v>
      </c>
      <c r="I48" s="210">
        <v>14</v>
      </c>
      <c r="J48" s="210">
        <v>14</v>
      </c>
      <c r="K48" s="214">
        <f>L48-J48-I48-H48</f>
        <v>5</v>
      </c>
      <c r="L48" s="210">
        <v>51</v>
      </c>
      <c r="M48" s="210">
        <v>20</v>
      </c>
      <c r="N48" s="210">
        <v>4</v>
      </c>
      <c r="O48" s="214">
        <v>-32</v>
      </c>
      <c r="P48" s="214">
        <f>Q48-M48-N48-O48</f>
        <v>-149</v>
      </c>
      <c r="Q48" s="213">
        <v>-157</v>
      </c>
      <c r="R48" s="210">
        <v>22</v>
      </c>
      <c r="S48" s="210">
        <v>21</v>
      </c>
      <c r="T48" s="214">
        <v>-305</v>
      </c>
      <c r="U48" s="214">
        <v>-13</v>
      </c>
      <c r="V48" s="213">
        <v>-275</v>
      </c>
      <c r="W48" s="214">
        <v>-8</v>
      </c>
      <c r="X48" s="210">
        <v>11</v>
      </c>
      <c r="Y48" s="214">
        <v>10</v>
      </c>
      <c r="Z48" s="214">
        <v>-5</v>
      </c>
      <c r="AA48" s="213">
        <v>8</v>
      </c>
      <c r="AB48" s="61">
        <v>-5</v>
      </c>
      <c r="AC48" s="19">
        <v>15</v>
      </c>
      <c r="AD48" s="61">
        <v>16</v>
      </c>
      <c r="AE48" s="61">
        <v>-58</v>
      </c>
      <c r="AF48" s="213">
        <v>-32</v>
      </c>
      <c r="AG48" s="61">
        <v>13</v>
      </c>
      <c r="AH48" s="19">
        <v>13</v>
      </c>
      <c r="AI48" s="61">
        <v>17</v>
      </c>
      <c r="AJ48" s="61">
        <v>-14</v>
      </c>
      <c r="AK48" s="213">
        <v>29</v>
      </c>
      <c r="AL48" s="61">
        <v>18</v>
      </c>
      <c r="AM48" s="19">
        <v>18</v>
      </c>
      <c r="AN48" s="61">
        <v>11</v>
      </c>
      <c r="AO48" s="61">
        <v>-69</v>
      </c>
      <c r="AP48" s="213">
        <v>-22</v>
      </c>
      <c r="AQ48" s="61">
        <v>11</v>
      </c>
      <c r="AR48" s="19">
        <v>6</v>
      </c>
      <c r="AS48" s="137">
        <v>17</v>
      </c>
      <c r="AT48" s="61">
        <v>16</v>
      </c>
      <c r="AU48" s="279">
        <v>33</v>
      </c>
      <c r="AV48" s="19">
        <v>3</v>
      </c>
      <c r="AW48" s="213">
        <v>36</v>
      </c>
    </row>
    <row r="49" spans="2:50" ht="13.9" customHeight="1">
      <c r="B49" s="20" t="s">
        <v>5</v>
      </c>
      <c r="C49" s="21"/>
      <c r="D49" s="21">
        <f>D48/C48-1</f>
        <v>-8.333333333333337E-2</v>
      </c>
      <c r="E49" s="21">
        <f>E48/D48-1</f>
        <v>-0.18181818181818177</v>
      </c>
      <c r="F49" s="21">
        <f>F48/E48-1</f>
        <v>-0.29629629629629628</v>
      </c>
      <c r="G49" s="211"/>
      <c r="H49" s="212">
        <f>H48/F48-1</f>
        <v>-5.2631578947368474E-2</v>
      </c>
      <c r="I49" s="212">
        <f>I48/H48-1</f>
        <v>-0.22222222222222221</v>
      </c>
      <c r="J49" s="212">
        <f>J48/I48-1</f>
        <v>0</v>
      </c>
      <c r="K49" s="212">
        <f>K48/J48-1</f>
        <v>-0.64285714285714279</v>
      </c>
      <c r="L49" s="211"/>
      <c r="M49" s="212">
        <f>M48/K48-1</f>
        <v>3</v>
      </c>
      <c r="N49" s="212">
        <f>N48/M48-1</f>
        <v>-0.8</v>
      </c>
      <c r="O49" s="216" t="s">
        <v>23</v>
      </c>
      <c r="P49" s="212">
        <f>P48/O48-1</f>
        <v>3.65625</v>
      </c>
      <c r="Q49" s="211"/>
      <c r="R49" s="212">
        <v>-1.1476510067114094</v>
      </c>
      <c r="S49" s="212">
        <v>-4.5454545454545414E-2</v>
      </c>
      <c r="T49" s="216" t="s">
        <v>23</v>
      </c>
      <c r="U49" s="212">
        <v>-0.95737704918032784</v>
      </c>
      <c r="V49" s="211"/>
      <c r="W49" s="212">
        <v>-0.38461538461538458</v>
      </c>
      <c r="X49" s="216" t="s">
        <v>23</v>
      </c>
      <c r="Y49" s="212">
        <v>-9.0909090909090939E-2</v>
      </c>
      <c r="Z49" s="216" t="s">
        <v>23</v>
      </c>
      <c r="AA49" s="211"/>
      <c r="AB49" s="21">
        <v>0</v>
      </c>
      <c r="AC49" s="31" t="s">
        <v>23</v>
      </c>
      <c r="AD49" s="21">
        <v>6.6666666666666652E-2</v>
      </c>
      <c r="AE49" s="31" t="s">
        <v>23</v>
      </c>
      <c r="AF49" s="211"/>
      <c r="AG49" s="31" t="s">
        <v>23</v>
      </c>
      <c r="AH49" s="21">
        <v>0</v>
      </c>
      <c r="AI49" s="21">
        <v>0.30769230769230771</v>
      </c>
      <c r="AJ49" s="31" t="s">
        <v>23</v>
      </c>
      <c r="AK49" s="211"/>
      <c r="AL49" s="31" t="s">
        <v>23</v>
      </c>
      <c r="AM49" s="21">
        <v>0</v>
      </c>
      <c r="AN49" s="21">
        <v>-0.38888888888888884</v>
      </c>
      <c r="AO49" s="31" t="s">
        <v>23</v>
      </c>
      <c r="AP49" s="211"/>
      <c r="AQ49" s="31" t="s">
        <v>23</v>
      </c>
      <c r="AR49" s="21">
        <v>-0.45454545454545459</v>
      </c>
      <c r="AS49" s="138"/>
      <c r="AT49" s="21">
        <v>1.6666666666666665</v>
      </c>
      <c r="AU49" s="277"/>
      <c r="AV49" s="21">
        <v>-0.8125</v>
      </c>
      <c r="AW49" s="211"/>
    </row>
    <row r="50" spans="2:50" ht="13.9" customHeight="1">
      <c r="B50" s="20" t="s">
        <v>6</v>
      </c>
      <c r="C50" s="22"/>
      <c r="D50" s="22"/>
      <c r="E50" s="22"/>
      <c r="F50" s="22"/>
      <c r="G50" s="211"/>
      <c r="H50" s="211">
        <f t="shared" ref="H50:N50" si="12">H48/C48-1</f>
        <v>-0.5</v>
      </c>
      <c r="I50" s="211">
        <f t="shared" si="12"/>
        <v>-0.57575757575757569</v>
      </c>
      <c r="J50" s="211">
        <f t="shared" si="12"/>
        <v>-0.48148148148148151</v>
      </c>
      <c r="K50" s="211">
        <f t="shared" si="12"/>
        <v>-0.73684210526315796</v>
      </c>
      <c r="L50" s="211">
        <f t="shared" si="12"/>
        <v>-0.55652173913043479</v>
      </c>
      <c r="M50" s="211">
        <f t="shared" si="12"/>
        <v>0.11111111111111116</v>
      </c>
      <c r="N50" s="211">
        <f t="shared" si="12"/>
        <v>-0.7142857142857143</v>
      </c>
      <c r="O50" s="216" t="s">
        <v>23</v>
      </c>
      <c r="P50" s="216" t="s">
        <v>23</v>
      </c>
      <c r="Q50" s="217" t="s">
        <v>23</v>
      </c>
      <c r="R50" s="211">
        <v>0.10000000000000009</v>
      </c>
      <c r="S50" s="211">
        <v>4.25</v>
      </c>
      <c r="T50" s="211">
        <v>8.53125</v>
      </c>
      <c r="U50" s="211">
        <v>-0.91275167785234901</v>
      </c>
      <c r="V50" s="211">
        <v>0.75159235668789814</v>
      </c>
      <c r="W50" s="216" t="s">
        <v>23</v>
      </c>
      <c r="X50" s="211">
        <v>-0.47619047619047616</v>
      </c>
      <c r="Y50" s="216" t="s">
        <v>23</v>
      </c>
      <c r="Z50" s="211">
        <v>-0.61538461538461542</v>
      </c>
      <c r="AA50" s="217" t="s">
        <v>23</v>
      </c>
      <c r="AB50" s="22">
        <v>-0.375</v>
      </c>
      <c r="AC50" s="22">
        <v>0.36363636363636354</v>
      </c>
      <c r="AD50" s="22">
        <v>0.60000000000000009</v>
      </c>
      <c r="AE50" s="22">
        <v>10.6</v>
      </c>
      <c r="AF50" s="217" t="s">
        <v>23</v>
      </c>
      <c r="AG50" s="31" t="s">
        <v>23</v>
      </c>
      <c r="AH50" s="22">
        <v>-0.1333333333333333</v>
      </c>
      <c r="AI50" s="22">
        <v>6.25E-2</v>
      </c>
      <c r="AJ50" s="22">
        <v>-0.75862068965517238</v>
      </c>
      <c r="AK50" s="217" t="s">
        <v>23</v>
      </c>
      <c r="AL50" s="22">
        <v>0.38461538461538458</v>
      </c>
      <c r="AM50" s="22">
        <v>0.38461538461538458</v>
      </c>
      <c r="AN50" s="22">
        <v>-0.3529411764705882</v>
      </c>
      <c r="AO50" s="22">
        <v>3.9285714285714288</v>
      </c>
      <c r="AP50" s="217" t="s">
        <v>23</v>
      </c>
      <c r="AQ50" s="22">
        <v>-0.38888888888888884</v>
      </c>
      <c r="AR50" s="22">
        <v>-0.66666666666666674</v>
      </c>
      <c r="AS50" s="139"/>
      <c r="AT50" s="22">
        <v>0.45454545454545459</v>
      </c>
      <c r="AU50" s="278"/>
      <c r="AV50" s="22">
        <v>-1.0434782608695652</v>
      </c>
      <c r="AW50" s="211">
        <v>-2.6363636363636367</v>
      </c>
    </row>
    <row r="51" spans="2:50" ht="13.9" customHeight="1">
      <c r="B51" s="34" t="s">
        <v>294</v>
      </c>
      <c r="C51" s="19">
        <f>C48+(C35*0.77)</f>
        <v>36</v>
      </c>
      <c r="D51" s="19">
        <f>D48+(D35*0.77)</f>
        <v>33.770000000000003</v>
      </c>
      <c r="E51" s="19">
        <f>E48+(E35*0.77)</f>
        <v>26.23</v>
      </c>
      <c r="F51" s="19">
        <f>G51-E51-D51-C51</f>
        <v>21.309999999999995</v>
      </c>
      <c r="G51" s="210">
        <f>G48+(G35*0.77)</f>
        <v>117.31</v>
      </c>
      <c r="H51" s="210">
        <f>H48+(H35*0.77)</f>
        <v>19.54</v>
      </c>
      <c r="I51" s="210">
        <f>I48+(I35*0.77)</f>
        <v>13.23</v>
      </c>
      <c r="J51" s="210">
        <f>J48+(J35*0.77)</f>
        <v>15.54</v>
      </c>
      <c r="K51" s="214">
        <f>L51-J51-I51-H51</f>
        <v>8.8499999999999979</v>
      </c>
      <c r="L51" s="210">
        <f>L48+(L35*0.77)</f>
        <v>57.16</v>
      </c>
      <c r="M51" s="210">
        <f>M48+(M35*0.77)</f>
        <v>20</v>
      </c>
      <c r="N51" s="210">
        <f>N48+(N35*0.77)</f>
        <v>16.32</v>
      </c>
      <c r="O51" s="214">
        <f>O48+(O35*0.77)</f>
        <v>2.6499999999999986</v>
      </c>
      <c r="P51" s="210">
        <f>Q51-M51-N51-O51</f>
        <v>1.9200000000000159</v>
      </c>
      <c r="Q51" s="210">
        <v>40.890000000000015</v>
      </c>
      <c r="R51" s="210">
        <v>22</v>
      </c>
      <c r="S51" s="210">
        <v>21</v>
      </c>
      <c r="T51" s="214">
        <v>-23</v>
      </c>
      <c r="U51" s="210">
        <v>18</v>
      </c>
      <c r="V51" s="213">
        <v>38</v>
      </c>
      <c r="W51" s="214">
        <v>-8</v>
      </c>
      <c r="X51" s="210">
        <v>11</v>
      </c>
      <c r="Y51" s="210">
        <v>9</v>
      </c>
      <c r="Z51" s="214">
        <v>4</v>
      </c>
      <c r="AA51" s="213">
        <v>16</v>
      </c>
      <c r="AB51" s="61">
        <v>-4</v>
      </c>
      <c r="AC51" s="19">
        <v>16</v>
      </c>
      <c r="AD51" s="19">
        <v>19</v>
      </c>
      <c r="AE51" s="61">
        <v>10</v>
      </c>
      <c r="AF51" s="213">
        <v>41</v>
      </c>
      <c r="AG51" s="61">
        <v>20</v>
      </c>
      <c r="AH51" s="19">
        <v>13</v>
      </c>
      <c r="AI51" s="19">
        <v>18</v>
      </c>
      <c r="AJ51" s="61">
        <v>0</v>
      </c>
      <c r="AK51" s="213">
        <v>51</v>
      </c>
      <c r="AL51" s="61">
        <v>15</v>
      </c>
      <c r="AM51" s="19">
        <v>19</v>
      </c>
      <c r="AN51" s="61">
        <v>14</v>
      </c>
      <c r="AO51" s="19">
        <v>4</v>
      </c>
      <c r="AP51" s="213">
        <v>52</v>
      </c>
      <c r="AQ51" s="61">
        <v>12</v>
      </c>
      <c r="AR51" s="19">
        <v>6</v>
      </c>
      <c r="AS51" s="137">
        <v>18</v>
      </c>
      <c r="AT51" s="61">
        <v>16</v>
      </c>
      <c r="AU51" s="279">
        <v>34</v>
      </c>
      <c r="AV51" s="19">
        <v>4</v>
      </c>
      <c r="AW51" s="213">
        <v>38</v>
      </c>
      <c r="AX51" s="97"/>
    </row>
    <row r="52" spans="2:50" ht="13.9" customHeight="1">
      <c r="B52" s="20" t="s">
        <v>5</v>
      </c>
      <c r="C52" s="21"/>
      <c r="D52" s="21">
        <f>D51/C51-1</f>
        <v>-6.1944444444444358E-2</v>
      </c>
      <c r="E52" s="21">
        <f>E51/D51-1</f>
        <v>-0.22327509623926567</v>
      </c>
      <c r="F52" s="21">
        <f>F51/E51-1</f>
        <v>-0.18757148303469329</v>
      </c>
      <c r="G52" s="211"/>
      <c r="H52" s="212"/>
      <c r="I52" s="212">
        <f>I51/H51-1</f>
        <v>-0.3229273285568065</v>
      </c>
      <c r="J52" s="212">
        <f>J51/I51-1</f>
        <v>0.17460317460317443</v>
      </c>
      <c r="K52" s="212">
        <f>K51/J51-1</f>
        <v>-0.43050193050193064</v>
      </c>
      <c r="L52" s="211"/>
      <c r="M52" s="212">
        <f>M51/K51-1</f>
        <v>1.259887005649718</v>
      </c>
      <c r="N52" s="212">
        <f>N51/M51-1</f>
        <v>-0.18399999999999994</v>
      </c>
      <c r="O52" s="212">
        <f>O51/N51-1</f>
        <v>-0.83762254901960786</v>
      </c>
      <c r="P52" s="216" t="s">
        <v>23</v>
      </c>
      <c r="Q52" s="211"/>
      <c r="R52" s="212">
        <v>10.458333333333238</v>
      </c>
      <c r="S52" s="212">
        <v>-4.5454545454545414E-2</v>
      </c>
      <c r="T52" s="216" t="s">
        <v>23</v>
      </c>
      <c r="U52" s="216" t="s">
        <v>23</v>
      </c>
      <c r="V52" s="211"/>
      <c r="W52" s="216" t="s">
        <v>23</v>
      </c>
      <c r="X52" s="216" t="s">
        <v>23</v>
      </c>
      <c r="Y52" s="212">
        <v>-0.18181818181818177</v>
      </c>
      <c r="Z52" s="212">
        <v>-0.55555555555555558</v>
      </c>
      <c r="AA52" s="211"/>
      <c r="AB52" s="31" t="s">
        <v>23</v>
      </c>
      <c r="AC52" s="31" t="s">
        <v>23</v>
      </c>
      <c r="AD52" s="21">
        <v>0.1875</v>
      </c>
      <c r="AE52" s="21">
        <v>-0.47368421052631582</v>
      </c>
      <c r="AF52" s="211"/>
      <c r="AG52" s="21">
        <v>1</v>
      </c>
      <c r="AH52" s="31" t="s">
        <v>23</v>
      </c>
      <c r="AI52" s="21">
        <v>0.38461538461538458</v>
      </c>
      <c r="AJ52" s="31" t="s">
        <v>23</v>
      </c>
      <c r="AK52" s="211"/>
      <c r="AL52" s="31" t="s">
        <v>23</v>
      </c>
      <c r="AM52" s="21">
        <v>0.26666666666666661</v>
      </c>
      <c r="AN52" s="21">
        <v>-0.26315789473684215</v>
      </c>
      <c r="AO52" s="21">
        <v>-0.7142857142857143</v>
      </c>
      <c r="AP52" s="211"/>
      <c r="AQ52" s="21">
        <v>2</v>
      </c>
      <c r="AR52" s="21">
        <v>-0.5</v>
      </c>
      <c r="AS52" s="138"/>
      <c r="AT52" s="21">
        <v>1.6666666666666665</v>
      </c>
      <c r="AU52" s="277"/>
      <c r="AV52" s="21">
        <v>-0.75</v>
      </c>
      <c r="AW52" s="211"/>
    </row>
    <row r="53" spans="2:50" ht="13.9" customHeight="1">
      <c r="B53" s="20" t="s">
        <v>6</v>
      </c>
      <c r="C53" s="22"/>
      <c r="D53" s="22"/>
      <c r="E53" s="22"/>
      <c r="F53" s="22"/>
      <c r="G53" s="211"/>
      <c r="H53" s="211"/>
      <c r="I53" s="211"/>
      <c r="J53" s="211"/>
      <c r="K53" s="211"/>
      <c r="L53" s="211">
        <f t="shared" ref="L53:P53" si="13">L51/G51-1</f>
        <v>-0.51274401159321459</v>
      </c>
      <c r="M53" s="211">
        <f t="shared" si="13"/>
        <v>2.3541453428863823E-2</v>
      </c>
      <c r="N53" s="211">
        <f t="shared" si="13"/>
        <v>0.23356009070294781</v>
      </c>
      <c r="O53" s="211">
        <f t="shared" si="13"/>
        <v>-0.82947232947232952</v>
      </c>
      <c r="P53" s="211">
        <f t="shared" si="13"/>
        <v>-0.78305084745762521</v>
      </c>
      <c r="Q53" s="211">
        <v>-0.28463960811756439</v>
      </c>
      <c r="R53" s="211">
        <v>0.10000000000000009</v>
      </c>
      <c r="S53" s="211">
        <v>0.28676470588235281</v>
      </c>
      <c r="T53" s="216" t="s">
        <v>23</v>
      </c>
      <c r="U53" s="211">
        <v>8.3749999999999218</v>
      </c>
      <c r="V53" s="211">
        <v>-7.0677427243825197E-2</v>
      </c>
      <c r="W53" s="216" t="s">
        <v>23</v>
      </c>
      <c r="X53" s="211">
        <v>-0.47619047619047616</v>
      </c>
      <c r="Y53" s="216" t="s">
        <v>23</v>
      </c>
      <c r="Z53" s="211">
        <v>-0.77777777777777779</v>
      </c>
      <c r="AA53" s="211">
        <v>-0.57894736842105265</v>
      </c>
      <c r="AB53" s="22">
        <v>-0.5</v>
      </c>
      <c r="AC53" s="22">
        <v>0.45454545454545459</v>
      </c>
      <c r="AD53" s="22">
        <v>1.1111111111111112</v>
      </c>
      <c r="AE53" s="22">
        <v>1.5</v>
      </c>
      <c r="AF53" s="211">
        <v>1.5625</v>
      </c>
      <c r="AG53" s="31" t="s">
        <v>23</v>
      </c>
      <c r="AH53" s="22">
        <v>-0.1875</v>
      </c>
      <c r="AI53" s="22">
        <v>-5.2631578947368474E-2</v>
      </c>
      <c r="AJ53" s="31" t="s">
        <v>23</v>
      </c>
      <c r="AK53" s="211">
        <v>0.24390243902439024</v>
      </c>
      <c r="AL53" s="22">
        <v>-0.25</v>
      </c>
      <c r="AM53" s="22">
        <v>0.46153846153846145</v>
      </c>
      <c r="AN53" s="22">
        <v>-0.22222222222222221</v>
      </c>
      <c r="AO53" s="31" t="s">
        <v>23</v>
      </c>
      <c r="AP53" s="211">
        <v>1.9607843137254832E-2</v>
      </c>
      <c r="AQ53" s="22">
        <v>-0.19999999999999996</v>
      </c>
      <c r="AR53" s="22">
        <v>-0.68421052631578949</v>
      </c>
      <c r="AS53" s="139"/>
      <c r="AT53" s="22">
        <v>0.14285714285714279</v>
      </c>
      <c r="AU53" s="278"/>
      <c r="AV53" s="22">
        <v>0</v>
      </c>
      <c r="AW53" s="211">
        <v>-0.26923076923076927</v>
      </c>
    </row>
    <row r="54" spans="2:50" ht="13.9" customHeight="1">
      <c r="B54" s="12" t="s">
        <v>390</v>
      </c>
      <c r="C54" s="155">
        <f t="shared" ref="C54:P54" si="14">C51/C8</f>
        <v>9.375E-2</v>
      </c>
      <c r="D54" s="155">
        <f t="shared" si="14"/>
        <v>8.2972972972972986E-2</v>
      </c>
      <c r="E54" s="155">
        <f t="shared" si="14"/>
        <v>7.1471389645776567E-2</v>
      </c>
      <c r="F54" s="155">
        <f t="shared" si="14"/>
        <v>5.6226912928759878E-2</v>
      </c>
      <c r="G54" s="219">
        <f t="shared" si="14"/>
        <v>7.6324007807417049E-2</v>
      </c>
      <c r="H54" s="219">
        <f t="shared" si="14"/>
        <v>5.5511363636363636E-2</v>
      </c>
      <c r="I54" s="219">
        <f t="shared" si="14"/>
        <v>3.9375E-2</v>
      </c>
      <c r="J54" s="219">
        <f t="shared" si="14"/>
        <v>4.6666666666666662E-2</v>
      </c>
      <c r="K54" s="219">
        <f t="shared" si="14"/>
        <v>2.3918918918918914E-2</v>
      </c>
      <c r="L54" s="219">
        <f t="shared" si="14"/>
        <v>4.1092739036664265E-2</v>
      </c>
      <c r="M54" s="219">
        <f t="shared" si="14"/>
        <v>5.865102639296188E-2</v>
      </c>
      <c r="N54" s="219">
        <f t="shared" si="14"/>
        <v>4.8141592920353984E-2</v>
      </c>
      <c r="O54" s="219">
        <f t="shared" si="14"/>
        <v>8.0547112462006042E-3</v>
      </c>
      <c r="P54" s="219">
        <f t="shared" si="14"/>
        <v>5.8181818181818664E-3</v>
      </c>
      <c r="Q54" s="219">
        <v>3.0537714712472006E-2</v>
      </c>
      <c r="R54" s="219">
        <v>6.9400630914826497E-2</v>
      </c>
      <c r="S54" s="219">
        <v>6.6878980891719744E-2</v>
      </c>
      <c r="T54" s="219">
        <v>-7.301587301587302E-2</v>
      </c>
      <c r="U54" s="219">
        <v>5.5384615384615386E-2</v>
      </c>
      <c r="V54" s="219">
        <v>2.9897718332022032E-2</v>
      </c>
      <c r="W54" s="219">
        <v>-2.564102564102564E-2</v>
      </c>
      <c r="X54" s="219">
        <v>3.5483870967741936E-2</v>
      </c>
      <c r="Y54" s="219">
        <v>3.1358885017421602E-2</v>
      </c>
      <c r="Z54" s="219">
        <v>1.2195121951219513E-2</v>
      </c>
      <c r="AA54" s="219">
        <v>1.2934518997574777E-2</v>
      </c>
      <c r="AB54" s="155">
        <v>-1.3029315960912053E-2</v>
      </c>
      <c r="AC54" s="155">
        <v>5.2980132450331126E-2</v>
      </c>
      <c r="AD54" s="155">
        <v>6.1093247588424437E-2</v>
      </c>
      <c r="AE54" s="155">
        <v>3.1347962382445138E-2</v>
      </c>
      <c r="AF54" s="219">
        <v>3.3091202582728005E-2</v>
      </c>
      <c r="AG54" s="155">
        <v>6.4102564102564097E-2</v>
      </c>
      <c r="AH54" s="155">
        <v>4.4368600682593858E-2</v>
      </c>
      <c r="AI54" s="155">
        <v>5.9405940594059403E-2</v>
      </c>
      <c r="AJ54" s="155">
        <v>0</v>
      </c>
      <c r="AK54" s="219">
        <v>4.2079207920792082E-2</v>
      </c>
      <c r="AL54" s="155">
        <v>5.1903114186851208E-2</v>
      </c>
      <c r="AM54" s="155">
        <v>7.2796934865900387E-2</v>
      </c>
      <c r="AN54" s="155">
        <v>5.185185185185185E-2</v>
      </c>
      <c r="AO54" s="155">
        <v>1.4035087719298246E-2</v>
      </c>
      <c r="AP54" s="219">
        <v>4.7058823529411764E-2</v>
      </c>
      <c r="AQ54" s="155">
        <v>4.3956043956043959E-2</v>
      </c>
      <c r="AR54" s="155">
        <v>2.2813688212927757E-2</v>
      </c>
      <c r="AS54" s="156">
        <v>3.3582089552238806E-2</v>
      </c>
      <c r="AT54" s="155">
        <v>5.6939501779359428E-2</v>
      </c>
      <c r="AU54" s="280">
        <v>4.1615667074663402E-2</v>
      </c>
      <c r="AV54" s="155">
        <v>1.5209125475285171E-2</v>
      </c>
      <c r="AW54" s="219">
        <v>3.5185185185185187E-2</v>
      </c>
    </row>
    <row r="55" spans="2:50" ht="3.75" customHeight="1"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  <c r="AW55" s="186"/>
    </row>
    <row r="56" spans="2:50" ht="12.75" customHeight="1">
      <c r="B56" s="6" t="s">
        <v>444</v>
      </c>
      <c r="C56" s="155"/>
      <c r="D56" s="155"/>
      <c r="E56" s="155"/>
      <c r="F56" s="155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</row>
    <row r="57" spans="2:50" ht="30" customHeight="1">
      <c r="B57" s="177" t="s">
        <v>12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  <c r="AW57" s="185"/>
    </row>
    <row r="58" spans="2:50" ht="13.9" customHeight="1">
      <c r="B58" s="201" t="s">
        <v>39</v>
      </c>
      <c r="C58" s="209"/>
      <c r="D58" s="209"/>
      <c r="E58" s="209"/>
      <c r="F58" s="209"/>
      <c r="G58" s="122"/>
      <c r="H58" s="209"/>
      <c r="I58" s="209"/>
      <c r="J58" s="209"/>
      <c r="K58" s="209"/>
      <c r="L58" s="122"/>
      <c r="M58" s="209"/>
      <c r="N58" s="209"/>
      <c r="O58" s="209"/>
      <c r="P58" s="209"/>
      <c r="Q58" s="122"/>
      <c r="R58" s="209"/>
      <c r="S58" s="209"/>
      <c r="T58" s="209"/>
      <c r="U58" s="209"/>
      <c r="V58" s="122"/>
      <c r="W58" s="209"/>
      <c r="X58" s="209"/>
      <c r="Y58" s="209"/>
      <c r="Z58" s="209"/>
      <c r="AA58" s="122"/>
      <c r="AB58" s="209"/>
      <c r="AC58" s="209"/>
      <c r="AD58" s="209"/>
      <c r="AE58" s="209"/>
      <c r="AF58" s="122"/>
      <c r="AG58" s="209"/>
      <c r="AH58" s="209"/>
      <c r="AI58" s="209"/>
      <c r="AJ58" s="209"/>
      <c r="AK58" s="122"/>
      <c r="AL58" s="209"/>
      <c r="AM58" s="209"/>
      <c r="AN58" s="209"/>
      <c r="AO58" s="209"/>
      <c r="AP58" s="122"/>
      <c r="AQ58" s="209"/>
      <c r="AR58" s="209"/>
      <c r="AS58" s="209"/>
      <c r="AT58" s="209"/>
      <c r="AU58" s="209"/>
      <c r="AV58" s="209"/>
      <c r="AW58" s="122"/>
    </row>
    <row r="59" spans="2:50" ht="13.9" customHeight="1">
      <c r="B59" s="12" t="s">
        <v>9</v>
      </c>
      <c r="C59" s="19">
        <v>52</v>
      </c>
      <c r="D59" s="19">
        <v>69</v>
      </c>
      <c r="E59" s="19">
        <v>74</v>
      </c>
      <c r="F59" s="19">
        <f>G59-E59-D59-C59</f>
        <v>82</v>
      </c>
      <c r="G59" s="210">
        <v>277</v>
      </c>
      <c r="H59" s="210">
        <v>67</v>
      </c>
      <c r="I59" s="210">
        <v>54</v>
      </c>
      <c r="J59" s="210">
        <v>73</v>
      </c>
      <c r="K59" s="214">
        <f>L59-J59-I59-H59</f>
        <v>106</v>
      </c>
      <c r="L59" s="210">
        <v>300</v>
      </c>
      <c r="M59" s="210">
        <v>56</v>
      </c>
      <c r="N59" s="210">
        <v>48</v>
      </c>
      <c r="O59" s="210">
        <v>64</v>
      </c>
      <c r="P59" s="210">
        <f>Q59-O59-N59-M59</f>
        <v>87</v>
      </c>
      <c r="Q59" s="210">
        <v>255</v>
      </c>
      <c r="R59" s="210">
        <v>60</v>
      </c>
      <c r="S59" s="210">
        <v>48</v>
      </c>
      <c r="T59" s="210">
        <v>47</v>
      </c>
      <c r="U59" s="210">
        <v>75</v>
      </c>
      <c r="V59" s="210">
        <v>230</v>
      </c>
      <c r="W59" s="210">
        <v>61</v>
      </c>
      <c r="X59" s="210">
        <v>26</v>
      </c>
      <c r="Y59" s="210">
        <v>96</v>
      </c>
      <c r="Z59" s="214">
        <v>-52</v>
      </c>
      <c r="AA59" s="210">
        <v>131</v>
      </c>
      <c r="AB59" s="19">
        <v>112</v>
      </c>
      <c r="AC59" s="19">
        <v>37</v>
      </c>
      <c r="AD59" s="19">
        <v>5</v>
      </c>
      <c r="AE59" s="61">
        <v>56</v>
      </c>
      <c r="AF59" s="210">
        <v>210</v>
      </c>
      <c r="AG59" s="19">
        <v>19</v>
      </c>
      <c r="AH59" s="19">
        <v>57</v>
      </c>
      <c r="AI59" s="19">
        <v>36</v>
      </c>
      <c r="AJ59" s="19">
        <v>45</v>
      </c>
      <c r="AK59" s="210">
        <v>157</v>
      </c>
      <c r="AL59" s="19">
        <v>49</v>
      </c>
      <c r="AM59" s="19">
        <v>19</v>
      </c>
      <c r="AN59" s="19">
        <v>51</v>
      </c>
      <c r="AO59" s="19">
        <v>55</v>
      </c>
      <c r="AP59" s="210">
        <v>174</v>
      </c>
      <c r="AQ59" s="19">
        <v>42</v>
      </c>
      <c r="AR59" s="19">
        <v>24</v>
      </c>
      <c r="AS59" s="137">
        <v>66</v>
      </c>
      <c r="AT59" s="19">
        <v>36</v>
      </c>
      <c r="AU59" s="279">
        <v>102</v>
      </c>
      <c r="AV59" s="19">
        <v>30</v>
      </c>
      <c r="AW59" s="210">
        <v>132</v>
      </c>
    </row>
    <row r="60" spans="2:50" ht="13.9" customHeight="1">
      <c r="B60" s="20" t="s">
        <v>5</v>
      </c>
      <c r="C60" s="21"/>
      <c r="D60" s="21">
        <f>D59/C59-1</f>
        <v>0.32692307692307687</v>
      </c>
      <c r="E60" s="21">
        <f>E59/D59-1</f>
        <v>7.2463768115942129E-2</v>
      </c>
      <c r="F60" s="21">
        <f>F59/E59-1</f>
        <v>0.10810810810810811</v>
      </c>
      <c r="G60" s="211"/>
      <c r="H60" s="212">
        <f>H59/F59-1</f>
        <v>-0.18292682926829273</v>
      </c>
      <c r="I60" s="212">
        <f>I59/H59-1</f>
        <v>-0.19402985074626866</v>
      </c>
      <c r="J60" s="212">
        <f>J59/I59-1</f>
        <v>0.35185185185185186</v>
      </c>
      <c r="K60" s="212">
        <f>K59/J59-1</f>
        <v>0.45205479452054798</v>
      </c>
      <c r="L60" s="211"/>
      <c r="M60" s="212">
        <f>M59/K59-1</f>
        <v>-0.47169811320754718</v>
      </c>
      <c r="N60" s="212">
        <f>N59/M59-1</f>
        <v>-0.1428571428571429</v>
      </c>
      <c r="O60" s="212">
        <f>O59/N59-1</f>
        <v>0.33333333333333326</v>
      </c>
      <c r="P60" s="212">
        <f>P59/O59-1</f>
        <v>0.359375</v>
      </c>
      <c r="Q60" s="211"/>
      <c r="R60" s="212">
        <v>-0.31034482758620685</v>
      </c>
      <c r="S60" s="212">
        <v>-0.19999999999999996</v>
      </c>
      <c r="T60" s="212">
        <v>-2.083333333333337E-2</v>
      </c>
      <c r="U60" s="212">
        <v>0.5957446808510638</v>
      </c>
      <c r="V60" s="211"/>
      <c r="W60" s="212">
        <v>-0.18666666666666665</v>
      </c>
      <c r="X60" s="212">
        <v>-0.57377049180327866</v>
      </c>
      <c r="Y60" s="212">
        <v>2.6923076923076925</v>
      </c>
      <c r="Z60" s="216" t="s">
        <v>23</v>
      </c>
      <c r="AA60" s="211"/>
      <c r="AB60" s="21">
        <v>-3.1538461538461537</v>
      </c>
      <c r="AC60" s="21">
        <v>-0.66964285714285721</v>
      </c>
      <c r="AD60" s="21">
        <v>-0.86486486486486491</v>
      </c>
      <c r="AE60" s="31" t="s">
        <v>23</v>
      </c>
      <c r="AF60" s="211"/>
      <c r="AG60" s="21">
        <v>-0.6607142857142857</v>
      </c>
      <c r="AH60" s="21">
        <v>2</v>
      </c>
      <c r="AI60" s="21">
        <v>-0.36842105263157898</v>
      </c>
      <c r="AJ60" s="21">
        <v>0.25</v>
      </c>
      <c r="AK60" s="211"/>
      <c r="AL60" s="21">
        <v>8.8888888888888795E-2</v>
      </c>
      <c r="AM60" s="21">
        <v>-0.61224489795918369</v>
      </c>
      <c r="AN60" s="21">
        <v>1.6842105263157894</v>
      </c>
      <c r="AO60" s="21">
        <v>7.8431372549019551E-2</v>
      </c>
      <c r="AP60" s="211"/>
      <c r="AQ60" s="21">
        <v>-0.23636363636363633</v>
      </c>
      <c r="AR60" s="21">
        <v>-0.4285714285714286</v>
      </c>
      <c r="AS60" s="138"/>
      <c r="AT60" s="21">
        <v>0.5</v>
      </c>
      <c r="AU60" s="277"/>
      <c r="AV60" s="21">
        <v>-0.16666666666666663</v>
      </c>
      <c r="AW60" s="211"/>
    </row>
    <row r="61" spans="2:50" ht="13.9" customHeight="1">
      <c r="B61" s="30" t="s">
        <v>6</v>
      </c>
      <c r="C61" s="22"/>
      <c r="D61" s="22"/>
      <c r="E61" s="22"/>
      <c r="F61" s="22"/>
      <c r="G61" s="211"/>
      <c r="H61" s="211">
        <f t="shared" ref="H61:N61" si="15">H59/C59-1</f>
        <v>0.28846153846153855</v>
      </c>
      <c r="I61" s="211">
        <f t="shared" si="15"/>
        <v>-0.21739130434782605</v>
      </c>
      <c r="J61" s="211">
        <f t="shared" si="15"/>
        <v>-1.3513513513513487E-2</v>
      </c>
      <c r="K61" s="211">
        <f t="shared" si="15"/>
        <v>0.29268292682926833</v>
      </c>
      <c r="L61" s="211">
        <f t="shared" si="15"/>
        <v>8.3032490974729312E-2</v>
      </c>
      <c r="M61" s="211">
        <f t="shared" si="15"/>
        <v>-0.16417910447761197</v>
      </c>
      <c r="N61" s="211">
        <f t="shared" si="15"/>
        <v>-0.11111111111111116</v>
      </c>
      <c r="O61" s="211">
        <f t="shared" ref="O61:P61" si="16">O59/J59-1</f>
        <v>-0.12328767123287676</v>
      </c>
      <c r="P61" s="211">
        <f t="shared" si="16"/>
        <v>-0.17924528301886788</v>
      </c>
      <c r="Q61" s="211">
        <v>-0.15000000000000002</v>
      </c>
      <c r="R61" s="211">
        <v>7.1428571428571397E-2</v>
      </c>
      <c r="S61" s="211">
        <v>0</v>
      </c>
      <c r="T61" s="211">
        <v>-0.265625</v>
      </c>
      <c r="U61" s="211">
        <v>-0.13793103448275867</v>
      </c>
      <c r="V61" s="211">
        <v>-9.8039215686274495E-2</v>
      </c>
      <c r="W61" s="211">
        <v>1.6666666666666607E-2</v>
      </c>
      <c r="X61" s="211">
        <v>-0.45833333333333337</v>
      </c>
      <c r="Y61" s="211">
        <v>1.0425531914893615</v>
      </c>
      <c r="Z61" s="216" t="s">
        <v>23</v>
      </c>
      <c r="AA61" s="211">
        <v>-0.43043478260869561</v>
      </c>
      <c r="AB61" s="22">
        <v>0.83606557377049184</v>
      </c>
      <c r="AC61" s="22">
        <v>0.42307692307692313</v>
      </c>
      <c r="AD61" s="22">
        <v>-0.94791666666666663</v>
      </c>
      <c r="AE61" s="31" t="s">
        <v>23</v>
      </c>
      <c r="AF61" s="211">
        <v>0.60305343511450382</v>
      </c>
      <c r="AG61" s="22">
        <v>-0.83035714285714279</v>
      </c>
      <c r="AH61" s="22">
        <v>0.54054054054054057</v>
      </c>
      <c r="AI61" s="22">
        <v>6.2</v>
      </c>
      <c r="AJ61" s="22">
        <v>-0.1964285714285714</v>
      </c>
      <c r="AK61" s="211">
        <v>-0.25238095238095237</v>
      </c>
      <c r="AL61" s="22">
        <v>1.5789473684210527</v>
      </c>
      <c r="AM61" s="22">
        <v>-0.66666666666666674</v>
      </c>
      <c r="AN61" s="22">
        <v>0.41666666666666674</v>
      </c>
      <c r="AO61" s="22">
        <v>0.22222222222222232</v>
      </c>
      <c r="AP61" s="211">
        <v>0.10828025477707004</v>
      </c>
      <c r="AQ61" s="22">
        <v>-0.1428571428571429</v>
      </c>
      <c r="AR61" s="22">
        <v>0.26315789473684204</v>
      </c>
      <c r="AS61" s="139"/>
      <c r="AT61" s="22">
        <v>-0.29411764705882348</v>
      </c>
      <c r="AU61" s="278"/>
      <c r="AV61" s="22">
        <v>-0.45454545454545459</v>
      </c>
      <c r="AW61" s="211">
        <v>-0.24137931034482762</v>
      </c>
    </row>
    <row r="62" spans="2:50" ht="13.9" customHeight="1">
      <c r="B62" s="12" t="s">
        <v>243</v>
      </c>
      <c r="C62" s="19">
        <f>7+13+9</f>
        <v>29</v>
      </c>
      <c r="D62" s="19">
        <f>14+13+19</f>
        <v>46</v>
      </c>
      <c r="E62" s="19">
        <f>19+7+5</f>
        <v>31</v>
      </c>
      <c r="F62" s="19">
        <f>G62-E62-D62-C62</f>
        <v>36</v>
      </c>
      <c r="G62" s="210">
        <f>57+42+43</f>
        <v>142</v>
      </c>
      <c r="H62" s="210">
        <f>8+10+13</f>
        <v>31</v>
      </c>
      <c r="I62" s="210">
        <f>14+14+16</f>
        <v>44</v>
      </c>
      <c r="J62" s="210">
        <v>26</v>
      </c>
      <c r="K62" s="214">
        <f>L62-J62-I62-H62</f>
        <v>26</v>
      </c>
      <c r="L62" s="210">
        <v>127</v>
      </c>
      <c r="M62" s="210">
        <f>7+13+13</f>
        <v>33</v>
      </c>
      <c r="N62" s="210">
        <f>15+8+11</f>
        <v>34</v>
      </c>
      <c r="O62" s="210">
        <f>10+14+16</f>
        <v>40</v>
      </c>
      <c r="P62" s="210">
        <f>Q62-O62-N62-M62</f>
        <v>21</v>
      </c>
      <c r="Q62" s="210">
        <v>128</v>
      </c>
      <c r="R62" s="210">
        <v>34</v>
      </c>
      <c r="S62" s="210">
        <v>33</v>
      </c>
      <c r="T62" s="210">
        <v>28</v>
      </c>
      <c r="U62" s="210">
        <v>21</v>
      </c>
      <c r="V62" s="210">
        <v>116</v>
      </c>
      <c r="W62" s="210">
        <v>30</v>
      </c>
      <c r="X62" s="210">
        <v>28</v>
      </c>
      <c r="Y62" s="210">
        <v>27</v>
      </c>
      <c r="Z62" s="210">
        <v>15</v>
      </c>
      <c r="AA62" s="210">
        <v>100</v>
      </c>
      <c r="AB62" s="19">
        <v>26</v>
      </c>
      <c r="AC62" s="19">
        <v>28</v>
      </c>
      <c r="AD62" s="19">
        <v>23</v>
      </c>
      <c r="AE62" s="19">
        <v>17</v>
      </c>
      <c r="AF62" s="210">
        <v>94</v>
      </c>
      <c r="AG62" s="19">
        <v>13</v>
      </c>
      <c r="AH62" s="19">
        <v>20</v>
      </c>
      <c r="AI62" s="19">
        <v>26</v>
      </c>
      <c r="AJ62" s="19">
        <v>37</v>
      </c>
      <c r="AK62" s="210">
        <v>96</v>
      </c>
      <c r="AL62" s="19">
        <v>14</v>
      </c>
      <c r="AM62" s="19">
        <v>19</v>
      </c>
      <c r="AN62" s="19">
        <v>21</v>
      </c>
      <c r="AO62" s="19">
        <v>27</v>
      </c>
      <c r="AP62" s="210">
        <v>81</v>
      </c>
      <c r="AQ62" s="19">
        <v>12</v>
      </c>
      <c r="AR62" s="19">
        <v>15</v>
      </c>
      <c r="AS62" s="137">
        <v>27</v>
      </c>
      <c r="AT62" s="19">
        <v>14</v>
      </c>
      <c r="AU62" s="279">
        <v>41</v>
      </c>
      <c r="AV62" s="19">
        <v>17</v>
      </c>
      <c r="AW62" s="210">
        <v>58</v>
      </c>
    </row>
    <row r="63" spans="2:50" ht="13.9" customHeight="1">
      <c r="B63" s="20" t="s">
        <v>5</v>
      </c>
      <c r="C63" s="21"/>
      <c r="D63" s="21">
        <f>D62/C62-1</f>
        <v>0.5862068965517242</v>
      </c>
      <c r="E63" s="21">
        <f>E62/D62-1</f>
        <v>-0.32608695652173914</v>
      </c>
      <c r="F63" s="21">
        <f>F62/E62-1</f>
        <v>0.16129032258064524</v>
      </c>
      <c r="G63" s="211"/>
      <c r="H63" s="212">
        <f>H62/F62-1</f>
        <v>-0.13888888888888884</v>
      </c>
      <c r="I63" s="212">
        <f>I62/H62-1</f>
        <v>0.41935483870967749</v>
      </c>
      <c r="J63" s="212">
        <f>J62/I62-1</f>
        <v>-0.40909090909090906</v>
      </c>
      <c r="K63" s="212">
        <f>K62/J62-1</f>
        <v>0</v>
      </c>
      <c r="L63" s="211"/>
      <c r="M63" s="212">
        <f>M62/K62-1</f>
        <v>0.26923076923076916</v>
      </c>
      <c r="N63" s="212">
        <f>N62/M62-1</f>
        <v>3.0303030303030276E-2</v>
      </c>
      <c r="O63" s="212">
        <f>O62/N62-1</f>
        <v>0.17647058823529416</v>
      </c>
      <c r="P63" s="212">
        <f>P62/O62-1</f>
        <v>-0.47499999999999998</v>
      </c>
      <c r="Q63" s="211"/>
      <c r="R63" s="212">
        <v>0.61904761904761907</v>
      </c>
      <c r="S63" s="212">
        <v>-2.9411764705882359E-2</v>
      </c>
      <c r="T63" s="212">
        <v>-0.15151515151515149</v>
      </c>
      <c r="U63" s="212">
        <v>-0.25</v>
      </c>
      <c r="V63" s="211"/>
      <c r="W63" s="212">
        <v>0.4285714285714286</v>
      </c>
      <c r="X63" s="212">
        <v>-6.6666666666666652E-2</v>
      </c>
      <c r="Y63" s="212">
        <v>-3.5714285714285698E-2</v>
      </c>
      <c r="Z63" s="212">
        <v>-0.44444444444444442</v>
      </c>
      <c r="AA63" s="211"/>
      <c r="AB63" s="21">
        <v>0.73333333333333339</v>
      </c>
      <c r="AC63" s="21">
        <v>7.6923076923076872E-2</v>
      </c>
      <c r="AD63" s="21">
        <v>-0.1785714285714286</v>
      </c>
      <c r="AE63" s="21">
        <v>-0.26086956521739135</v>
      </c>
      <c r="AF63" s="211"/>
      <c r="AG63" s="21">
        <v>-0.23529411764705888</v>
      </c>
      <c r="AH63" s="21">
        <v>0.53846153846153855</v>
      </c>
      <c r="AI63" s="21">
        <v>0.30000000000000004</v>
      </c>
      <c r="AJ63" s="21">
        <v>0.42307692307692313</v>
      </c>
      <c r="AK63" s="211"/>
      <c r="AL63" s="21">
        <v>-0.6216216216216216</v>
      </c>
      <c r="AM63" s="21">
        <v>0.35714285714285721</v>
      </c>
      <c r="AN63" s="21">
        <v>0.10526315789473695</v>
      </c>
      <c r="AO63" s="21">
        <v>0.28571428571428581</v>
      </c>
      <c r="AP63" s="211"/>
      <c r="AQ63" s="21">
        <v>-0.55555555555555558</v>
      </c>
      <c r="AR63" s="21">
        <v>0.25</v>
      </c>
      <c r="AS63" s="138"/>
      <c r="AT63" s="21">
        <v>-6.6666666666666652E-2</v>
      </c>
      <c r="AU63" s="277"/>
      <c r="AV63" s="21">
        <v>0.21428571428571419</v>
      </c>
      <c r="AW63" s="211"/>
    </row>
    <row r="64" spans="2:50" ht="13.9" customHeight="1">
      <c r="B64" s="20" t="s">
        <v>6</v>
      </c>
      <c r="C64" s="22"/>
      <c r="D64" s="22"/>
      <c r="E64" s="22"/>
      <c r="F64" s="22"/>
      <c r="G64" s="211"/>
      <c r="H64" s="211">
        <f t="shared" ref="H64:M64" si="17">H62/C62-1</f>
        <v>6.8965517241379226E-2</v>
      </c>
      <c r="I64" s="211">
        <f t="shared" si="17"/>
        <v>-4.3478260869565188E-2</v>
      </c>
      <c r="J64" s="211">
        <f t="shared" si="17"/>
        <v>-0.16129032258064513</v>
      </c>
      <c r="K64" s="211">
        <f t="shared" si="17"/>
        <v>-0.27777777777777779</v>
      </c>
      <c r="L64" s="211">
        <f t="shared" si="17"/>
        <v>-0.10563380281690138</v>
      </c>
      <c r="M64" s="211">
        <f t="shared" si="17"/>
        <v>6.4516129032258007E-2</v>
      </c>
      <c r="N64" s="211">
        <f t="shared" ref="N64:P64" si="18">N62/I62-1</f>
        <v>-0.22727272727272729</v>
      </c>
      <c r="O64" s="211">
        <f t="shared" si="18"/>
        <v>0.53846153846153855</v>
      </c>
      <c r="P64" s="211">
        <f t="shared" si="18"/>
        <v>-0.19230769230769229</v>
      </c>
      <c r="Q64" s="211">
        <v>7.8740157480314821E-3</v>
      </c>
      <c r="R64" s="211">
        <v>3.0303030303030276E-2</v>
      </c>
      <c r="S64" s="211">
        <v>-2.9411764705882359E-2</v>
      </c>
      <c r="T64" s="211">
        <v>-0.30000000000000004</v>
      </c>
      <c r="U64" s="211">
        <v>0</v>
      </c>
      <c r="V64" s="211">
        <v>-9.375E-2</v>
      </c>
      <c r="W64" s="211">
        <v>-0.11764705882352944</v>
      </c>
      <c r="X64" s="211">
        <v>-0.15151515151515149</v>
      </c>
      <c r="Y64" s="211">
        <v>-3.5714285714285698E-2</v>
      </c>
      <c r="Z64" s="211">
        <v>-0.2857142857142857</v>
      </c>
      <c r="AA64" s="211">
        <v>-0.13793103448275867</v>
      </c>
      <c r="AB64" s="22">
        <v>-0.1333333333333333</v>
      </c>
      <c r="AC64" s="22">
        <v>0</v>
      </c>
      <c r="AD64" s="22">
        <v>-0.14814814814814814</v>
      </c>
      <c r="AE64" s="22">
        <v>0.1333333333333333</v>
      </c>
      <c r="AF64" s="211">
        <v>-6.0000000000000053E-2</v>
      </c>
      <c r="AG64" s="22">
        <v>-0.5</v>
      </c>
      <c r="AH64" s="22">
        <v>-0.2857142857142857</v>
      </c>
      <c r="AI64" s="22">
        <v>0.13043478260869557</v>
      </c>
      <c r="AJ64" s="22">
        <v>1.1764705882352939</v>
      </c>
      <c r="AK64" s="211">
        <v>2.1276595744680771E-2</v>
      </c>
      <c r="AL64" s="22">
        <v>7.6923076923076872E-2</v>
      </c>
      <c r="AM64" s="22">
        <v>-5.0000000000000044E-2</v>
      </c>
      <c r="AN64" s="22">
        <v>-0.19230769230769229</v>
      </c>
      <c r="AO64" s="22">
        <v>-0.27027027027027029</v>
      </c>
      <c r="AP64" s="211">
        <v>-0.15625</v>
      </c>
      <c r="AQ64" s="22">
        <v>-0.1428571428571429</v>
      </c>
      <c r="AR64" s="22">
        <v>-0.21052631578947367</v>
      </c>
      <c r="AS64" s="139"/>
      <c r="AT64" s="22">
        <v>-0.33333333333333337</v>
      </c>
      <c r="AU64" s="278"/>
      <c r="AV64" s="22">
        <v>-0.37037037037037035</v>
      </c>
      <c r="AW64" s="211">
        <v>-0.28395061728395066</v>
      </c>
    </row>
    <row r="65" spans="2:49" ht="13.9" customHeight="1">
      <c r="B65" s="12" t="s">
        <v>393</v>
      </c>
      <c r="C65" s="155">
        <f t="shared" ref="C65:P65" si="19">C62/C8</f>
        <v>7.5520833333333329E-2</v>
      </c>
      <c r="D65" s="155">
        <f t="shared" si="19"/>
        <v>0.11302211302211303</v>
      </c>
      <c r="E65" s="155">
        <f t="shared" si="19"/>
        <v>8.4468664850136238E-2</v>
      </c>
      <c r="F65" s="155">
        <f t="shared" si="19"/>
        <v>9.498680738786279E-2</v>
      </c>
      <c r="G65" s="219">
        <f t="shared" si="19"/>
        <v>9.2387768379960961E-2</v>
      </c>
      <c r="H65" s="219">
        <f t="shared" si="19"/>
        <v>8.8068181818181823E-2</v>
      </c>
      <c r="I65" s="219">
        <f t="shared" si="19"/>
        <v>0.13095238095238096</v>
      </c>
      <c r="J65" s="219">
        <f t="shared" si="19"/>
        <v>7.8078078078078081E-2</v>
      </c>
      <c r="K65" s="219">
        <f t="shared" si="19"/>
        <v>7.0270270270270274E-2</v>
      </c>
      <c r="L65" s="219">
        <f t="shared" si="19"/>
        <v>9.1301222142343638E-2</v>
      </c>
      <c r="M65" s="219">
        <f t="shared" si="19"/>
        <v>9.6774193548387094E-2</v>
      </c>
      <c r="N65" s="219">
        <f t="shared" si="19"/>
        <v>0.10029498525073746</v>
      </c>
      <c r="O65" s="219">
        <f t="shared" si="19"/>
        <v>0.12158054711246201</v>
      </c>
      <c r="P65" s="219">
        <f t="shared" si="19"/>
        <v>6.363636363636363E-2</v>
      </c>
      <c r="Q65" s="219">
        <v>9.5593726661687833E-2</v>
      </c>
      <c r="R65" s="219">
        <v>0.10725552050473186</v>
      </c>
      <c r="S65" s="219">
        <v>0.10509554140127389</v>
      </c>
      <c r="T65" s="219">
        <v>8.8888888888888892E-2</v>
      </c>
      <c r="U65" s="219">
        <v>6.4615384615384616E-2</v>
      </c>
      <c r="V65" s="219">
        <v>9.1266719118804088E-2</v>
      </c>
      <c r="W65" s="219">
        <v>9.6153846153846159E-2</v>
      </c>
      <c r="X65" s="219">
        <v>9.0322580645161285E-2</v>
      </c>
      <c r="Y65" s="219">
        <v>9.4076655052264813E-2</v>
      </c>
      <c r="Z65" s="219">
        <v>4.573170731707317E-2</v>
      </c>
      <c r="AA65" s="219">
        <v>8.084074373484236E-2</v>
      </c>
      <c r="AB65" s="155">
        <v>8.4690553745928335E-2</v>
      </c>
      <c r="AC65" s="155">
        <v>9.2715231788079472E-2</v>
      </c>
      <c r="AD65" s="155">
        <v>7.3954983922829579E-2</v>
      </c>
      <c r="AE65" s="155">
        <v>5.329153605015674E-2</v>
      </c>
      <c r="AF65" s="219">
        <v>7.5867635189669089E-2</v>
      </c>
      <c r="AG65" s="155">
        <v>4.1666666666666664E-2</v>
      </c>
      <c r="AH65" s="155">
        <v>6.8259385665529013E-2</v>
      </c>
      <c r="AI65" s="155">
        <v>8.5808580858085806E-2</v>
      </c>
      <c r="AJ65" s="155">
        <v>0.12171052631578948</v>
      </c>
      <c r="AK65" s="219">
        <v>7.9207920792079209E-2</v>
      </c>
      <c r="AL65" s="155">
        <v>4.8442906574394463E-2</v>
      </c>
      <c r="AM65" s="155">
        <v>7.2796934865900387E-2</v>
      </c>
      <c r="AN65" s="155">
        <v>7.7777777777777779E-2</v>
      </c>
      <c r="AO65" s="155">
        <v>9.4736842105263161E-2</v>
      </c>
      <c r="AP65" s="219">
        <v>7.3303167420814483E-2</v>
      </c>
      <c r="AQ65" s="155">
        <v>4.3956043956043959E-2</v>
      </c>
      <c r="AR65" s="155">
        <v>5.7034220532319393E-2</v>
      </c>
      <c r="AS65" s="156">
        <v>5.0373134328358209E-2</v>
      </c>
      <c r="AT65" s="155">
        <v>4.9822064056939501E-2</v>
      </c>
      <c r="AU65" s="280">
        <v>5.0183598531211751E-2</v>
      </c>
      <c r="AV65" s="155">
        <v>6.4638783269961975E-2</v>
      </c>
      <c r="AW65" s="219">
        <v>5.3703703703703705E-2</v>
      </c>
    </row>
    <row r="66" spans="2:49" ht="13.9" customHeight="1">
      <c r="B66" s="12"/>
      <c r="C66" s="155"/>
      <c r="D66" s="155"/>
      <c r="E66" s="155"/>
      <c r="F66" s="155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155"/>
      <c r="AC66" s="155"/>
      <c r="AD66" s="155"/>
      <c r="AE66" s="155"/>
      <c r="AF66" s="219"/>
      <c r="AG66" s="155"/>
      <c r="AH66" s="155"/>
      <c r="AI66" s="155"/>
      <c r="AJ66" s="155"/>
      <c r="AK66" s="219"/>
      <c r="AL66" s="155"/>
      <c r="AM66" s="155"/>
      <c r="AN66" s="155"/>
      <c r="AO66" s="155"/>
      <c r="AP66" s="219"/>
      <c r="AQ66" s="155"/>
      <c r="AR66" s="155"/>
      <c r="AS66" s="156"/>
      <c r="AT66" s="155"/>
      <c r="AU66" s="280"/>
      <c r="AV66" s="155"/>
      <c r="AW66" s="219"/>
    </row>
    <row r="67" spans="2:49" ht="13.9" customHeight="1">
      <c r="B67" s="12" t="s">
        <v>244</v>
      </c>
      <c r="C67" s="19">
        <f>C62</f>
        <v>29</v>
      </c>
      <c r="D67" s="19">
        <f>D62</f>
        <v>46</v>
      </c>
      <c r="E67" s="19">
        <f>E62-2</f>
        <v>29</v>
      </c>
      <c r="F67" s="19">
        <f>G67-E67-D67-C67</f>
        <v>35</v>
      </c>
      <c r="G67" s="210">
        <f>G62-3</f>
        <v>139</v>
      </c>
      <c r="H67" s="210">
        <f>H62</f>
        <v>31</v>
      </c>
      <c r="I67" s="210">
        <f>I62</f>
        <v>44</v>
      </c>
      <c r="J67" s="210">
        <f>J62-1</f>
        <v>25</v>
      </c>
      <c r="K67" s="214">
        <f>L67-J67-I67-H67</f>
        <v>26</v>
      </c>
      <c r="L67" s="210">
        <f>L62-1</f>
        <v>126</v>
      </c>
      <c r="M67" s="210">
        <f>M62</f>
        <v>33</v>
      </c>
      <c r="N67" s="210">
        <f>N62</f>
        <v>34</v>
      </c>
      <c r="O67" s="210">
        <f>O62</f>
        <v>40</v>
      </c>
      <c r="P67" s="210">
        <f>Q67-O67-N67-M67</f>
        <v>21</v>
      </c>
      <c r="Q67" s="210">
        <v>128</v>
      </c>
      <c r="R67" s="210">
        <v>34</v>
      </c>
      <c r="S67" s="210">
        <v>33</v>
      </c>
      <c r="T67" s="210">
        <v>28</v>
      </c>
      <c r="U67" s="210">
        <v>21</v>
      </c>
      <c r="V67" s="210">
        <v>116</v>
      </c>
      <c r="W67" s="210">
        <v>30</v>
      </c>
      <c r="X67" s="210">
        <v>27</v>
      </c>
      <c r="Y67" s="210">
        <v>27</v>
      </c>
      <c r="Z67" s="210">
        <v>14</v>
      </c>
      <c r="AA67" s="210">
        <v>98</v>
      </c>
      <c r="AB67" s="19">
        <v>26</v>
      </c>
      <c r="AC67" s="19">
        <v>27</v>
      </c>
      <c r="AD67" s="19">
        <v>23</v>
      </c>
      <c r="AE67" s="19">
        <v>17</v>
      </c>
      <c r="AF67" s="210">
        <v>93</v>
      </c>
      <c r="AG67" s="19">
        <v>10</v>
      </c>
      <c r="AH67" s="19">
        <v>20</v>
      </c>
      <c r="AI67" s="19">
        <v>26</v>
      </c>
      <c r="AJ67" s="19">
        <v>37</v>
      </c>
      <c r="AK67" s="210">
        <v>93</v>
      </c>
      <c r="AL67" s="19">
        <v>14</v>
      </c>
      <c r="AM67" s="19">
        <v>19</v>
      </c>
      <c r="AN67" s="19">
        <v>21</v>
      </c>
      <c r="AO67" s="19">
        <v>27</v>
      </c>
      <c r="AP67" s="210">
        <v>81</v>
      </c>
      <c r="AQ67" s="19">
        <v>12</v>
      </c>
      <c r="AR67" s="19">
        <v>15</v>
      </c>
      <c r="AS67" s="137">
        <v>27</v>
      </c>
      <c r="AT67" s="19">
        <v>14</v>
      </c>
      <c r="AU67" s="279">
        <v>41</v>
      </c>
      <c r="AV67" s="19">
        <v>17</v>
      </c>
      <c r="AW67" s="210">
        <v>58</v>
      </c>
    </row>
    <row r="68" spans="2:49" ht="13.9" customHeight="1">
      <c r="B68" s="20" t="s">
        <v>5</v>
      </c>
      <c r="C68" s="21"/>
      <c r="D68" s="21">
        <f>D67/C67-1</f>
        <v>0.5862068965517242</v>
      </c>
      <c r="E68" s="21">
        <f>E67/D67-1</f>
        <v>-0.36956521739130432</v>
      </c>
      <c r="F68" s="21">
        <f>F67/E67-1</f>
        <v>0.2068965517241379</v>
      </c>
      <c r="G68" s="211"/>
      <c r="H68" s="212">
        <f>H67/F67-1</f>
        <v>-0.11428571428571432</v>
      </c>
      <c r="I68" s="212">
        <f>I67/H67-1</f>
        <v>0.41935483870967749</v>
      </c>
      <c r="J68" s="212">
        <f>J67/I67-1</f>
        <v>-0.43181818181818177</v>
      </c>
      <c r="K68" s="212">
        <f>K67/J67-1</f>
        <v>4.0000000000000036E-2</v>
      </c>
      <c r="L68" s="211"/>
      <c r="M68" s="212">
        <f>M67/K67-1</f>
        <v>0.26923076923076916</v>
      </c>
      <c r="N68" s="212">
        <f>N67/M67-1</f>
        <v>3.0303030303030276E-2</v>
      </c>
      <c r="O68" s="212">
        <f>O67/N67-1</f>
        <v>0.17647058823529416</v>
      </c>
      <c r="P68" s="212">
        <f>P67/O67-1</f>
        <v>-0.47499999999999998</v>
      </c>
      <c r="Q68" s="211"/>
      <c r="R68" s="212">
        <v>0.61904761904761907</v>
      </c>
      <c r="S68" s="212">
        <v>-2.9411764705882359E-2</v>
      </c>
      <c r="T68" s="212">
        <v>-0.15151515151515149</v>
      </c>
      <c r="U68" s="212">
        <v>-0.25</v>
      </c>
      <c r="V68" s="211"/>
      <c r="W68" s="212">
        <v>0.4285714285714286</v>
      </c>
      <c r="X68" s="212">
        <v>-9.9999999999999978E-2</v>
      </c>
      <c r="Y68" s="212">
        <v>0</v>
      </c>
      <c r="Z68" s="212">
        <v>-0.48148148148148151</v>
      </c>
      <c r="AA68" s="211"/>
      <c r="AB68" s="21">
        <v>0.85714285714285721</v>
      </c>
      <c r="AC68" s="21">
        <v>3.8461538461538547E-2</v>
      </c>
      <c r="AD68" s="21">
        <v>-0.14814814814814814</v>
      </c>
      <c r="AE68" s="21">
        <v>-0.26086956521739135</v>
      </c>
      <c r="AF68" s="211"/>
      <c r="AG68" s="21">
        <v>-0.41176470588235292</v>
      </c>
      <c r="AH68" s="21">
        <v>1</v>
      </c>
      <c r="AI68" s="21">
        <v>0.30000000000000004</v>
      </c>
      <c r="AJ68" s="21">
        <v>0.42307692307692313</v>
      </c>
      <c r="AK68" s="211"/>
      <c r="AL68" s="21">
        <v>-0.6216216216216216</v>
      </c>
      <c r="AM68" s="21">
        <v>0.35714285714285721</v>
      </c>
      <c r="AN68" s="21">
        <v>0.10526315789473695</v>
      </c>
      <c r="AO68" s="21">
        <v>0.28571428571428581</v>
      </c>
      <c r="AP68" s="211"/>
      <c r="AQ68" s="21">
        <v>-0.55555555555555558</v>
      </c>
      <c r="AR68" s="21">
        <v>0.25</v>
      </c>
      <c r="AS68" s="138"/>
      <c r="AT68" s="21">
        <v>-6.6666666666666652E-2</v>
      </c>
      <c r="AU68" s="277"/>
      <c r="AV68" s="21">
        <v>0.21428571428571419</v>
      </c>
      <c r="AW68" s="211"/>
    </row>
    <row r="69" spans="2:49" ht="13.9" customHeight="1">
      <c r="B69" s="20" t="s">
        <v>6</v>
      </c>
      <c r="C69" s="22"/>
      <c r="D69" s="22"/>
      <c r="E69" s="22"/>
      <c r="F69" s="22"/>
      <c r="G69" s="211"/>
      <c r="H69" s="211">
        <f t="shared" ref="H69:N69" si="20">H67/C67-1</f>
        <v>6.8965517241379226E-2</v>
      </c>
      <c r="I69" s="211">
        <f t="shared" si="20"/>
        <v>-4.3478260869565188E-2</v>
      </c>
      <c r="J69" s="211">
        <f t="shared" si="20"/>
        <v>-0.13793103448275867</v>
      </c>
      <c r="K69" s="211">
        <f t="shared" si="20"/>
        <v>-0.25714285714285712</v>
      </c>
      <c r="L69" s="211">
        <f t="shared" si="20"/>
        <v>-9.3525179856115082E-2</v>
      </c>
      <c r="M69" s="211">
        <f t="shared" si="20"/>
        <v>6.4516129032258007E-2</v>
      </c>
      <c r="N69" s="211">
        <f t="shared" si="20"/>
        <v>-0.22727272727272729</v>
      </c>
      <c r="O69" s="211">
        <f t="shared" ref="O69:P69" si="21">O67/J67-1</f>
        <v>0.60000000000000009</v>
      </c>
      <c r="P69" s="211">
        <f t="shared" si="21"/>
        <v>-0.19230769230769229</v>
      </c>
      <c r="Q69" s="211">
        <v>1.5873015873015817E-2</v>
      </c>
      <c r="R69" s="211">
        <v>3.0303030303030276E-2</v>
      </c>
      <c r="S69" s="211">
        <v>-2.9411764705882359E-2</v>
      </c>
      <c r="T69" s="211">
        <v>-0.30000000000000004</v>
      </c>
      <c r="U69" s="211">
        <v>0</v>
      </c>
      <c r="V69" s="211">
        <v>-9.375E-2</v>
      </c>
      <c r="W69" s="211">
        <v>-0.11764705882352944</v>
      </c>
      <c r="X69" s="211">
        <v>-0.18181818181818177</v>
      </c>
      <c r="Y69" s="211">
        <v>-3.5714285714285698E-2</v>
      </c>
      <c r="Z69" s="211">
        <v>-0.33333333333333337</v>
      </c>
      <c r="AA69" s="211">
        <v>-0.15517241379310343</v>
      </c>
      <c r="AB69" s="22">
        <v>-0.1333333333333333</v>
      </c>
      <c r="AC69" s="22">
        <v>0</v>
      </c>
      <c r="AD69" s="22">
        <v>-0.14814814814814814</v>
      </c>
      <c r="AE69" s="22">
        <v>0.21428571428571419</v>
      </c>
      <c r="AF69" s="211">
        <v>-5.1020408163265252E-2</v>
      </c>
      <c r="AG69" s="22">
        <v>-0.61538461538461542</v>
      </c>
      <c r="AH69" s="22">
        <v>-0.2592592592592593</v>
      </c>
      <c r="AI69" s="22">
        <v>0.13043478260869557</v>
      </c>
      <c r="AJ69" s="22">
        <v>1.1764705882352939</v>
      </c>
      <c r="AK69" s="211">
        <v>0</v>
      </c>
      <c r="AL69" s="22">
        <v>0.39999999999999991</v>
      </c>
      <c r="AM69" s="22">
        <v>-5.0000000000000044E-2</v>
      </c>
      <c r="AN69" s="22">
        <v>-0.19230769230769229</v>
      </c>
      <c r="AO69" s="22">
        <v>-0.27027027027027029</v>
      </c>
      <c r="AP69" s="211">
        <v>-0.12903225806451613</v>
      </c>
      <c r="AQ69" s="22">
        <v>-0.1428571428571429</v>
      </c>
      <c r="AR69" s="22">
        <v>-0.21052631578947367</v>
      </c>
      <c r="AS69" s="139"/>
      <c r="AT69" s="22">
        <v>-0.33333333333333337</v>
      </c>
      <c r="AU69" s="278"/>
      <c r="AV69" s="22">
        <v>-0.37037037037037035</v>
      </c>
      <c r="AW69" s="211">
        <v>-0.28395061728395066</v>
      </c>
    </row>
    <row r="70" spans="2:49" ht="13.9" customHeight="1">
      <c r="B70" s="12" t="s">
        <v>160</v>
      </c>
      <c r="C70" s="19">
        <v>0</v>
      </c>
      <c r="D70" s="19">
        <v>0</v>
      </c>
      <c r="E70" s="19">
        <v>0</v>
      </c>
      <c r="F70" s="19">
        <v>0</v>
      </c>
      <c r="G70" s="215" t="s">
        <v>92</v>
      </c>
      <c r="H70" s="210">
        <v>9</v>
      </c>
      <c r="I70" s="210">
        <v>9</v>
      </c>
      <c r="J70" s="210">
        <v>9</v>
      </c>
      <c r="K70" s="214">
        <f>L70-J70-I70-H70</f>
        <v>9</v>
      </c>
      <c r="L70" s="210">
        <v>36</v>
      </c>
      <c r="M70" s="210">
        <v>8</v>
      </c>
      <c r="N70" s="210">
        <v>8</v>
      </c>
      <c r="O70" s="210">
        <v>8</v>
      </c>
      <c r="P70" s="210">
        <f>Q70-O70-N70-M70</f>
        <v>8</v>
      </c>
      <c r="Q70" s="210">
        <v>32</v>
      </c>
      <c r="R70" s="210">
        <v>8</v>
      </c>
      <c r="S70" s="210">
        <v>8</v>
      </c>
      <c r="T70" s="210">
        <v>7</v>
      </c>
      <c r="U70" s="210">
        <v>7</v>
      </c>
      <c r="V70" s="210">
        <v>30</v>
      </c>
      <c r="W70" s="210">
        <v>8</v>
      </c>
      <c r="X70" s="210">
        <v>9</v>
      </c>
      <c r="Y70" s="210">
        <v>9</v>
      </c>
      <c r="Z70" s="210">
        <v>7</v>
      </c>
      <c r="AA70" s="210">
        <v>33</v>
      </c>
      <c r="AB70" s="19">
        <v>9</v>
      </c>
      <c r="AC70" s="19">
        <v>9</v>
      </c>
      <c r="AD70" s="19">
        <v>9</v>
      </c>
      <c r="AE70" s="19">
        <v>9</v>
      </c>
      <c r="AF70" s="210">
        <v>36</v>
      </c>
      <c r="AG70" s="19">
        <v>10</v>
      </c>
      <c r="AH70" s="19">
        <v>9</v>
      </c>
      <c r="AI70" s="19">
        <v>9</v>
      </c>
      <c r="AJ70" s="19">
        <v>10</v>
      </c>
      <c r="AK70" s="210">
        <v>38</v>
      </c>
      <c r="AL70" s="19">
        <v>12</v>
      </c>
      <c r="AM70" s="19">
        <v>10</v>
      </c>
      <c r="AN70" s="19">
        <v>10</v>
      </c>
      <c r="AO70" s="19">
        <v>10</v>
      </c>
      <c r="AP70" s="210">
        <v>42</v>
      </c>
      <c r="AQ70" s="19">
        <v>11</v>
      </c>
      <c r="AR70" s="19">
        <v>9</v>
      </c>
      <c r="AS70" s="137">
        <v>20</v>
      </c>
      <c r="AT70" s="19">
        <v>10</v>
      </c>
      <c r="AU70" s="279">
        <v>30</v>
      </c>
      <c r="AV70" s="19">
        <v>10</v>
      </c>
      <c r="AW70" s="210">
        <v>40</v>
      </c>
    </row>
    <row r="71" spans="2:49" ht="13.9" customHeight="1">
      <c r="B71" s="12"/>
      <c r="C71" s="22"/>
      <c r="D71" s="22"/>
      <c r="E71" s="22"/>
      <c r="F71" s="22"/>
      <c r="G71" s="211"/>
      <c r="H71" s="210"/>
      <c r="I71" s="210"/>
      <c r="J71" s="210"/>
      <c r="K71" s="214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19"/>
      <c r="AC71" s="19"/>
      <c r="AD71" s="19"/>
      <c r="AE71" s="19"/>
      <c r="AF71" s="210"/>
      <c r="AG71" s="19"/>
      <c r="AH71" s="19"/>
      <c r="AI71" s="19"/>
      <c r="AJ71" s="19"/>
      <c r="AK71" s="210"/>
      <c r="AL71" s="19"/>
      <c r="AM71" s="19"/>
      <c r="AN71" s="19"/>
      <c r="AO71" s="19"/>
      <c r="AP71" s="210"/>
      <c r="AQ71" s="19"/>
      <c r="AR71" s="19"/>
      <c r="AS71" s="138"/>
      <c r="AT71" s="19"/>
      <c r="AU71" s="276"/>
      <c r="AV71" s="19"/>
      <c r="AW71" s="210"/>
    </row>
    <row r="72" spans="2:49" ht="13.9" customHeight="1">
      <c r="B72" s="12" t="s">
        <v>318</v>
      </c>
      <c r="C72" s="19">
        <f>C59-C67</f>
        <v>23</v>
      </c>
      <c r="D72" s="19">
        <f>D59-D67</f>
        <v>23</v>
      </c>
      <c r="E72" s="19">
        <f>E59-E67</f>
        <v>45</v>
      </c>
      <c r="F72" s="19">
        <f>G72-E72-D72-C72</f>
        <v>47</v>
      </c>
      <c r="G72" s="210">
        <f>G59-G67</f>
        <v>138</v>
      </c>
      <c r="H72" s="210">
        <f>H59-H67-H70</f>
        <v>27</v>
      </c>
      <c r="I72" s="210">
        <f>I59-I67-I70</f>
        <v>1</v>
      </c>
      <c r="J72" s="210">
        <v>38</v>
      </c>
      <c r="K72" s="214">
        <f>L72-J72-I72-H72</f>
        <v>72</v>
      </c>
      <c r="L72" s="210">
        <v>138</v>
      </c>
      <c r="M72" s="210">
        <f>M59-M67-M70</f>
        <v>15</v>
      </c>
      <c r="N72" s="210">
        <f>N59-N67-N70</f>
        <v>6</v>
      </c>
      <c r="O72" s="210">
        <f>O59-O67-O70</f>
        <v>16</v>
      </c>
      <c r="P72" s="210">
        <f>Q72-O72-N72-M72</f>
        <v>58</v>
      </c>
      <c r="Q72" s="210">
        <v>95</v>
      </c>
      <c r="R72" s="210">
        <v>18</v>
      </c>
      <c r="S72" s="210">
        <v>7</v>
      </c>
      <c r="T72" s="210">
        <v>12</v>
      </c>
      <c r="U72" s="210">
        <v>47</v>
      </c>
      <c r="V72" s="210">
        <v>84</v>
      </c>
      <c r="W72" s="210">
        <v>23</v>
      </c>
      <c r="X72" s="214">
        <v>-10</v>
      </c>
      <c r="Y72" s="210">
        <v>60</v>
      </c>
      <c r="Z72" s="214">
        <v>-73</v>
      </c>
      <c r="AA72" s="210">
        <v>0</v>
      </c>
      <c r="AB72" s="19">
        <v>77</v>
      </c>
      <c r="AC72" s="61">
        <v>1</v>
      </c>
      <c r="AD72" s="61">
        <v>-27</v>
      </c>
      <c r="AE72" s="61">
        <v>30</v>
      </c>
      <c r="AF72" s="210">
        <v>81</v>
      </c>
      <c r="AG72" s="61">
        <v>-1</v>
      </c>
      <c r="AH72" s="61">
        <v>28</v>
      </c>
      <c r="AI72" s="61">
        <v>1</v>
      </c>
      <c r="AJ72" s="61">
        <v>-2</v>
      </c>
      <c r="AK72" s="210">
        <v>26</v>
      </c>
      <c r="AL72" s="61">
        <v>23</v>
      </c>
      <c r="AM72" s="61">
        <v>-10</v>
      </c>
      <c r="AN72" s="19">
        <v>20</v>
      </c>
      <c r="AO72" s="19">
        <v>18</v>
      </c>
      <c r="AP72" s="210">
        <v>51</v>
      </c>
      <c r="AQ72" s="61">
        <v>19</v>
      </c>
      <c r="AR72" s="19">
        <v>0</v>
      </c>
      <c r="AS72" s="137">
        <v>19</v>
      </c>
      <c r="AT72" s="19">
        <v>12</v>
      </c>
      <c r="AU72" s="279">
        <v>31</v>
      </c>
      <c r="AV72" s="19">
        <v>3</v>
      </c>
      <c r="AW72" s="210">
        <v>34</v>
      </c>
    </row>
    <row r="73" spans="2:49" ht="13.9" customHeight="1">
      <c r="B73" s="20" t="s">
        <v>5</v>
      </c>
      <c r="C73" s="21"/>
      <c r="D73" s="21">
        <f>D72/C72-1</f>
        <v>0</v>
      </c>
      <c r="E73" s="21">
        <f>E72/D72-1</f>
        <v>0.95652173913043481</v>
      </c>
      <c r="F73" s="21">
        <f>F72/E72-1</f>
        <v>4.4444444444444509E-2</v>
      </c>
      <c r="G73" s="211"/>
      <c r="H73" s="212">
        <f>H72/F72-1</f>
        <v>-0.42553191489361697</v>
      </c>
      <c r="I73" s="212">
        <f>I72/H72-1</f>
        <v>-0.96296296296296302</v>
      </c>
      <c r="J73" s="212">
        <f>J72/I72-1</f>
        <v>37</v>
      </c>
      <c r="K73" s="212">
        <f>K72/J72-1</f>
        <v>0.89473684210526305</v>
      </c>
      <c r="L73" s="211"/>
      <c r="M73" s="212">
        <f>M72/K72-1</f>
        <v>-0.79166666666666663</v>
      </c>
      <c r="N73" s="212">
        <f>N72/M72-1</f>
        <v>-0.6</v>
      </c>
      <c r="O73" s="212">
        <f>O72/N72-1</f>
        <v>1.6666666666666665</v>
      </c>
      <c r="P73" s="212">
        <f>P72/O72-1</f>
        <v>2.625</v>
      </c>
      <c r="Q73" s="211"/>
      <c r="R73" s="212">
        <v>-0.68965517241379315</v>
      </c>
      <c r="S73" s="212">
        <v>-0.61111111111111116</v>
      </c>
      <c r="T73" s="212">
        <v>0.71428571428571419</v>
      </c>
      <c r="U73" s="212">
        <v>2.9166666666666665</v>
      </c>
      <c r="V73" s="211"/>
      <c r="W73" s="212">
        <v>-0.5106382978723405</v>
      </c>
      <c r="X73" s="216" t="s">
        <v>23</v>
      </c>
      <c r="Y73" s="216" t="s">
        <v>23</v>
      </c>
      <c r="Z73" s="216" t="s">
        <v>23</v>
      </c>
      <c r="AA73" s="211"/>
      <c r="AB73" s="31" t="s">
        <v>23</v>
      </c>
      <c r="AC73" s="21">
        <v>-0.98701298701298701</v>
      </c>
      <c r="AD73" s="31" t="s">
        <v>23</v>
      </c>
      <c r="AE73" s="31" t="s">
        <v>23</v>
      </c>
      <c r="AF73" s="211"/>
      <c r="AG73" s="31" t="s">
        <v>23</v>
      </c>
      <c r="AH73" s="31" t="s">
        <v>23</v>
      </c>
      <c r="AI73" s="21">
        <v>-0.9642857142857143</v>
      </c>
      <c r="AJ73" s="31" t="s">
        <v>23</v>
      </c>
      <c r="AK73" s="211"/>
      <c r="AL73" s="31" t="s">
        <v>23</v>
      </c>
      <c r="AM73" s="31" t="s">
        <v>23</v>
      </c>
      <c r="AN73" s="31" t="s">
        <v>23</v>
      </c>
      <c r="AO73" s="21">
        <v>-9.9999999999999978E-2</v>
      </c>
      <c r="AP73" s="211"/>
      <c r="AQ73" s="21">
        <v>5.555555555555558E-2</v>
      </c>
      <c r="AR73" s="31" t="s">
        <v>23</v>
      </c>
      <c r="AS73" s="139"/>
      <c r="AT73" s="31" t="s">
        <v>23</v>
      </c>
      <c r="AU73" s="277"/>
      <c r="AV73" s="21">
        <v>-0.75</v>
      </c>
      <c r="AW73" s="211"/>
    </row>
    <row r="74" spans="2:49" ht="13.9" customHeight="1">
      <c r="B74" s="20" t="s">
        <v>6</v>
      </c>
      <c r="C74" s="22"/>
      <c r="D74" s="22"/>
      <c r="E74" s="22"/>
      <c r="F74" s="22"/>
      <c r="G74" s="211"/>
      <c r="H74" s="211">
        <f t="shared" ref="H74:N74" si="22">H72/C72-1</f>
        <v>0.17391304347826098</v>
      </c>
      <c r="I74" s="211">
        <f t="shared" si="22"/>
        <v>-0.95652173913043481</v>
      </c>
      <c r="J74" s="211">
        <f t="shared" si="22"/>
        <v>-0.15555555555555556</v>
      </c>
      <c r="K74" s="211">
        <f t="shared" si="22"/>
        <v>0.53191489361702127</v>
      </c>
      <c r="L74" s="211">
        <f t="shared" si="22"/>
        <v>0</v>
      </c>
      <c r="M74" s="211">
        <f t="shared" si="22"/>
        <v>-0.44444444444444442</v>
      </c>
      <c r="N74" s="211">
        <f t="shared" si="22"/>
        <v>5</v>
      </c>
      <c r="O74" s="211">
        <f t="shared" ref="O74:P74" si="23">O72/J72-1</f>
        <v>-0.57894736842105265</v>
      </c>
      <c r="P74" s="211">
        <f t="shared" si="23"/>
        <v>-0.19444444444444442</v>
      </c>
      <c r="Q74" s="211">
        <v>-0.31159420289855078</v>
      </c>
      <c r="R74" s="211">
        <v>0.19999999999999996</v>
      </c>
      <c r="S74" s="211">
        <v>0.16666666666666674</v>
      </c>
      <c r="T74" s="211">
        <v>-0.25</v>
      </c>
      <c r="U74" s="211">
        <v>-0.18965517241379315</v>
      </c>
      <c r="V74" s="211">
        <v>-0.11578947368421055</v>
      </c>
      <c r="W74" s="211">
        <v>0.27777777777777768</v>
      </c>
      <c r="X74" s="211">
        <v>-2.4285714285714288</v>
      </c>
      <c r="Y74" s="211">
        <v>4</v>
      </c>
      <c r="Z74" s="216" t="s">
        <v>23</v>
      </c>
      <c r="AA74" s="217" t="s">
        <v>23</v>
      </c>
      <c r="AB74" s="22">
        <v>2.347826086956522</v>
      </c>
      <c r="AC74" s="31" t="s">
        <v>23</v>
      </c>
      <c r="AD74" s="31" t="s">
        <v>23</v>
      </c>
      <c r="AE74" s="31" t="s">
        <v>23</v>
      </c>
      <c r="AF74" s="217" t="s">
        <v>23</v>
      </c>
      <c r="AG74" s="31" t="s">
        <v>23</v>
      </c>
      <c r="AH74" s="22">
        <v>27</v>
      </c>
      <c r="AI74" s="31" t="s">
        <v>23</v>
      </c>
      <c r="AJ74" s="31" t="s">
        <v>23</v>
      </c>
      <c r="AK74" s="211">
        <v>-0.67901234567901236</v>
      </c>
      <c r="AL74" s="31" t="s">
        <v>23</v>
      </c>
      <c r="AM74" s="31" t="s">
        <v>23</v>
      </c>
      <c r="AN74" s="22">
        <v>19</v>
      </c>
      <c r="AO74" s="31" t="s">
        <v>23</v>
      </c>
      <c r="AP74" s="211">
        <v>0.96153846153846145</v>
      </c>
      <c r="AQ74" s="22">
        <v>-0.17391304347826086</v>
      </c>
      <c r="AR74" s="31" t="s">
        <v>23</v>
      </c>
      <c r="AS74" s="139"/>
      <c r="AT74" s="22">
        <v>-0.4</v>
      </c>
      <c r="AU74" s="278"/>
      <c r="AV74" s="22">
        <v>-0.83333333333333337</v>
      </c>
      <c r="AW74" s="211">
        <v>-0.33333333333333337</v>
      </c>
    </row>
    <row r="75" spans="2:49" ht="3.75" customHeight="1">
      <c r="B75" s="186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6"/>
      <c r="AT75" s="186"/>
      <c r="AU75" s="186"/>
      <c r="AV75" s="186"/>
      <c r="AW75" s="186"/>
    </row>
    <row r="76" spans="2:49" ht="6.75" customHeight="1"/>
    <row r="77" spans="2:49" ht="6.75" customHeight="1"/>
  </sheetData>
  <pageMargins left="0.39370078740157483" right="0.39370078740157483" top="0.31496062992125984" bottom="0.19685039370078741" header="0.31496062992125984" footer="0.31496062992125984"/>
  <pageSetup paperSize="9" scale="70" orientation="landscape" r:id="rId1"/>
  <headerFooter>
    <oddHeader>&amp;CBezeq - The Israeli Telecommunications Corp., Ltd.</oddHeader>
    <oddFooter>&amp;R&amp;P of &amp;N
BI financial 
metrics</oddFooter>
  </headerFooter>
  <rowBreaks count="1" manualBreakCount="1">
    <brk id="5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E9C3-EC15-4464-9AB7-F3F0EB7BF341}">
  <sheetPr>
    <tabColor theme="5" tint="-0.24991607409894101"/>
  </sheetPr>
  <dimension ref="B1:AX105"/>
  <sheetViews>
    <sheetView showGridLines="0" tabSelected="1" zoomScaleNormal="100" workbookViewId="0">
      <pane xSplit="2" ySplit="4" topLeftCell="R77" activePane="bottomRight" state="frozen"/>
      <selection activeCell="AI81" sqref="AI81"/>
      <selection pane="topRight" activeCell="AI81" sqref="AI81"/>
      <selection pane="bottomLeft" activeCell="AI81" sqref="AI81"/>
      <selection pane="bottomRight" activeCell="AI81" sqref="AI81"/>
    </sheetView>
  </sheetViews>
  <sheetFormatPr defaultColWidth="9.28515625" defaultRowHeight="12.75"/>
  <cols>
    <col min="1" max="1" width="1.7109375" customWidth="1"/>
    <col min="2" max="2" width="52.7109375" customWidth="1"/>
    <col min="3" max="17" width="9.28515625" hidden="1" customWidth="1"/>
    <col min="18" max="18" width="9.28515625" customWidth="1"/>
    <col min="19" max="22" width="9.28515625" hidden="1" customWidth="1"/>
    <col min="23" max="23" width="9.28515625" customWidth="1"/>
    <col min="24" max="27" width="9.28515625" hidden="1" customWidth="1"/>
    <col min="28" max="28" width="9.28515625" customWidth="1"/>
    <col min="29" max="32" width="9.28515625" hidden="1" customWidth="1"/>
    <col min="33" max="33" width="9.28515625" customWidth="1"/>
    <col min="34" max="36" width="9.28515625" hidden="1" customWidth="1"/>
    <col min="37" max="37" width="0" hidden="1" customWidth="1"/>
    <col min="46" max="46" width="0" hidden="1" customWidth="1"/>
    <col min="48" max="48" width="0" hidden="1" customWidth="1"/>
  </cols>
  <sheetData>
    <row r="1" spans="2:50" ht="13.9" customHeight="1">
      <c r="B1" s="6"/>
    </row>
    <row r="2" spans="2:50" ht="13.9" customHeight="1">
      <c r="B2" s="6"/>
    </row>
    <row r="3" spans="2:50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2</v>
      </c>
      <c r="AQ3" s="7" t="s">
        <v>4</v>
      </c>
      <c r="AR3" s="7" t="s">
        <v>49</v>
      </c>
      <c r="AS3" s="7" t="s">
        <v>0</v>
      </c>
      <c r="AT3" s="99" t="s">
        <v>342</v>
      </c>
      <c r="AU3" s="7" t="s">
        <v>1</v>
      </c>
      <c r="AV3" s="7" t="s">
        <v>312</v>
      </c>
      <c r="AW3" s="7" t="s">
        <v>2</v>
      </c>
      <c r="AX3" s="7" t="s">
        <v>4</v>
      </c>
    </row>
    <row r="4" spans="2:50" ht="13.9" customHeight="1">
      <c r="B4" s="15" t="s">
        <v>458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2025</v>
      </c>
      <c r="AS4" s="7">
        <v>2025</v>
      </c>
      <c r="AT4" s="7">
        <v>2025</v>
      </c>
      <c r="AU4" s="7">
        <v>2025</v>
      </c>
      <c r="AV4" s="7">
        <v>2025</v>
      </c>
      <c r="AW4" s="7">
        <v>2025</v>
      </c>
      <c r="AX4" s="7">
        <v>2025</v>
      </c>
    </row>
    <row r="5" spans="2:50" ht="4.1500000000000004" customHeight="1">
      <c r="B5" s="373" t="str">
        <f t="shared" ref="B5:AP5" si="0">B3&amp;"/"&amp;B4</f>
        <v>/(NIS millions)</v>
      </c>
      <c r="C5" s="373" t="str">
        <f t="shared" si="0"/>
        <v>FY/2016</v>
      </c>
      <c r="D5" s="373" t="str">
        <f t="shared" si="0"/>
        <v>Q1/2017</v>
      </c>
      <c r="E5" s="373" t="str">
        <f t="shared" si="0"/>
        <v>Q2/2017</v>
      </c>
      <c r="F5" s="373" t="str">
        <f t="shared" si="0"/>
        <v>Q3/2017</v>
      </c>
      <c r="G5" s="373" t="str">
        <f t="shared" si="0"/>
        <v>Q4/2017</v>
      </c>
      <c r="H5" s="373" t="str">
        <f t="shared" si="0"/>
        <v>FY/2017</v>
      </c>
      <c r="I5" s="373" t="str">
        <f t="shared" si="0"/>
        <v>Q1/2018</v>
      </c>
      <c r="J5" s="373" t="str">
        <f t="shared" si="0"/>
        <v>Q2/2018</v>
      </c>
      <c r="K5" s="373" t="str">
        <f t="shared" si="0"/>
        <v>Q3/2018</v>
      </c>
      <c r="L5" s="373" t="str">
        <f t="shared" si="0"/>
        <v>Q4/2018</v>
      </c>
      <c r="M5" s="373" t="str">
        <f t="shared" si="0"/>
        <v>FY/2018</v>
      </c>
      <c r="N5" s="373" t="str">
        <f t="shared" si="0"/>
        <v>Q1/2019</v>
      </c>
      <c r="O5" s="373" t="str">
        <f t="shared" si="0"/>
        <v>Q2/2019</v>
      </c>
      <c r="P5" s="373" t="str">
        <f t="shared" si="0"/>
        <v>Q3/2019</v>
      </c>
      <c r="Q5" s="373" t="str">
        <f t="shared" si="0"/>
        <v>Q4/2019</v>
      </c>
      <c r="R5" s="373" t="str">
        <f t="shared" si="0"/>
        <v>FY/2019</v>
      </c>
      <c r="S5" s="373" t="str">
        <f t="shared" si="0"/>
        <v>Q1/2020</v>
      </c>
      <c r="T5" s="373" t="str">
        <f t="shared" si="0"/>
        <v>Q2/2020</v>
      </c>
      <c r="U5" s="373" t="str">
        <f t="shared" si="0"/>
        <v>Q3/2020</v>
      </c>
      <c r="V5" s="373" t="str">
        <f t="shared" si="0"/>
        <v>Q4/2020</v>
      </c>
      <c r="W5" s="373" t="str">
        <f t="shared" si="0"/>
        <v>FY/2020</v>
      </c>
      <c r="X5" s="373" t="str">
        <f t="shared" si="0"/>
        <v>Q1/2021</v>
      </c>
      <c r="Y5" s="373" t="str">
        <f t="shared" si="0"/>
        <v>Q2/2021</v>
      </c>
      <c r="Z5" s="373" t="str">
        <f t="shared" si="0"/>
        <v>Q3/2021</v>
      </c>
      <c r="AA5" s="373" t="str">
        <f t="shared" si="0"/>
        <v>Q4/2021</v>
      </c>
      <c r="AB5" s="373" t="str">
        <f t="shared" si="0"/>
        <v>FY/2021</v>
      </c>
      <c r="AC5" s="373" t="str">
        <f t="shared" si="0"/>
        <v>Q1/2022</v>
      </c>
      <c r="AD5" s="373" t="str">
        <f t="shared" si="0"/>
        <v>Q2/2022</v>
      </c>
      <c r="AE5" s="373" t="str">
        <f t="shared" si="0"/>
        <v>Q3/2022</v>
      </c>
      <c r="AF5" s="373" t="str">
        <f t="shared" si="0"/>
        <v>Q4/2022</v>
      </c>
      <c r="AG5" s="373" t="str">
        <f t="shared" si="0"/>
        <v>FY/2022</v>
      </c>
      <c r="AH5" s="373" t="str">
        <f t="shared" si="0"/>
        <v>Q1/2023</v>
      </c>
      <c r="AI5" s="373" t="str">
        <f t="shared" si="0"/>
        <v>Q2/2023</v>
      </c>
      <c r="AJ5" s="373" t="str">
        <f t="shared" si="0"/>
        <v>Q3/2023</v>
      </c>
      <c r="AK5" s="373" t="str">
        <f t="shared" si="0"/>
        <v>Q4/2023</v>
      </c>
      <c r="AL5" s="373" t="str">
        <f t="shared" si="0"/>
        <v>FY/2023</v>
      </c>
      <c r="AM5" s="373" t="str">
        <f t="shared" si="0"/>
        <v>Q1/2024</v>
      </c>
      <c r="AN5" s="373" t="str">
        <f t="shared" si="0"/>
        <v>Q2/2024</v>
      </c>
      <c r="AO5" s="373" t="str">
        <f t="shared" si="0"/>
        <v>Q3/2024</v>
      </c>
      <c r="AP5" s="373" t="str">
        <f t="shared" si="0"/>
        <v>Q4/2024</v>
      </c>
      <c r="AQ5" s="373" t="str">
        <f>AQ3&amp;"/"&amp;AQ4</f>
        <v>FY/2024</v>
      </c>
      <c r="AR5" s="373" t="str">
        <f t="shared" ref="AR5:AW5" si="1">AR3&amp;"/"&amp;AR4</f>
        <v>Q1/2025</v>
      </c>
      <c r="AS5" s="373" t="str">
        <f t="shared" si="1"/>
        <v>Q2/2025</v>
      </c>
      <c r="AT5" s="373" t="str">
        <f t="shared" si="1"/>
        <v>6M/2025</v>
      </c>
      <c r="AU5" s="373" t="str">
        <f t="shared" si="1"/>
        <v>Q3/2025</v>
      </c>
      <c r="AV5" s="373" t="str">
        <f t="shared" si="1"/>
        <v>9M/2025</v>
      </c>
      <c r="AW5" s="373" t="str">
        <f t="shared" si="1"/>
        <v>Q4/2025</v>
      </c>
      <c r="AX5" s="373" t="str">
        <f>AX3&amp;"/"&amp;AX4</f>
        <v>FY/2025</v>
      </c>
    </row>
    <row r="6" spans="2:50" ht="25.35" customHeight="1">
      <c r="B6" s="177" t="s">
        <v>178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</row>
    <row r="7" spans="2:50" ht="13.9" customHeight="1">
      <c r="B7" s="201" t="s">
        <v>38</v>
      </c>
      <c r="C7" s="122"/>
      <c r="D7" s="283"/>
      <c r="E7" s="283"/>
      <c r="F7" s="283"/>
      <c r="G7" s="283"/>
      <c r="H7" s="122"/>
      <c r="I7" s="283"/>
      <c r="J7" s="283"/>
      <c r="K7" s="283"/>
      <c r="L7" s="283"/>
      <c r="M7" s="122"/>
      <c r="N7" s="283"/>
      <c r="O7" s="283"/>
      <c r="P7" s="283"/>
      <c r="Q7" s="283"/>
      <c r="R7" s="122"/>
      <c r="S7" s="283"/>
      <c r="T7" s="283"/>
      <c r="U7" s="283"/>
      <c r="V7" s="283"/>
      <c r="W7" s="122"/>
      <c r="X7" s="283"/>
      <c r="Y7" s="283"/>
      <c r="Z7" s="283"/>
      <c r="AA7" s="283"/>
      <c r="AB7" s="122"/>
      <c r="AC7" s="283"/>
      <c r="AD7" s="283"/>
      <c r="AE7" s="283"/>
      <c r="AF7" s="283"/>
      <c r="AG7" s="122"/>
      <c r="AH7" s="283"/>
      <c r="AI7" s="283"/>
      <c r="AJ7" s="283"/>
      <c r="AK7" s="283"/>
      <c r="AL7" s="122"/>
      <c r="AM7" s="283"/>
      <c r="AN7" s="283"/>
      <c r="AO7" s="283"/>
      <c r="AP7" s="283"/>
      <c r="AQ7" s="122"/>
      <c r="AR7" s="283"/>
      <c r="AS7" s="283"/>
      <c r="AT7" s="283"/>
      <c r="AU7" s="283"/>
      <c r="AV7" s="283"/>
      <c r="AW7" s="283"/>
      <c r="AX7" s="122"/>
    </row>
    <row r="8" spans="2:50" ht="13.9" customHeight="1">
      <c r="B8" s="12" t="s">
        <v>13</v>
      </c>
      <c r="C8" s="210">
        <v>1745</v>
      </c>
      <c r="D8" s="355">
        <v>424</v>
      </c>
      <c r="E8" s="355">
        <v>416</v>
      </c>
      <c r="F8" s="355">
        <v>406</v>
      </c>
      <c r="G8" s="355">
        <f>H8-F8-E8-D8</f>
        <v>404</v>
      </c>
      <c r="H8" s="210">
        <v>1650</v>
      </c>
      <c r="I8" s="355">
        <v>375</v>
      </c>
      <c r="J8" s="355">
        <v>375</v>
      </c>
      <c r="K8" s="355">
        <v>367</v>
      </c>
      <c r="L8" s="355">
        <f>M8-K8-J8-I8</f>
        <v>356</v>
      </c>
      <c r="M8" s="210">
        <v>1473</v>
      </c>
      <c r="N8" s="355">
        <v>343</v>
      </c>
      <c r="O8" s="355">
        <v>337</v>
      </c>
      <c r="P8" s="355">
        <v>334</v>
      </c>
      <c r="Q8" s="355">
        <f>R8-P8-O8-N8</f>
        <v>331</v>
      </c>
      <c r="R8" s="210">
        <v>1345</v>
      </c>
      <c r="S8" s="355">
        <v>338</v>
      </c>
      <c r="T8" s="355">
        <v>319</v>
      </c>
      <c r="U8" s="355">
        <v>313</v>
      </c>
      <c r="V8" s="355">
        <v>317</v>
      </c>
      <c r="W8" s="210">
        <v>1287</v>
      </c>
      <c r="X8" s="355">
        <v>315</v>
      </c>
      <c r="Y8" s="355">
        <v>315</v>
      </c>
      <c r="Z8" s="355">
        <v>318</v>
      </c>
      <c r="AA8" s="355">
        <v>322</v>
      </c>
      <c r="AB8" s="210">
        <v>1270</v>
      </c>
      <c r="AC8" s="19">
        <v>316</v>
      </c>
      <c r="AD8" s="19">
        <v>316</v>
      </c>
      <c r="AE8" s="19">
        <v>315</v>
      </c>
      <c r="AF8" s="19">
        <v>330</v>
      </c>
      <c r="AG8" s="210">
        <v>1277</v>
      </c>
      <c r="AH8" s="19">
        <v>329</v>
      </c>
      <c r="AI8" s="19">
        <v>336</v>
      </c>
      <c r="AJ8" s="19">
        <v>328</v>
      </c>
      <c r="AK8" s="19">
        <v>316</v>
      </c>
      <c r="AL8" s="210">
        <v>1309</v>
      </c>
      <c r="AM8" s="19">
        <v>315</v>
      </c>
      <c r="AN8" s="19">
        <v>316</v>
      </c>
      <c r="AO8" s="19">
        <v>317</v>
      </c>
      <c r="AP8" s="19">
        <v>317</v>
      </c>
      <c r="AQ8" s="210">
        <v>1265</v>
      </c>
      <c r="AR8" s="19">
        <v>319</v>
      </c>
      <c r="AS8" s="19">
        <v>320</v>
      </c>
      <c r="AT8" s="137">
        <v>639</v>
      </c>
      <c r="AU8" s="19">
        <v>321</v>
      </c>
      <c r="AV8" s="276">
        <v>960</v>
      </c>
      <c r="AW8" s="19">
        <v>340</v>
      </c>
      <c r="AX8" s="210">
        <v>1300</v>
      </c>
    </row>
    <row r="9" spans="2:50" ht="13.9" customHeight="1">
      <c r="B9" s="20" t="s">
        <v>5</v>
      </c>
      <c r="C9" s="211"/>
      <c r="D9" s="357"/>
      <c r="E9" s="357">
        <f>E8/D8-1</f>
        <v>-1.8867924528301883E-2</v>
      </c>
      <c r="F9" s="357">
        <f>F8/E8-1</f>
        <v>-2.4038461538461564E-2</v>
      </c>
      <c r="G9" s="357">
        <f>G8/F8-1</f>
        <v>-4.9261083743842304E-3</v>
      </c>
      <c r="H9" s="211"/>
      <c r="I9" s="357">
        <f>I8/G8-1</f>
        <v>-7.1782178217821735E-2</v>
      </c>
      <c r="J9" s="357">
        <f>J8/I8-1</f>
        <v>0</v>
      </c>
      <c r="K9" s="357">
        <f>K8/J8-1</f>
        <v>-2.1333333333333315E-2</v>
      </c>
      <c r="L9" s="357">
        <f>L8/K8-1</f>
        <v>-2.9972752043596729E-2</v>
      </c>
      <c r="M9" s="211"/>
      <c r="N9" s="357">
        <f>N8/L8-1</f>
        <v>-3.6516853932584303E-2</v>
      </c>
      <c r="O9" s="357">
        <f>O8/N8-1</f>
        <v>-1.7492711370262426E-2</v>
      </c>
      <c r="P9" s="357">
        <f>P8/O8-1</f>
        <v>-8.9020771513352859E-3</v>
      </c>
      <c r="Q9" s="357">
        <f>Q8/P8-1</f>
        <v>-8.9820359281437279E-3</v>
      </c>
      <c r="R9" s="211"/>
      <c r="S9" s="357">
        <v>2.114803625377637E-2</v>
      </c>
      <c r="T9" s="357">
        <v>-5.6213017751479244E-2</v>
      </c>
      <c r="U9" s="357">
        <v>-1.8808777429467072E-2</v>
      </c>
      <c r="V9" s="357">
        <v>1.2779552715654896E-2</v>
      </c>
      <c r="W9" s="211"/>
      <c r="X9" s="357">
        <v>-6.3091482649841879E-3</v>
      </c>
      <c r="Y9" s="357">
        <v>0</v>
      </c>
      <c r="Z9" s="357">
        <v>9.52380952380949E-3</v>
      </c>
      <c r="AA9" s="357">
        <v>1.2578616352201255E-2</v>
      </c>
      <c r="AB9" s="211"/>
      <c r="AC9" s="21">
        <v>-1.8633540372670843E-2</v>
      </c>
      <c r="AD9" s="21">
        <v>0</v>
      </c>
      <c r="AE9" s="21">
        <v>-3.1645569620253333E-3</v>
      </c>
      <c r="AF9" s="21">
        <v>4.7619047619047672E-2</v>
      </c>
      <c r="AG9" s="211"/>
      <c r="AH9" s="21">
        <v>-3.0303030303030498E-3</v>
      </c>
      <c r="AI9" s="21">
        <v>2.1276595744680771E-2</v>
      </c>
      <c r="AJ9" s="21">
        <v>-2.3809523809523836E-2</v>
      </c>
      <c r="AK9" s="21">
        <v>-3.6585365853658569E-2</v>
      </c>
      <c r="AL9" s="211"/>
      <c r="AM9" s="21">
        <v>-3.1645569620253333E-3</v>
      </c>
      <c r="AN9" s="21">
        <v>3.1746031746031633E-3</v>
      </c>
      <c r="AO9" s="21">
        <v>3.1645569620253333E-3</v>
      </c>
      <c r="AP9" s="21">
        <v>0</v>
      </c>
      <c r="AQ9" s="211"/>
      <c r="AR9" s="21">
        <v>6.3091482649841879E-3</v>
      </c>
      <c r="AS9" s="21">
        <v>3.1347962382444194E-3</v>
      </c>
      <c r="AT9" s="138"/>
      <c r="AU9" s="21">
        <v>3.1250000000000444E-3</v>
      </c>
      <c r="AV9" s="277"/>
      <c r="AW9" s="21">
        <v>5.9190031152647871E-2</v>
      </c>
      <c r="AX9" s="211"/>
    </row>
    <row r="10" spans="2:50" ht="13.9" customHeight="1">
      <c r="B10" s="20" t="s">
        <v>6</v>
      </c>
      <c r="C10" s="211"/>
      <c r="D10" s="66"/>
      <c r="E10" s="66"/>
      <c r="F10" s="66"/>
      <c r="G10" s="66"/>
      <c r="H10" s="211">
        <f t="shared" ref="H10:P10" si="2">H8/C8-1</f>
        <v>-5.4441260744985676E-2</v>
      </c>
      <c r="I10" s="66">
        <f t="shared" si="2"/>
        <v>-0.11556603773584906</v>
      </c>
      <c r="J10" s="66">
        <f t="shared" si="2"/>
        <v>-9.8557692307692291E-2</v>
      </c>
      <c r="K10" s="66">
        <f t="shared" si="2"/>
        <v>-9.605911330049266E-2</v>
      </c>
      <c r="L10" s="66">
        <f t="shared" si="2"/>
        <v>-0.11881188118811881</v>
      </c>
      <c r="M10" s="211">
        <f t="shared" si="2"/>
        <v>-0.1072727272727273</v>
      </c>
      <c r="N10" s="66">
        <f t="shared" si="2"/>
        <v>-8.5333333333333372E-2</v>
      </c>
      <c r="O10" s="66">
        <f t="shared" si="2"/>
        <v>-0.10133333333333339</v>
      </c>
      <c r="P10" s="66">
        <f t="shared" si="2"/>
        <v>-8.9918256130790186E-2</v>
      </c>
      <c r="Q10" s="66">
        <f>Q8/L8-1</f>
        <v>-7.02247191011236E-2</v>
      </c>
      <c r="R10" s="211">
        <v>-8.6897488119484056E-2</v>
      </c>
      <c r="S10" s="66">
        <v>-1.4577259475218707E-2</v>
      </c>
      <c r="T10" s="66">
        <v>-5.3412462908011826E-2</v>
      </c>
      <c r="U10" s="66">
        <v>-6.2874251497005984E-2</v>
      </c>
      <c r="V10" s="66">
        <v>-4.2296072507552851E-2</v>
      </c>
      <c r="W10" s="211">
        <v>-4.3122676579925634E-2</v>
      </c>
      <c r="X10" s="66">
        <v>-6.8047337278106523E-2</v>
      </c>
      <c r="Y10" s="66">
        <v>-1.2539184952978011E-2</v>
      </c>
      <c r="Z10" s="66">
        <v>1.5974440894568787E-2</v>
      </c>
      <c r="AA10" s="66">
        <v>1.577287066246047E-2</v>
      </c>
      <c r="AB10" s="211">
        <v>-1.3209013209013243E-2</v>
      </c>
      <c r="AC10" s="22">
        <v>3.1746031746031633E-3</v>
      </c>
      <c r="AD10" s="22">
        <v>3.1746031746031633E-3</v>
      </c>
      <c r="AE10" s="22">
        <v>-9.4339622641509413E-3</v>
      </c>
      <c r="AF10" s="22">
        <v>2.4844720496894457E-2</v>
      </c>
      <c r="AG10" s="211">
        <v>5.5118110236220819E-3</v>
      </c>
      <c r="AH10" s="22">
        <v>4.1139240506329111E-2</v>
      </c>
      <c r="AI10" s="22">
        <v>6.3291139240506222E-2</v>
      </c>
      <c r="AJ10" s="22">
        <v>4.1269841269841345E-2</v>
      </c>
      <c r="AK10" s="22">
        <v>-4.2424242424242475E-2</v>
      </c>
      <c r="AL10" s="211">
        <v>2.5058731401722767E-2</v>
      </c>
      <c r="AM10" s="22">
        <v>-4.2553191489361653E-2</v>
      </c>
      <c r="AN10" s="22">
        <v>-5.9523809523809534E-2</v>
      </c>
      <c r="AO10" s="22">
        <v>-3.3536585365853688E-2</v>
      </c>
      <c r="AP10" s="22">
        <v>3.1645569620253333E-3</v>
      </c>
      <c r="AQ10" s="211">
        <v>-3.3613445378151252E-2</v>
      </c>
      <c r="AR10" s="22">
        <v>1.2698412698412653E-2</v>
      </c>
      <c r="AS10" s="22">
        <v>1.2658227848101333E-2</v>
      </c>
      <c r="AT10" s="139"/>
      <c r="AU10" s="22">
        <v>1.2618296529968376E-2</v>
      </c>
      <c r="AV10" s="278"/>
      <c r="AW10" s="22">
        <v>7.2555205047318605E-2</v>
      </c>
      <c r="AX10" s="211">
        <v>2.7667984189723382E-2</v>
      </c>
    </row>
    <row r="11" spans="2:50" ht="3.75" customHeight="1">
      <c r="B11" s="201"/>
      <c r="C11" s="283"/>
      <c r="D11" s="283"/>
      <c r="E11" s="283"/>
      <c r="F11" s="283"/>
      <c r="G11" s="122"/>
      <c r="H11" s="283"/>
      <c r="I11" s="283"/>
      <c r="J11" s="283"/>
      <c r="K11" s="283"/>
      <c r="L11" s="122"/>
      <c r="M11" s="283"/>
      <c r="N11" s="283"/>
      <c r="O11" s="283"/>
      <c r="P11" s="283"/>
      <c r="Q11" s="122"/>
      <c r="R11" s="283"/>
      <c r="S11" s="283"/>
      <c r="T11" s="283"/>
      <c r="U11" s="283"/>
      <c r="V11" s="122"/>
      <c r="W11" s="283"/>
      <c r="X11" s="283"/>
      <c r="Y11" s="283"/>
      <c r="Z11" s="283"/>
      <c r="AA11" s="122"/>
      <c r="AB11" s="283"/>
      <c r="AC11" s="283"/>
      <c r="AD11" s="283"/>
      <c r="AE11" s="283"/>
      <c r="AF11" s="122"/>
      <c r="AG11" s="283"/>
      <c r="AH11" s="283"/>
      <c r="AI11" s="283"/>
      <c r="AJ11" s="283"/>
      <c r="AK11" s="122"/>
      <c r="AL11" s="283"/>
      <c r="AM11" s="283"/>
      <c r="AN11" s="283"/>
      <c r="AO11" s="283"/>
      <c r="AP11" s="122"/>
      <c r="AQ11" s="283"/>
      <c r="AR11" s="283"/>
      <c r="AS11" s="283"/>
      <c r="AT11" s="283"/>
      <c r="AU11" s="283"/>
      <c r="AV11" s="283"/>
      <c r="AW11" s="122"/>
      <c r="AX11" s="283"/>
    </row>
    <row r="12" spans="2:50" ht="13.9" customHeight="1">
      <c r="B12" s="12" t="s">
        <v>167</v>
      </c>
      <c r="C12" s="210">
        <v>296</v>
      </c>
      <c r="D12" s="355">
        <v>70</v>
      </c>
      <c r="E12" s="355">
        <v>71</v>
      </c>
      <c r="F12" s="355">
        <v>72</v>
      </c>
      <c r="G12" s="355">
        <f>H12-F12-E12-D12</f>
        <v>72</v>
      </c>
      <c r="H12" s="210">
        <v>285</v>
      </c>
      <c r="I12" s="355">
        <v>79</v>
      </c>
      <c r="J12" s="355">
        <v>79</v>
      </c>
      <c r="K12" s="355">
        <v>81</v>
      </c>
      <c r="L12" s="355">
        <f>M12-K12-J12-I12</f>
        <v>84</v>
      </c>
      <c r="M12" s="210">
        <v>323</v>
      </c>
      <c r="N12" s="355">
        <v>55</v>
      </c>
      <c r="O12" s="355">
        <v>68</v>
      </c>
      <c r="P12" s="355">
        <v>50</v>
      </c>
      <c r="Q12" s="355">
        <f>R12-P12-O12-N12</f>
        <v>46</v>
      </c>
      <c r="R12" s="210">
        <v>219</v>
      </c>
      <c r="S12" s="355">
        <v>44</v>
      </c>
      <c r="T12" s="355">
        <v>50</v>
      </c>
      <c r="U12" s="355">
        <v>50</v>
      </c>
      <c r="V12" s="355">
        <v>59</v>
      </c>
      <c r="W12" s="210">
        <v>203</v>
      </c>
      <c r="X12" s="355">
        <v>61</v>
      </c>
      <c r="Y12" s="355">
        <v>45</v>
      </c>
      <c r="Z12" s="355">
        <v>45</v>
      </c>
      <c r="AA12" s="355">
        <v>52</v>
      </c>
      <c r="AB12" s="210">
        <v>203</v>
      </c>
      <c r="AC12" s="19">
        <v>50</v>
      </c>
      <c r="AD12" s="19">
        <v>46</v>
      </c>
      <c r="AE12" s="19">
        <v>46</v>
      </c>
      <c r="AF12" s="19">
        <v>57</v>
      </c>
      <c r="AG12" s="210">
        <v>199</v>
      </c>
      <c r="AH12" s="19">
        <v>50</v>
      </c>
      <c r="AI12" s="19">
        <v>46</v>
      </c>
      <c r="AJ12" s="19">
        <v>41</v>
      </c>
      <c r="AK12" s="19">
        <v>29</v>
      </c>
      <c r="AL12" s="210">
        <v>166</v>
      </c>
      <c r="AM12" s="19">
        <v>58</v>
      </c>
      <c r="AN12" s="19">
        <v>48</v>
      </c>
      <c r="AO12" s="19">
        <v>30</v>
      </c>
      <c r="AP12" s="61">
        <v>19</v>
      </c>
      <c r="AQ12" s="210">
        <v>155</v>
      </c>
      <c r="AR12" s="19">
        <v>40</v>
      </c>
      <c r="AS12" s="61">
        <v>-46</v>
      </c>
      <c r="AT12" s="140">
        <v>-6</v>
      </c>
      <c r="AU12" s="61">
        <v>-56</v>
      </c>
      <c r="AV12" s="279">
        <v>-62</v>
      </c>
      <c r="AW12" s="19">
        <v>19</v>
      </c>
      <c r="AX12" s="213">
        <v>-43</v>
      </c>
    </row>
    <row r="13" spans="2:50" ht="13.9" customHeight="1">
      <c r="B13" s="20" t="s">
        <v>5</v>
      </c>
      <c r="C13" s="211"/>
      <c r="D13" s="357"/>
      <c r="E13" s="357">
        <f>E12/D12-1</f>
        <v>1.4285714285714235E-2</v>
      </c>
      <c r="F13" s="357">
        <f>F12/E12-1</f>
        <v>1.4084507042253502E-2</v>
      </c>
      <c r="G13" s="357">
        <f>G12/F12-1</f>
        <v>0</v>
      </c>
      <c r="H13" s="211"/>
      <c r="I13" s="357">
        <f>I12/G12-1</f>
        <v>9.7222222222222321E-2</v>
      </c>
      <c r="J13" s="357">
        <f>J12/I12-1</f>
        <v>0</v>
      </c>
      <c r="K13" s="357">
        <f>K12/J12-1</f>
        <v>2.5316455696202445E-2</v>
      </c>
      <c r="L13" s="357">
        <f>L12/K12-1</f>
        <v>3.7037037037036979E-2</v>
      </c>
      <c r="M13" s="211"/>
      <c r="N13" s="357">
        <f>N12/L12-1</f>
        <v>-0.34523809523809523</v>
      </c>
      <c r="O13" s="357">
        <f>O12/N12-1</f>
        <v>0.23636363636363633</v>
      </c>
      <c r="P13" s="357">
        <f>P12/O12-1</f>
        <v>-0.26470588235294112</v>
      </c>
      <c r="Q13" s="357">
        <f>Q12/P12-1</f>
        <v>-7.999999999999996E-2</v>
      </c>
      <c r="R13" s="211"/>
      <c r="S13" s="357">
        <v>-4.3478260869565188E-2</v>
      </c>
      <c r="T13" s="357">
        <v>0.13636363636363646</v>
      </c>
      <c r="U13" s="357">
        <v>0</v>
      </c>
      <c r="V13" s="357">
        <v>0.17999999999999994</v>
      </c>
      <c r="W13" s="211"/>
      <c r="X13" s="357">
        <v>3.3898305084745672E-2</v>
      </c>
      <c r="Y13" s="357">
        <v>-0.26229508196721307</v>
      </c>
      <c r="Z13" s="357">
        <v>0</v>
      </c>
      <c r="AA13" s="357">
        <v>0.15555555555555545</v>
      </c>
      <c r="AB13" s="211"/>
      <c r="AC13" s="21">
        <v>-3.8461538461538436E-2</v>
      </c>
      <c r="AD13" s="21">
        <v>-7.999999999999996E-2</v>
      </c>
      <c r="AE13" s="21">
        <v>0</v>
      </c>
      <c r="AF13" s="21">
        <v>0.23913043478260865</v>
      </c>
      <c r="AG13" s="211"/>
      <c r="AH13" s="21">
        <v>-0.1228070175438597</v>
      </c>
      <c r="AI13" s="21">
        <v>-7.999999999999996E-2</v>
      </c>
      <c r="AJ13" s="21">
        <v>-0.10869565217391308</v>
      </c>
      <c r="AK13" s="21">
        <v>-0.29268292682926833</v>
      </c>
      <c r="AL13" s="211"/>
      <c r="AM13" s="21">
        <v>1</v>
      </c>
      <c r="AN13" s="21">
        <v>-0.17241379310344829</v>
      </c>
      <c r="AO13" s="21">
        <v>-0.375</v>
      </c>
      <c r="AP13" s="31" t="s">
        <v>23</v>
      </c>
      <c r="AQ13" s="211"/>
      <c r="AR13" s="21">
        <v>1.1052631578947367</v>
      </c>
      <c r="AS13" s="31" t="s">
        <v>23</v>
      </c>
      <c r="AT13" s="138"/>
      <c r="AU13" s="21">
        <v>0.21739130434782616</v>
      </c>
      <c r="AV13" s="277"/>
      <c r="AW13" s="31" t="s">
        <v>23</v>
      </c>
      <c r="AX13" s="211"/>
    </row>
    <row r="14" spans="2:50" ht="13.9" customHeight="1">
      <c r="B14" s="20" t="s">
        <v>6</v>
      </c>
      <c r="C14" s="211"/>
      <c r="D14" s="66"/>
      <c r="E14" s="66"/>
      <c r="F14" s="66"/>
      <c r="G14" s="66"/>
      <c r="H14" s="211">
        <f t="shared" ref="H14:P14" si="3">H12/C12-1</f>
        <v>-3.7162162162162171E-2</v>
      </c>
      <c r="I14" s="66">
        <f t="shared" si="3"/>
        <v>0.12857142857142856</v>
      </c>
      <c r="J14" s="66">
        <f t="shared" si="3"/>
        <v>0.11267605633802824</v>
      </c>
      <c r="K14" s="66">
        <f t="shared" si="3"/>
        <v>0.125</v>
      </c>
      <c r="L14" s="66">
        <f t="shared" si="3"/>
        <v>0.16666666666666674</v>
      </c>
      <c r="M14" s="211">
        <f t="shared" si="3"/>
        <v>0.1333333333333333</v>
      </c>
      <c r="N14" s="66">
        <f t="shared" si="3"/>
        <v>-0.30379746835443033</v>
      </c>
      <c r="O14" s="66">
        <f t="shared" si="3"/>
        <v>-0.13924050632911389</v>
      </c>
      <c r="P14" s="66">
        <f t="shared" si="3"/>
        <v>-0.38271604938271608</v>
      </c>
      <c r="Q14" s="66">
        <f>Q12/L12-1</f>
        <v>-0.45238095238095233</v>
      </c>
      <c r="R14" s="211">
        <v>-0.32198142414860687</v>
      </c>
      <c r="S14" s="66">
        <v>-0.19999999999999996</v>
      </c>
      <c r="T14" s="66">
        <v>-0.26470588235294112</v>
      </c>
      <c r="U14" s="66">
        <v>0</v>
      </c>
      <c r="V14" s="66">
        <v>0.28260869565217384</v>
      </c>
      <c r="W14" s="211">
        <v>-7.3059360730593603E-2</v>
      </c>
      <c r="X14" s="66">
        <v>0.38636363636363646</v>
      </c>
      <c r="Y14" s="66">
        <v>-9.9999999999999978E-2</v>
      </c>
      <c r="Z14" s="66">
        <v>-9.9999999999999978E-2</v>
      </c>
      <c r="AA14" s="66">
        <v>-0.11864406779661019</v>
      </c>
      <c r="AB14" s="211">
        <v>0</v>
      </c>
      <c r="AC14" s="22">
        <v>-0.18032786885245899</v>
      </c>
      <c r="AD14" s="22">
        <v>2.2222222222222143E-2</v>
      </c>
      <c r="AE14" s="22">
        <v>2.2222222222222143E-2</v>
      </c>
      <c r="AF14" s="22">
        <v>9.6153846153846256E-2</v>
      </c>
      <c r="AG14" s="211">
        <v>-1.9704433497536922E-2</v>
      </c>
      <c r="AH14" s="22">
        <v>0</v>
      </c>
      <c r="AI14" s="22">
        <v>0</v>
      </c>
      <c r="AJ14" s="22">
        <v>-0.10869565217391308</v>
      </c>
      <c r="AK14" s="22">
        <v>-0.49122807017543857</v>
      </c>
      <c r="AL14" s="211">
        <v>-0.16582914572864327</v>
      </c>
      <c r="AM14" s="22">
        <v>0.15999999999999992</v>
      </c>
      <c r="AN14" s="22">
        <v>4.3478260869565188E-2</v>
      </c>
      <c r="AO14" s="22">
        <v>-0.26829268292682928</v>
      </c>
      <c r="AP14" s="31" t="s">
        <v>23</v>
      </c>
      <c r="AQ14" s="211">
        <v>-6.6265060240963902E-2</v>
      </c>
      <c r="AR14" s="22">
        <v>-0.31034482758620685</v>
      </c>
      <c r="AS14" s="31" t="s">
        <v>23</v>
      </c>
      <c r="AT14" s="159" t="s">
        <v>23</v>
      </c>
      <c r="AU14" s="31" t="s">
        <v>23</v>
      </c>
      <c r="AV14" s="312" t="s">
        <v>23</v>
      </c>
      <c r="AW14" s="22">
        <v>0</v>
      </c>
      <c r="AX14" s="217" t="s">
        <v>23</v>
      </c>
    </row>
    <row r="15" spans="2:50" ht="13.9" customHeight="1">
      <c r="B15" s="12" t="s">
        <v>50</v>
      </c>
      <c r="C15" s="210">
        <v>249</v>
      </c>
      <c r="D15" s="355">
        <v>59</v>
      </c>
      <c r="E15" s="355">
        <v>59</v>
      </c>
      <c r="F15" s="355">
        <v>62</v>
      </c>
      <c r="G15" s="355">
        <f>H15-F15-E15-D15</f>
        <v>65</v>
      </c>
      <c r="H15" s="210">
        <v>245</v>
      </c>
      <c r="I15" s="355">
        <v>58</v>
      </c>
      <c r="J15" s="355">
        <v>60</v>
      </c>
      <c r="K15" s="355">
        <v>56</v>
      </c>
      <c r="L15" s="355">
        <f>M15-K15-J15-I15</f>
        <v>59</v>
      </c>
      <c r="M15" s="210">
        <v>233</v>
      </c>
      <c r="N15" s="355">
        <v>56</v>
      </c>
      <c r="O15" s="355">
        <v>54</v>
      </c>
      <c r="P15" s="355">
        <v>52</v>
      </c>
      <c r="Q15" s="355">
        <f>R15-P15-O15-N15</f>
        <v>54</v>
      </c>
      <c r="R15" s="210">
        <v>216</v>
      </c>
      <c r="S15" s="355">
        <v>54</v>
      </c>
      <c r="T15" s="355">
        <v>48</v>
      </c>
      <c r="U15" s="355">
        <v>50</v>
      </c>
      <c r="V15" s="355">
        <v>51</v>
      </c>
      <c r="W15" s="210">
        <v>203</v>
      </c>
      <c r="X15" s="355">
        <v>50</v>
      </c>
      <c r="Y15" s="355">
        <v>45</v>
      </c>
      <c r="Z15" s="355">
        <v>44</v>
      </c>
      <c r="AA15" s="355">
        <v>49</v>
      </c>
      <c r="AB15" s="210">
        <v>188</v>
      </c>
      <c r="AC15" s="19">
        <v>50</v>
      </c>
      <c r="AD15" s="19">
        <v>47</v>
      </c>
      <c r="AE15" s="19">
        <v>53</v>
      </c>
      <c r="AF15" s="19">
        <v>50</v>
      </c>
      <c r="AG15" s="210">
        <v>200</v>
      </c>
      <c r="AH15" s="19">
        <v>52</v>
      </c>
      <c r="AI15" s="19">
        <v>46</v>
      </c>
      <c r="AJ15" s="19">
        <v>48</v>
      </c>
      <c r="AK15" s="19">
        <v>47</v>
      </c>
      <c r="AL15" s="210">
        <v>193</v>
      </c>
      <c r="AM15" s="19">
        <v>48</v>
      </c>
      <c r="AN15" s="19">
        <v>47</v>
      </c>
      <c r="AO15" s="19">
        <v>51</v>
      </c>
      <c r="AP15" s="19">
        <v>46</v>
      </c>
      <c r="AQ15" s="210">
        <v>192</v>
      </c>
      <c r="AR15" s="19">
        <v>47</v>
      </c>
      <c r="AS15" s="19">
        <v>45</v>
      </c>
      <c r="AT15" s="137">
        <v>92</v>
      </c>
      <c r="AU15" s="19">
        <v>46</v>
      </c>
      <c r="AV15" s="276">
        <v>138</v>
      </c>
      <c r="AW15" s="19">
        <v>46</v>
      </c>
      <c r="AX15" s="210">
        <v>184</v>
      </c>
    </row>
    <row r="16" spans="2:50" ht="13.9" customHeight="1">
      <c r="B16" s="20" t="s">
        <v>5</v>
      </c>
      <c r="C16" s="211"/>
      <c r="D16" s="357"/>
      <c r="E16" s="357">
        <f>E15/D15-1</f>
        <v>0</v>
      </c>
      <c r="F16" s="357">
        <f>F15/E15-1</f>
        <v>5.0847457627118731E-2</v>
      </c>
      <c r="G16" s="357">
        <f>G15/F15-1</f>
        <v>4.8387096774193505E-2</v>
      </c>
      <c r="H16" s="211"/>
      <c r="I16" s="357">
        <f>I15/G15-1</f>
        <v>-0.10769230769230764</v>
      </c>
      <c r="J16" s="357">
        <f>J15/I15-1</f>
        <v>3.4482758620689724E-2</v>
      </c>
      <c r="K16" s="357">
        <f>K15/J15-1</f>
        <v>-6.6666666666666652E-2</v>
      </c>
      <c r="L16" s="357">
        <f>L15/K15-1</f>
        <v>5.3571428571428603E-2</v>
      </c>
      <c r="M16" s="211"/>
      <c r="N16" s="357">
        <f>N15/L15-1</f>
        <v>-5.084745762711862E-2</v>
      </c>
      <c r="O16" s="357">
        <f>O15/N15-1</f>
        <v>-3.5714285714285698E-2</v>
      </c>
      <c r="P16" s="357">
        <f>P15/O15-1</f>
        <v>-3.703703703703709E-2</v>
      </c>
      <c r="Q16" s="357">
        <f>Q15/P15-1</f>
        <v>3.8461538461538547E-2</v>
      </c>
      <c r="R16" s="211"/>
      <c r="S16" s="357">
        <v>0</v>
      </c>
      <c r="T16" s="357">
        <v>-0.11111111111111116</v>
      </c>
      <c r="U16" s="357">
        <v>4.1666666666666741E-2</v>
      </c>
      <c r="V16" s="357">
        <v>2.0000000000000018E-2</v>
      </c>
      <c r="W16" s="211"/>
      <c r="X16" s="357">
        <v>-1.9607843137254943E-2</v>
      </c>
      <c r="Y16" s="357">
        <v>-9.9999999999999978E-2</v>
      </c>
      <c r="Z16" s="357">
        <v>-2.2222222222222254E-2</v>
      </c>
      <c r="AA16" s="357">
        <v>0.11363636363636354</v>
      </c>
      <c r="AB16" s="211"/>
      <c r="AC16" s="21">
        <v>2.0408163265306145E-2</v>
      </c>
      <c r="AD16" s="21">
        <v>-6.0000000000000053E-2</v>
      </c>
      <c r="AE16" s="21">
        <v>0.12765957446808507</v>
      </c>
      <c r="AF16" s="21">
        <v>-5.6603773584905648E-2</v>
      </c>
      <c r="AG16" s="211"/>
      <c r="AH16" s="21">
        <v>4.0000000000000036E-2</v>
      </c>
      <c r="AI16" s="21">
        <v>-0.11538461538461542</v>
      </c>
      <c r="AJ16" s="21">
        <v>4.3478260869565188E-2</v>
      </c>
      <c r="AK16" s="21">
        <v>-2.083333333333337E-2</v>
      </c>
      <c r="AL16" s="211"/>
      <c r="AM16" s="21">
        <v>2.1276595744680771E-2</v>
      </c>
      <c r="AN16" s="21">
        <v>-2.083333333333337E-2</v>
      </c>
      <c r="AO16" s="21">
        <v>8.5106382978723305E-2</v>
      </c>
      <c r="AP16" s="21">
        <v>-9.8039215686274495E-2</v>
      </c>
      <c r="AQ16" s="211"/>
      <c r="AR16" s="21">
        <v>2.1739130434782705E-2</v>
      </c>
      <c r="AS16" s="21">
        <v>-4.2553191489361653E-2</v>
      </c>
      <c r="AT16" s="138"/>
      <c r="AU16" s="21">
        <v>2.2222222222222143E-2</v>
      </c>
      <c r="AV16" s="277"/>
      <c r="AW16" s="21">
        <v>0</v>
      </c>
      <c r="AX16" s="211"/>
    </row>
    <row r="17" spans="2:50" ht="13.9" customHeight="1">
      <c r="B17" s="20" t="s">
        <v>6</v>
      </c>
      <c r="C17" s="211"/>
      <c r="D17" s="66"/>
      <c r="E17" s="66"/>
      <c r="F17" s="66"/>
      <c r="G17" s="66"/>
      <c r="H17" s="211">
        <f t="shared" ref="H17:P17" si="4">H15/C15-1</f>
        <v>-1.6064257028112428E-2</v>
      </c>
      <c r="I17" s="66">
        <f t="shared" si="4"/>
        <v>-1.6949152542372836E-2</v>
      </c>
      <c r="J17" s="66">
        <f t="shared" si="4"/>
        <v>1.6949152542372836E-2</v>
      </c>
      <c r="K17" s="66">
        <f t="shared" si="4"/>
        <v>-9.6774193548387122E-2</v>
      </c>
      <c r="L17" s="66">
        <f t="shared" si="4"/>
        <v>-9.2307692307692313E-2</v>
      </c>
      <c r="M17" s="211">
        <f t="shared" si="4"/>
        <v>-4.8979591836734726E-2</v>
      </c>
      <c r="N17" s="66">
        <f t="shared" si="4"/>
        <v>-3.4482758620689613E-2</v>
      </c>
      <c r="O17" s="66">
        <f t="shared" si="4"/>
        <v>-9.9999999999999978E-2</v>
      </c>
      <c r="P17" s="66">
        <f t="shared" si="4"/>
        <v>-7.1428571428571397E-2</v>
      </c>
      <c r="Q17" s="66">
        <f>Q15/L15-1</f>
        <v>-8.4745762711864403E-2</v>
      </c>
      <c r="R17" s="211">
        <v>-7.2961373390557971E-2</v>
      </c>
      <c r="S17" s="66">
        <v>-3.5714285714285698E-2</v>
      </c>
      <c r="T17" s="66">
        <v>-0.11111111111111116</v>
      </c>
      <c r="U17" s="66">
        <v>-3.8461538461538436E-2</v>
      </c>
      <c r="V17" s="66">
        <v>-5.555555555555558E-2</v>
      </c>
      <c r="W17" s="211">
        <v>-6.018518518518523E-2</v>
      </c>
      <c r="X17" s="66">
        <v>-7.407407407407407E-2</v>
      </c>
      <c r="Y17" s="66">
        <v>-6.25E-2</v>
      </c>
      <c r="Z17" s="66">
        <v>-0.12</v>
      </c>
      <c r="AA17" s="66">
        <v>-3.9215686274509776E-2</v>
      </c>
      <c r="AB17" s="211">
        <v>-7.3891625615763568E-2</v>
      </c>
      <c r="AC17" s="22">
        <v>0</v>
      </c>
      <c r="AD17" s="22">
        <v>4.4444444444444509E-2</v>
      </c>
      <c r="AE17" s="22">
        <v>0.20454545454545459</v>
      </c>
      <c r="AF17" s="22">
        <v>2.0408163265306145E-2</v>
      </c>
      <c r="AG17" s="211">
        <v>6.3829787234042534E-2</v>
      </c>
      <c r="AH17" s="22">
        <v>4.0000000000000036E-2</v>
      </c>
      <c r="AI17" s="22">
        <v>-2.1276595744680882E-2</v>
      </c>
      <c r="AJ17" s="22">
        <v>-9.4339622641509413E-2</v>
      </c>
      <c r="AK17" s="22">
        <v>-6.0000000000000053E-2</v>
      </c>
      <c r="AL17" s="211">
        <v>-3.5000000000000031E-2</v>
      </c>
      <c r="AM17" s="22">
        <v>-7.6923076923076872E-2</v>
      </c>
      <c r="AN17" s="22">
        <v>2.1739130434782705E-2</v>
      </c>
      <c r="AO17" s="22">
        <v>6.25E-2</v>
      </c>
      <c r="AP17" s="22">
        <v>-2.1276595744680882E-2</v>
      </c>
      <c r="AQ17" s="211">
        <v>-5.1813471502590858E-3</v>
      </c>
      <c r="AR17" s="22">
        <v>-2.083333333333337E-2</v>
      </c>
      <c r="AS17" s="22">
        <v>-4.2553191489361653E-2</v>
      </c>
      <c r="AT17" s="139"/>
      <c r="AU17" s="22">
        <v>-9.8039215686274495E-2</v>
      </c>
      <c r="AV17" s="278"/>
      <c r="AW17" s="22">
        <v>0</v>
      </c>
      <c r="AX17" s="211">
        <v>-4.166666666666663E-2</v>
      </c>
    </row>
    <row r="18" spans="2:50" ht="13.9" customHeight="1">
      <c r="B18" s="12" t="s">
        <v>182</v>
      </c>
      <c r="C18" s="210">
        <v>947</v>
      </c>
      <c r="D18" s="355">
        <v>243</v>
      </c>
      <c r="E18" s="355">
        <v>237</v>
      </c>
      <c r="F18" s="355">
        <v>237</v>
      </c>
      <c r="G18" s="355">
        <f>H18-F18-E18-D18</f>
        <v>240</v>
      </c>
      <c r="H18" s="210">
        <v>957</v>
      </c>
      <c r="I18" s="355">
        <v>237</v>
      </c>
      <c r="J18" s="355">
        <v>246</v>
      </c>
      <c r="K18" s="355">
        <v>229</v>
      </c>
      <c r="L18" s="355">
        <f>M18-K18-J18-I18</f>
        <v>244</v>
      </c>
      <c r="M18" s="210">
        <v>956</v>
      </c>
      <c r="N18" s="355">
        <v>234</v>
      </c>
      <c r="O18" s="355">
        <v>248</v>
      </c>
      <c r="P18" s="355">
        <v>211</v>
      </c>
      <c r="Q18" s="355">
        <f>R18-P18-O18-N18</f>
        <v>230</v>
      </c>
      <c r="R18" s="210">
        <v>923</v>
      </c>
      <c r="S18" s="355">
        <v>231</v>
      </c>
      <c r="T18" s="355">
        <v>210</v>
      </c>
      <c r="U18" s="355">
        <v>195</v>
      </c>
      <c r="V18" s="355">
        <v>221</v>
      </c>
      <c r="W18" s="210">
        <v>857</v>
      </c>
      <c r="X18" s="355">
        <v>212</v>
      </c>
      <c r="Y18" s="355">
        <v>203</v>
      </c>
      <c r="Z18" s="355">
        <v>198</v>
      </c>
      <c r="AA18" s="355">
        <v>222</v>
      </c>
      <c r="AB18" s="210">
        <v>835</v>
      </c>
      <c r="AC18" s="19">
        <v>206</v>
      </c>
      <c r="AD18" s="19">
        <v>223</v>
      </c>
      <c r="AE18" s="19">
        <v>216</v>
      </c>
      <c r="AF18" s="19">
        <v>222</v>
      </c>
      <c r="AG18" s="210">
        <v>867</v>
      </c>
      <c r="AH18" s="19">
        <v>228</v>
      </c>
      <c r="AI18" s="19">
        <v>218</v>
      </c>
      <c r="AJ18" s="19">
        <v>205</v>
      </c>
      <c r="AK18" s="19">
        <v>210</v>
      </c>
      <c r="AL18" s="210">
        <v>861</v>
      </c>
      <c r="AM18" s="19">
        <v>227</v>
      </c>
      <c r="AN18" s="19">
        <v>229</v>
      </c>
      <c r="AO18" s="19">
        <v>224</v>
      </c>
      <c r="AP18" s="19">
        <v>190</v>
      </c>
      <c r="AQ18" s="210">
        <v>870</v>
      </c>
      <c r="AR18" s="19">
        <v>227</v>
      </c>
      <c r="AS18" s="19">
        <v>129</v>
      </c>
      <c r="AT18" s="137">
        <v>356</v>
      </c>
      <c r="AU18" s="19">
        <v>115</v>
      </c>
      <c r="AV18" s="276">
        <v>471</v>
      </c>
      <c r="AW18" s="19">
        <v>166</v>
      </c>
      <c r="AX18" s="210">
        <v>637</v>
      </c>
    </row>
    <row r="19" spans="2:50" ht="13.9" customHeight="1">
      <c r="B19" s="20" t="s">
        <v>5</v>
      </c>
      <c r="C19" s="211"/>
      <c r="D19" s="357"/>
      <c r="E19" s="357">
        <f>E18/D18-1</f>
        <v>-2.4691358024691357E-2</v>
      </c>
      <c r="F19" s="357">
        <f>F18/E18-1</f>
        <v>0</v>
      </c>
      <c r="G19" s="357">
        <f>G18/F18-1</f>
        <v>1.2658227848101333E-2</v>
      </c>
      <c r="H19" s="211"/>
      <c r="I19" s="357">
        <f>I18/G18-1</f>
        <v>-1.2499999999999956E-2</v>
      </c>
      <c r="J19" s="357">
        <f>J18/I18-1</f>
        <v>3.7974683544303778E-2</v>
      </c>
      <c r="K19" s="357">
        <f>K18/J18-1</f>
        <v>-6.9105691056910556E-2</v>
      </c>
      <c r="L19" s="357">
        <f>L18/K18-1</f>
        <v>6.5502183406113579E-2</v>
      </c>
      <c r="M19" s="211"/>
      <c r="N19" s="357">
        <f>N18/L18-1</f>
        <v>-4.0983606557377095E-2</v>
      </c>
      <c r="O19" s="357">
        <f>O18/N18-1</f>
        <v>5.9829059829059839E-2</v>
      </c>
      <c r="P19" s="357">
        <f>P18/O18-1</f>
        <v>-0.14919354838709675</v>
      </c>
      <c r="Q19" s="357">
        <f>Q18/P18-1</f>
        <v>9.004739336492884E-2</v>
      </c>
      <c r="R19" s="211"/>
      <c r="S19" s="357">
        <v>4.3478260869564966E-3</v>
      </c>
      <c r="T19" s="357">
        <v>-9.0909090909090939E-2</v>
      </c>
      <c r="U19" s="357">
        <v>-7.1428571428571397E-2</v>
      </c>
      <c r="V19" s="357">
        <v>0.1333333333333333</v>
      </c>
      <c r="W19" s="211"/>
      <c r="X19" s="357">
        <v>-4.0723981900452455E-2</v>
      </c>
      <c r="Y19" s="357">
        <v>-4.2452830188679291E-2</v>
      </c>
      <c r="Z19" s="357">
        <v>-2.4630541871921152E-2</v>
      </c>
      <c r="AA19" s="357">
        <v>0.1212121212121211</v>
      </c>
      <c r="AB19" s="211"/>
      <c r="AC19" s="21">
        <v>-7.2072072072072113E-2</v>
      </c>
      <c r="AD19" s="21">
        <v>8.2524271844660158E-2</v>
      </c>
      <c r="AE19" s="21">
        <v>-3.1390134529147962E-2</v>
      </c>
      <c r="AF19" s="21">
        <v>2.7777777777777679E-2</v>
      </c>
      <c r="AG19" s="211"/>
      <c r="AH19" s="21">
        <v>2.7027027027026973E-2</v>
      </c>
      <c r="AI19" s="21">
        <v>-4.3859649122807043E-2</v>
      </c>
      <c r="AJ19" s="21">
        <v>-5.9633027522935755E-2</v>
      </c>
      <c r="AK19" s="21">
        <v>2.4390243902439046E-2</v>
      </c>
      <c r="AL19" s="211"/>
      <c r="AM19" s="21">
        <v>8.0952380952380887E-2</v>
      </c>
      <c r="AN19" s="21">
        <v>8.8105726872247381E-3</v>
      </c>
      <c r="AO19" s="21">
        <v>-2.183406113537123E-2</v>
      </c>
      <c r="AP19" s="21">
        <v>-0.1517857142857143</v>
      </c>
      <c r="AQ19" s="211"/>
      <c r="AR19" s="21">
        <v>0.1947368421052631</v>
      </c>
      <c r="AS19" s="21">
        <v>-0.43171806167400884</v>
      </c>
      <c r="AT19" s="138"/>
      <c r="AU19" s="21">
        <v>-0.10852713178294571</v>
      </c>
      <c r="AV19" s="277"/>
      <c r="AW19" s="21">
        <v>0.44347826086956532</v>
      </c>
      <c r="AX19" s="211"/>
    </row>
    <row r="20" spans="2:50" ht="13.9" customHeight="1">
      <c r="B20" s="20" t="s">
        <v>6</v>
      </c>
      <c r="C20" s="211"/>
      <c r="D20" s="66"/>
      <c r="E20" s="66"/>
      <c r="F20" s="66"/>
      <c r="G20" s="66"/>
      <c r="H20" s="211">
        <f t="shared" ref="H20:P20" si="5">H18/C18-1</f>
        <v>1.0559662090813049E-2</v>
      </c>
      <c r="I20" s="66">
        <f t="shared" si="5"/>
        <v>-2.4691358024691357E-2</v>
      </c>
      <c r="J20" s="66">
        <f t="shared" si="5"/>
        <v>3.7974683544303778E-2</v>
      </c>
      <c r="K20" s="66">
        <f t="shared" si="5"/>
        <v>-3.3755274261603407E-2</v>
      </c>
      <c r="L20" s="66">
        <f t="shared" si="5"/>
        <v>1.6666666666666607E-2</v>
      </c>
      <c r="M20" s="211">
        <f t="shared" si="5"/>
        <v>-1.0449320794148065E-3</v>
      </c>
      <c r="N20" s="66">
        <f t="shared" si="5"/>
        <v>-1.2658227848101222E-2</v>
      </c>
      <c r="O20" s="66">
        <f t="shared" si="5"/>
        <v>8.1300813008129413E-3</v>
      </c>
      <c r="P20" s="66">
        <f t="shared" si="5"/>
        <v>-7.8602620087336206E-2</v>
      </c>
      <c r="Q20" s="66">
        <f>Q18/L18-1</f>
        <v>-5.7377049180327822E-2</v>
      </c>
      <c r="R20" s="211">
        <v>-3.451882845188281E-2</v>
      </c>
      <c r="S20" s="66">
        <v>-1.2820512820512775E-2</v>
      </c>
      <c r="T20" s="66">
        <v>-0.15322580645161288</v>
      </c>
      <c r="U20" s="66">
        <v>-7.582938388625593E-2</v>
      </c>
      <c r="V20" s="66">
        <v>-3.9130434782608692E-2</v>
      </c>
      <c r="W20" s="211">
        <v>-7.1505958829902516E-2</v>
      </c>
      <c r="X20" s="66">
        <v>-8.2251082251082241E-2</v>
      </c>
      <c r="Y20" s="66">
        <v>-3.3333333333333326E-2</v>
      </c>
      <c r="Z20" s="66">
        <v>1.538461538461533E-2</v>
      </c>
      <c r="AA20" s="66">
        <v>4.5248868778280382E-3</v>
      </c>
      <c r="AB20" s="211">
        <v>-2.5670945157526215E-2</v>
      </c>
      <c r="AC20" s="22">
        <v>-2.8301886792452824E-2</v>
      </c>
      <c r="AD20" s="22">
        <v>9.8522167487684831E-2</v>
      </c>
      <c r="AE20" s="22">
        <v>9.0909090909090828E-2</v>
      </c>
      <c r="AF20" s="22">
        <v>0</v>
      </c>
      <c r="AG20" s="211">
        <v>3.8323353293413076E-2</v>
      </c>
      <c r="AH20" s="22">
        <v>0.10679611650485432</v>
      </c>
      <c r="AI20" s="22">
        <v>-2.2421524663677084E-2</v>
      </c>
      <c r="AJ20" s="22">
        <v>-5.092592592592593E-2</v>
      </c>
      <c r="AK20" s="22">
        <v>-5.4054054054054057E-2</v>
      </c>
      <c r="AL20" s="211">
        <v>-6.9204152249134898E-3</v>
      </c>
      <c r="AM20" s="22">
        <v>-4.3859649122807154E-3</v>
      </c>
      <c r="AN20" s="22">
        <v>5.0458715596330306E-2</v>
      </c>
      <c r="AO20" s="22">
        <v>9.2682926829268375E-2</v>
      </c>
      <c r="AP20" s="22">
        <v>-9.5238095238095233E-2</v>
      </c>
      <c r="AQ20" s="211">
        <v>1.0452961672473782E-2</v>
      </c>
      <c r="AR20" s="22">
        <v>0</v>
      </c>
      <c r="AS20" s="22">
        <v>-0.4366812227074236</v>
      </c>
      <c r="AT20" s="139"/>
      <c r="AU20" s="22">
        <v>-0.4866071428571429</v>
      </c>
      <c r="AV20" s="278"/>
      <c r="AW20" s="22">
        <v>-0.12631578947368416</v>
      </c>
      <c r="AX20" s="211">
        <v>-0.26781609195402301</v>
      </c>
    </row>
    <row r="21" spans="2:50" ht="13.9" hidden="1" customHeight="1">
      <c r="B21" s="12" t="s">
        <v>154</v>
      </c>
      <c r="C21" s="215" t="s">
        <v>92</v>
      </c>
      <c r="D21" s="361">
        <v>0</v>
      </c>
      <c r="E21" s="361">
        <v>0</v>
      </c>
      <c r="F21" s="361">
        <v>0</v>
      </c>
      <c r="G21" s="361">
        <v>0</v>
      </c>
      <c r="H21" s="215">
        <v>0</v>
      </c>
      <c r="I21" s="61" t="s">
        <v>92</v>
      </c>
      <c r="J21" s="61" t="s">
        <v>92</v>
      </c>
      <c r="K21" s="361">
        <v>0</v>
      </c>
      <c r="L21" s="355">
        <v>1100</v>
      </c>
      <c r="M21" s="210">
        <v>1100</v>
      </c>
      <c r="N21" s="361">
        <v>0</v>
      </c>
      <c r="O21" s="361">
        <v>0</v>
      </c>
      <c r="P21" s="361">
        <v>0</v>
      </c>
      <c r="Q21" s="361">
        <v>0</v>
      </c>
      <c r="R21" s="215">
        <v>0</v>
      </c>
      <c r="S21" s="361">
        <v>0</v>
      </c>
      <c r="T21" s="361">
        <v>0</v>
      </c>
      <c r="U21" s="361">
        <v>0</v>
      </c>
      <c r="V21" s="361">
        <v>0</v>
      </c>
      <c r="W21" s="215">
        <v>0</v>
      </c>
      <c r="X21" s="361">
        <v>0</v>
      </c>
      <c r="Y21" s="361">
        <v>0</v>
      </c>
      <c r="Z21" s="361">
        <v>0</v>
      </c>
      <c r="AA21" s="361">
        <v>0</v>
      </c>
      <c r="AB21" s="215">
        <v>0</v>
      </c>
      <c r="AC21" s="24">
        <v>0</v>
      </c>
      <c r="AD21" s="24">
        <v>0</v>
      </c>
      <c r="AE21" s="24">
        <v>0</v>
      </c>
      <c r="AF21" s="24">
        <v>0</v>
      </c>
      <c r="AG21" s="215">
        <v>0</v>
      </c>
      <c r="AH21" s="24">
        <v>0</v>
      </c>
      <c r="AI21" s="24">
        <v>0</v>
      </c>
      <c r="AJ21" s="24">
        <v>0</v>
      </c>
      <c r="AK21" s="24">
        <v>0</v>
      </c>
      <c r="AL21" s="215">
        <v>0</v>
      </c>
      <c r="AM21" s="24">
        <v>0</v>
      </c>
      <c r="AN21" s="24">
        <v>0</v>
      </c>
      <c r="AO21" s="24">
        <v>0</v>
      </c>
      <c r="AP21" s="24">
        <v>0</v>
      </c>
      <c r="AQ21" s="215">
        <v>0</v>
      </c>
      <c r="AR21" s="24">
        <v>0</v>
      </c>
      <c r="AS21" s="24">
        <v>0</v>
      </c>
      <c r="AT21" s="137">
        <v>0</v>
      </c>
      <c r="AU21" s="24">
        <v>0</v>
      </c>
      <c r="AV21" s="276">
        <v>0</v>
      </c>
      <c r="AW21" s="24">
        <v>0</v>
      </c>
      <c r="AX21" s="215">
        <v>0</v>
      </c>
    </row>
    <row r="22" spans="2:50" ht="13.9" hidden="1" customHeight="1">
      <c r="B22" s="12"/>
      <c r="C22" s="215"/>
      <c r="D22" s="61"/>
      <c r="E22" s="61"/>
      <c r="F22" s="61"/>
      <c r="G22" s="61"/>
      <c r="H22" s="215"/>
      <c r="I22" s="61"/>
      <c r="J22" s="61"/>
      <c r="K22" s="61"/>
      <c r="L22" s="355"/>
      <c r="M22" s="210"/>
      <c r="N22" s="61"/>
      <c r="O22" s="61"/>
      <c r="P22" s="61"/>
      <c r="Q22" s="61"/>
      <c r="R22" s="215"/>
      <c r="S22" s="361"/>
      <c r="T22" s="61"/>
      <c r="U22" s="61"/>
      <c r="V22" s="61"/>
      <c r="W22" s="215"/>
      <c r="X22" s="361"/>
      <c r="Y22" s="61"/>
      <c r="Z22" s="61"/>
      <c r="AA22" s="61"/>
      <c r="AB22" s="215"/>
      <c r="AC22" s="24"/>
      <c r="AD22" s="61"/>
      <c r="AE22" s="61"/>
      <c r="AF22" s="61"/>
      <c r="AG22" s="215"/>
      <c r="AH22" s="24"/>
      <c r="AI22" s="61"/>
      <c r="AJ22" s="61"/>
      <c r="AK22" s="61"/>
      <c r="AL22" s="215"/>
      <c r="AM22" s="24"/>
      <c r="AN22" s="61"/>
      <c r="AO22" s="61"/>
      <c r="AP22" s="61"/>
      <c r="AQ22" s="215"/>
      <c r="AR22" s="24"/>
      <c r="AS22" s="61"/>
      <c r="AT22" s="138"/>
      <c r="AU22" s="61"/>
      <c r="AV22" s="279"/>
      <c r="AW22" s="61"/>
      <c r="AX22" s="215"/>
    </row>
    <row r="23" spans="2:50" ht="13.9" customHeight="1">
      <c r="B23" s="12" t="s">
        <v>166</v>
      </c>
      <c r="C23" s="213">
        <v>-11</v>
      </c>
      <c r="D23" s="361">
        <v>0</v>
      </c>
      <c r="E23" s="361">
        <v>0</v>
      </c>
      <c r="F23" s="361">
        <v>0</v>
      </c>
      <c r="G23" s="361">
        <v>0</v>
      </c>
      <c r="H23" s="215">
        <v>0</v>
      </c>
      <c r="I23" s="61">
        <v>2</v>
      </c>
      <c r="J23" s="61">
        <v>7</v>
      </c>
      <c r="K23" s="361">
        <v>0</v>
      </c>
      <c r="L23" s="61">
        <f>M23-J23-I23</f>
        <v>8</v>
      </c>
      <c r="M23" s="210">
        <v>17</v>
      </c>
      <c r="N23" s="61">
        <v>43</v>
      </c>
      <c r="O23" s="61">
        <v>-9</v>
      </c>
      <c r="P23" s="61">
        <v>1</v>
      </c>
      <c r="Q23" s="355">
        <f>R23-P23-O23-N23</f>
        <v>7</v>
      </c>
      <c r="R23" s="210">
        <v>42</v>
      </c>
      <c r="S23" s="361">
        <v>0</v>
      </c>
      <c r="T23" s="61">
        <v>-12</v>
      </c>
      <c r="U23" s="361">
        <v>0</v>
      </c>
      <c r="V23" s="61">
        <v>-3</v>
      </c>
      <c r="W23" s="213">
        <v>-15</v>
      </c>
      <c r="X23" s="61">
        <v>-2</v>
      </c>
      <c r="Y23" s="361">
        <v>0</v>
      </c>
      <c r="Z23" s="361">
        <v>1</v>
      </c>
      <c r="AA23" s="61">
        <v>13</v>
      </c>
      <c r="AB23" s="213">
        <v>12</v>
      </c>
      <c r="AC23" s="24">
        <v>0</v>
      </c>
      <c r="AD23" s="24">
        <v>2</v>
      </c>
      <c r="AE23" s="24">
        <v>0</v>
      </c>
      <c r="AF23" s="61">
        <v>1</v>
      </c>
      <c r="AG23" s="213">
        <v>3</v>
      </c>
      <c r="AH23" s="61">
        <v>-1</v>
      </c>
      <c r="AI23" s="24">
        <v>0</v>
      </c>
      <c r="AJ23" s="61">
        <v>-1</v>
      </c>
      <c r="AK23" s="61">
        <v>-3</v>
      </c>
      <c r="AL23" s="213">
        <v>-5</v>
      </c>
      <c r="AM23" s="24">
        <v>0</v>
      </c>
      <c r="AN23" s="24">
        <v>4</v>
      </c>
      <c r="AO23" s="61">
        <v>-1</v>
      </c>
      <c r="AP23" s="19">
        <v>5</v>
      </c>
      <c r="AQ23" s="213">
        <v>8</v>
      </c>
      <c r="AR23" s="24">
        <v>8</v>
      </c>
      <c r="AS23" s="61">
        <v>-1</v>
      </c>
      <c r="AT23" s="140">
        <v>7</v>
      </c>
      <c r="AU23" s="24">
        <v>0</v>
      </c>
      <c r="AV23" s="279">
        <v>7</v>
      </c>
      <c r="AW23" s="19">
        <v>5</v>
      </c>
      <c r="AX23" s="213">
        <v>12</v>
      </c>
    </row>
    <row r="24" spans="2:50" ht="13.9" customHeight="1">
      <c r="B24" s="12"/>
      <c r="C24" s="213"/>
      <c r="D24" s="61"/>
      <c r="E24" s="61"/>
      <c r="F24" s="61"/>
      <c r="G24" s="61"/>
      <c r="H24" s="215"/>
      <c r="I24" s="61"/>
      <c r="J24" s="61"/>
      <c r="K24" s="61"/>
      <c r="L24" s="61"/>
      <c r="M24" s="210"/>
      <c r="N24" s="61"/>
      <c r="O24" s="61"/>
      <c r="P24" s="61"/>
      <c r="Q24" s="355"/>
      <c r="R24" s="210"/>
      <c r="S24" s="361"/>
      <c r="T24" s="61"/>
      <c r="U24" s="361"/>
      <c r="V24" s="61"/>
      <c r="W24" s="213"/>
      <c r="X24" s="361"/>
      <c r="Y24" s="61"/>
      <c r="Z24" s="361"/>
      <c r="AA24" s="61"/>
      <c r="AB24" s="213"/>
      <c r="AC24" s="24"/>
      <c r="AD24" s="61"/>
      <c r="AE24" s="24"/>
      <c r="AF24" s="61"/>
      <c r="AG24" s="213"/>
      <c r="AH24" s="24"/>
      <c r="AI24" s="61"/>
      <c r="AJ24" s="24"/>
      <c r="AK24" s="61"/>
      <c r="AL24" s="213"/>
      <c r="AM24" s="24"/>
      <c r="AN24" s="61"/>
      <c r="AO24" s="24"/>
      <c r="AP24" s="61"/>
      <c r="AQ24" s="213"/>
      <c r="AR24" s="24"/>
      <c r="AS24" s="61"/>
      <c r="AT24" s="138"/>
      <c r="AU24" s="24"/>
      <c r="AV24" s="279"/>
      <c r="AW24" s="61"/>
      <c r="AX24" s="213"/>
    </row>
    <row r="25" spans="2:50" ht="3.75" customHeight="1">
      <c r="B25" s="201"/>
      <c r="C25" s="283"/>
      <c r="D25" s="283"/>
      <c r="E25" s="283"/>
      <c r="F25" s="283"/>
      <c r="G25" s="122"/>
      <c r="H25" s="283"/>
      <c r="I25" s="283"/>
      <c r="J25" s="283"/>
      <c r="K25" s="283"/>
      <c r="L25" s="122"/>
      <c r="M25" s="283"/>
      <c r="N25" s="283"/>
      <c r="O25" s="283"/>
      <c r="P25" s="283"/>
      <c r="Q25" s="122"/>
      <c r="R25" s="283"/>
      <c r="S25" s="283"/>
      <c r="T25" s="283"/>
      <c r="U25" s="283"/>
      <c r="V25" s="122"/>
      <c r="W25" s="283"/>
      <c r="X25" s="283"/>
      <c r="Y25" s="283"/>
      <c r="Z25" s="283"/>
      <c r="AA25" s="122"/>
      <c r="AB25" s="283"/>
      <c r="AC25" s="283"/>
      <c r="AD25" s="283"/>
      <c r="AE25" s="283"/>
      <c r="AF25" s="122"/>
      <c r="AG25" s="283"/>
      <c r="AH25" s="283"/>
      <c r="AI25" s="283"/>
      <c r="AJ25" s="283"/>
      <c r="AK25" s="283"/>
      <c r="AL25" s="283"/>
      <c r="AM25" s="283"/>
      <c r="AN25" s="283"/>
      <c r="AO25" s="283"/>
      <c r="AP25" s="283"/>
      <c r="AQ25" s="283"/>
      <c r="AR25" s="283"/>
      <c r="AS25" s="283"/>
      <c r="AT25" s="283"/>
      <c r="AU25" s="283"/>
      <c r="AV25" s="283"/>
      <c r="AW25" s="283"/>
      <c r="AX25" s="283"/>
    </row>
    <row r="26" spans="2:50" ht="13.9" customHeight="1">
      <c r="B26" s="12" t="s">
        <v>164</v>
      </c>
      <c r="C26" s="210">
        <v>264</v>
      </c>
      <c r="D26" s="355">
        <v>52</v>
      </c>
      <c r="E26" s="355">
        <v>49</v>
      </c>
      <c r="F26" s="355">
        <v>35</v>
      </c>
      <c r="G26" s="355">
        <f>H26-F26-E26-D26</f>
        <v>27</v>
      </c>
      <c r="H26" s="213">
        <f>H8-H12-H15-H18-H21-H23</f>
        <v>163</v>
      </c>
      <c r="I26" s="61">
        <v>-1</v>
      </c>
      <c r="J26" s="61">
        <v>-17</v>
      </c>
      <c r="K26" s="355">
        <v>1</v>
      </c>
      <c r="L26" s="61">
        <f>M26-K26-J26-I26</f>
        <v>-1139</v>
      </c>
      <c r="M26" s="213">
        <f>M8-M12-M15-M18-M21-M23</f>
        <v>-1156</v>
      </c>
      <c r="N26" s="61">
        <f>N8-N12-N15-N18-N21-N23</f>
        <v>-45</v>
      </c>
      <c r="O26" s="61">
        <f>O8-O12-O15-O18-O21-O23</f>
        <v>-24</v>
      </c>
      <c r="P26" s="61">
        <f>P8-P12-P15-P18-P21-P23</f>
        <v>20</v>
      </c>
      <c r="Q26" s="61">
        <f>R26-P26-O26-N26</f>
        <v>-6</v>
      </c>
      <c r="R26" s="213">
        <v>-55</v>
      </c>
      <c r="S26" s="61">
        <v>9</v>
      </c>
      <c r="T26" s="61">
        <v>23</v>
      </c>
      <c r="U26" s="61">
        <v>18</v>
      </c>
      <c r="V26" s="61">
        <v>-11</v>
      </c>
      <c r="W26" s="213">
        <v>39</v>
      </c>
      <c r="X26" s="61">
        <v>-6</v>
      </c>
      <c r="Y26" s="61">
        <v>22</v>
      </c>
      <c r="Z26" s="61">
        <v>30</v>
      </c>
      <c r="AA26" s="61">
        <v>-14</v>
      </c>
      <c r="AB26" s="213">
        <v>32</v>
      </c>
      <c r="AC26" s="61">
        <v>10</v>
      </c>
      <c r="AD26" s="61">
        <v>-2</v>
      </c>
      <c r="AE26" s="24">
        <v>0</v>
      </c>
      <c r="AF26" s="24">
        <v>0</v>
      </c>
      <c r="AG26" s="213">
        <v>8</v>
      </c>
      <c r="AH26" s="24">
        <v>0</v>
      </c>
      <c r="AI26" s="61">
        <v>26</v>
      </c>
      <c r="AJ26" s="24">
        <v>35</v>
      </c>
      <c r="AK26" s="19">
        <v>33</v>
      </c>
      <c r="AL26" s="213">
        <v>94</v>
      </c>
      <c r="AM26" s="61">
        <v>-18</v>
      </c>
      <c r="AN26" s="61">
        <v>-12</v>
      </c>
      <c r="AO26" s="24">
        <v>13</v>
      </c>
      <c r="AP26" s="19">
        <v>57</v>
      </c>
      <c r="AQ26" s="213">
        <v>40</v>
      </c>
      <c r="AR26" s="61">
        <v>-3</v>
      </c>
      <c r="AS26" s="61">
        <v>193</v>
      </c>
      <c r="AT26" s="140">
        <v>190</v>
      </c>
      <c r="AU26" s="24">
        <v>216</v>
      </c>
      <c r="AV26" s="279">
        <v>406</v>
      </c>
      <c r="AW26" s="19">
        <v>104</v>
      </c>
      <c r="AX26" s="213">
        <v>510</v>
      </c>
    </row>
    <row r="27" spans="2:50" ht="13.9" customHeight="1">
      <c r="B27" s="20" t="s">
        <v>5</v>
      </c>
      <c r="C27" s="211"/>
      <c r="D27" s="357"/>
      <c r="E27" s="357">
        <f>E26/D26-1</f>
        <v>-5.7692307692307709E-2</v>
      </c>
      <c r="F27" s="357">
        <f>F26/E26-1</f>
        <v>-0.2857142857142857</v>
      </c>
      <c r="G27" s="357">
        <f>G26/F26-1</f>
        <v>-0.22857142857142854</v>
      </c>
      <c r="H27" s="211"/>
      <c r="I27" s="359" t="s">
        <v>23</v>
      </c>
      <c r="J27" s="357">
        <f>J26/I26-1</f>
        <v>16</v>
      </c>
      <c r="K27" s="359" t="s">
        <v>23</v>
      </c>
      <c r="L27" s="359" t="s">
        <v>23</v>
      </c>
      <c r="M27" s="211"/>
      <c r="N27" s="359" t="s">
        <v>23</v>
      </c>
      <c r="O27" s="357">
        <f>O26/N26-1</f>
        <v>-0.46666666666666667</v>
      </c>
      <c r="P27" s="359" t="s">
        <v>23</v>
      </c>
      <c r="Q27" s="359" t="s">
        <v>23</v>
      </c>
      <c r="R27" s="211"/>
      <c r="S27" s="359" t="s">
        <v>23</v>
      </c>
      <c r="T27" s="357">
        <v>1.5555555555555554</v>
      </c>
      <c r="U27" s="357">
        <v>-0.21739130434782605</v>
      </c>
      <c r="V27" s="359" t="s">
        <v>23</v>
      </c>
      <c r="W27" s="211"/>
      <c r="X27" s="357">
        <v>-0.45454545454545459</v>
      </c>
      <c r="Y27" s="359" t="s">
        <v>23</v>
      </c>
      <c r="Z27" s="357">
        <v>0.36363636363636354</v>
      </c>
      <c r="AA27" s="359" t="s">
        <v>23</v>
      </c>
      <c r="AB27" s="211"/>
      <c r="AC27" s="31" t="s">
        <v>23</v>
      </c>
      <c r="AD27" s="31" t="s">
        <v>23</v>
      </c>
      <c r="AE27" s="31" t="s">
        <v>23</v>
      </c>
      <c r="AF27" s="31" t="s">
        <v>23</v>
      </c>
      <c r="AG27" s="211"/>
      <c r="AH27" s="31" t="s">
        <v>23</v>
      </c>
      <c r="AI27" s="31" t="s">
        <v>23</v>
      </c>
      <c r="AJ27" s="21">
        <v>0.34615384615384626</v>
      </c>
      <c r="AK27" s="21">
        <v>-5.7142857142857162E-2</v>
      </c>
      <c r="AL27" s="211"/>
      <c r="AM27" s="31" t="s">
        <v>23</v>
      </c>
      <c r="AN27" s="21">
        <v>-0.33333333333333337</v>
      </c>
      <c r="AO27" s="31" t="s">
        <v>23</v>
      </c>
      <c r="AP27" s="21">
        <v>3.384615384615385</v>
      </c>
      <c r="AQ27" s="211"/>
      <c r="AR27" s="31" t="s">
        <v>23</v>
      </c>
      <c r="AS27" s="31" t="s">
        <v>23</v>
      </c>
      <c r="AT27" s="138"/>
      <c r="AU27" s="21">
        <v>0.11917098445595853</v>
      </c>
      <c r="AV27" s="308"/>
      <c r="AW27" s="21">
        <v>-0.5185185185185186</v>
      </c>
      <c r="AX27" s="211"/>
    </row>
    <row r="28" spans="2:50" ht="13.9" customHeight="1">
      <c r="B28" s="20" t="s">
        <v>6</v>
      </c>
      <c r="C28" s="211"/>
      <c r="D28" s="66"/>
      <c r="E28" s="66"/>
      <c r="F28" s="66"/>
      <c r="G28" s="66"/>
      <c r="H28" s="211">
        <f>H26/C26-1</f>
        <v>-0.38257575757575757</v>
      </c>
      <c r="I28" s="359" t="s">
        <v>23</v>
      </c>
      <c r="J28" s="359" t="s">
        <v>23</v>
      </c>
      <c r="K28" s="66">
        <f>K26/F26-1</f>
        <v>-0.97142857142857142</v>
      </c>
      <c r="L28" s="359" t="s">
        <v>23</v>
      </c>
      <c r="M28" s="217" t="s">
        <v>23</v>
      </c>
      <c r="N28" s="359">
        <f>N26/I26-1</f>
        <v>44</v>
      </c>
      <c r="O28" s="66">
        <f>O26/J26-1</f>
        <v>0.41176470588235303</v>
      </c>
      <c r="P28" s="66">
        <f>P26/K26-1</f>
        <v>19</v>
      </c>
      <c r="Q28" s="359">
        <f>Q26/L26-1</f>
        <v>-0.99473222124670768</v>
      </c>
      <c r="R28" s="217">
        <v>-0.95242214532871972</v>
      </c>
      <c r="S28" s="359" t="s">
        <v>23</v>
      </c>
      <c r="T28" s="362" t="s">
        <v>23</v>
      </c>
      <c r="U28" s="66">
        <v>-9.9999999999999978E-2</v>
      </c>
      <c r="V28" s="359">
        <v>0.83333333333333326</v>
      </c>
      <c r="W28" s="217">
        <v>-1.709090909090909</v>
      </c>
      <c r="X28" s="359" t="s">
        <v>23</v>
      </c>
      <c r="Y28" s="66">
        <v>-4.3478260869565188E-2</v>
      </c>
      <c r="Z28" s="66">
        <v>0.66666666666666674</v>
      </c>
      <c r="AA28" s="359">
        <v>0.27272727272727271</v>
      </c>
      <c r="AB28" s="217">
        <v>-0.17948717948717952</v>
      </c>
      <c r="AC28" s="31" t="s">
        <v>23</v>
      </c>
      <c r="AD28" s="31" t="s">
        <v>23</v>
      </c>
      <c r="AE28" s="31" t="s">
        <v>23</v>
      </c>
      <c r="AF28" s="31" t="s">
        <v>23</v>
      </c>
      <c r="AG28" s="217">
        <v>-0.75</v>
      </c>
      <c r="AH28" s="31" t="s">
        <v>23</v>
      </c>
      <c r="AI28" s="31" t="s">
        <v>23</v>
      </c>
      <c r="AJ28" s="31" t="s">
        <v>23</v>
      </c>
      <c r="AK28" s="31" t="s">
        <v>23</v>
      </c>
      <c r="AL28" s="211">
        <v>10.75</v>
      </c>
      <c r="AM28" s="31" t="s">
        <v>23</v>
      </c>
      <c r="AN28" s="31" t="s">
        <v>23</v>
      </c>
      <c r="AO28" s="22">
        <v>-0.62857142857142856</v>
      </c>
      <c r="AP28" s="22">
        <v>0.72727272727272729</v>
      </c>
      <c r="AQ28" s="211">
        <v>-0.57446808510638303</v>
      </c>
      <c r="AR28" s="22">
        <v>-0.83333333333333337</v>
      </c>
      <c r="AS28" s="31" t="s">
        <v>23</v>
      </c>
      <c r="AT28" s="159"/>
      <c r="AU28" s="22">
        <v>15.615384615384617</v>
      </c>
      <c r="AV28" s="312"/>
      <c r="AW28" s="22">
        <v>0.82456140350877183</v>
      </c>
      <c r="AX28" s="211">
        <v>11.75</v>
      </c>
    </row>
    <row r="29" spans="2:50" ht="13.9" customHeight="1">
      <c r="B29" s="12" t="s">
        <v>354</v>
      </c>
      <c r="C29" s="210">
        <f>C12+C26</f>
        <v>560</v>
      </c>
      <c r="D29" s="106">
        <f>D26+D12</f>
        <v>122</v>
      </c>
      <c r="E29" s="106">
        <f>E26+E12</f>
        <v>120</v>
      </c>
      <c r="F29" s="106">
        <f>F26+F12</f>
        <v>107</v>
      </c>
      <c r="G29" s="355">
        <f>H29-F29-E29-D29</f>
        <v>99</v>
      </c>
      <c r="H29" s="210">
        <f>H12+H26</f>
        <v>448</v>
      </c>
      <c r="I29" s="106">
        <f>I26+I12</f>
        <v>78</v>
      </c>
      <c r="J29" s="106">
        <f>J26+J12</f>
        <v>62</v>
      </c>
      <c r="K29" s="106">
        <f>K26+K12</f>
        <v>82</v>
      </c>
      <c r="L29" s="61">
        <f>M29-K29-J29-I29</f>
        <v>-1055</v>
      </c>
      <c r="M29" s="213">
        <f>M12+M26</f>
        <v>-833</v>
      </c>
      <c r="N29" s="106">
        <f>N26+N12</f>
        <v>10</v>
      </c>
      <c r="O29" s="106">
        <f>O26+O12</f>
        <v>44</v>
      </c>
      <c r="P29" s="106">
        <f>P26+P12</f>
        <v>70</v>
      </c>
      <c r="Q29" s="61">
        <f>R29-P29-O29-N29</f>
        <v>40</v>
      </c>
      <c r="R29" s="213">
        <v>164</v>
      </c>
      <c r="S29" s="106">
        <v>53</v>
      </c>
      <c r="T29" s="106">
        <v>73</v>
      </c>
      <c r="U29" s="106">
        <v>68</v>
      </c>
      <c r="V29" s="61">
        <v>48</v>
      </c>
      <c r="W29" s="213">
        <v>242</v>
      </c>
      <c r="X29" s="106">
        <v>55</v>
      </c>
      <c r="Y29" s="106">
        <v>67</v>
      </c>
      <c r="Z29" s="106">
        <v>75</v>
      </c>
      <c r="AA29" s="61">
        <v>38</v>
      </c>
      <c r="AB29" s="213">
        <v>235</v>
      </c>
      <c r="AC29" s="25">
        <v>60</v>
      </c>
      <c r="AD29" s="25">
        <v>44</v>
      </c>
      <c r="AE29" s="25">
        <v>46</v>
      </c>
      <c r="AF29" s="61">
        <v>57</v>
      </c>
      <c r="AG29" s="213">
        <v>207</v>
      </c>
      <c r="AH29" s="25">
        <v>50</v>
      </c>
      <c r="AI29" s="25">
        <v>72</v>
      </c>
      <c r="AJ29" s="25">
        <v>76</v>
      </c>
      <c r="AK29" s="19">
        <v>62</v>
      </c>
      <c r="AL29" s="213">
        <v>260</v>
      </c>
      <c r="AM29" s="25">
        <v>40</v>
      </c>
      <c r="AN29" s="25">
        <v>36</v>
      </c>
      <c r="AO29" s="25">
        <v>43</v>
      </c>
      <c r="AP29" s="19">
        <v>76</v>
      </c>
      <c r="AQ29" s="213">
        <v>195</v>
      </c>
      <c r="AR29" s="25">
        <v>37</v>
      </c>
      <c r="AS29" s="25">
        <v>147</v>
      </c>
      <c r="AT29" s="137">
        <v>184</v>
      </c>
      <c r="AU29" s="25">
        <v>160</v>
      </c>
      <c r="AV29" s="276">
        <v>344</v>
      </c>
      <c r="AW29" s="19">
        <v>123</v>
      </c>
      <c r="AX29" s="213">
        <v>467</v>
      </c>
    </row>
    <row r="30" spans="2:50" ht="13.9" customHeight="1">
      <c r="B30" s="20" t="s">
        <v>5</v>
      </c>
      <c r="C30" s="211"/>
      <c r="D30" s="357"/>
      <c r="E30" s="357">
        <f>E29/D29-1</f>
        <v>-1.6393442622950838E-2</v>
      </c>
      <c r="F30" s="357">
        <f>F29/E29-1</f>
        <v>-0.10833333333333328</v>
      </c>
      <c r="G30" s="357">
        <f>G29/F29-1</f>
        <v>-7.4766355140186924E-2</v>
      </c>
      <c r="H30" s="211"/>
      <c r="I30" s="357">
        <f>I29/G29-1</f>
        <v>-0.21212121212121215</v>
      </c>
      <c r="J30" s="357">
        <f>J29/I29-1</f>
        <v>-0.20512820512820518</v>
      </c>
      <c r="K30" s="357">
        <f>K29/J29-1</f>
        <v>0.32258064516129026</v>
      </c>
      <c r="L30" s="359" t="s">
        <v>23</v>
      </c>
      <c r="M30" s="211"/>
      <c r="N30" s="362" t="s">
        <v>23</v>
      </c>
      <c r="O30" s="357">
        <f>O29/N29-1</f>
        <v>3.4000000000000004</v>
      </c>
      <c r="P30" s="357">
        <f>P29/O29-1</f>
        <v>0.59090909090909083</v>
      </c>
      <c r="Q30" s="357">
        <f>Q29/P29-1</f>
        <v>-0.4285714285714286</v>
      </c>
      <c r="R30" s="211"/>
      <c r="S30" s="357">
        <v>0.32499999999999996</v>
      </c>
      <c r="T30" s="357">
        <v>0.37735849056603765</v>
      </c>
      <c r="U30" s="357">
        <v>-6.8493150684931559E-2</v>
      </c>
      <c r="V30" s="357">
        <v>-0.29411764705882348</v>
      </c>
      <c r="W30" s="211"/>
      <c r="X30" s="357">
        <v>0.14583333333333326</v>
      </c>
      <c r="Y30" s="357">
        <v>0.21818181818181825</v>
      </c>
      <c r="Z30" s="357">
        <v>0.11940298507462677</v>
      </c>
      <c r="AA30" s="357">
        <v>-0.49333333333333329</v>
      </c>
      <c r="AB30" s="211"/>
      <c r="AC30" s="21">
        <v>0.57894736842105265</v>
      </c>
      <c r="AD30" s="21">
        <v>-0.26666666666666672</v>
      </c>
      <c r="AE30" s="21">
        <v>4.5454545454545414E-2</v>
      </c>
      <c r="AF30" s="21">
        <v>0.23913043478260865</v>
      </c>
      <c r="AG30" s="211"/>
      <c r="AH30" s="21">
        <v>-0.1228070175438597</v>
      </c>
      <c r="AI30" s="21">
        <v>0.43999999999999995</v>
      </c>
      <c r="AJ30" s="21">
        <v>5.555555555555558E-2</v>
      </c>
      <c r="AK30" s="21">
        <v>-0.18421052631578949</v>
      </c>
      <c r="AL30" s="211"/>
      <c r="AM30" s="21">
        <v>-0.35483870967741937</v>
      </c>
      <c r="AN30" s="21">
        <v>-9.9999999999999978E-2</v>
      </c>
      <c r="AO30" s="21">
        <v>0.19444444444444442</v>
      </c>
      <c r="AP30" s="21">
        <v>0.76744186046511631</v>
      </c>
      <c r="AQ30" s="211"/>
      <c r="AR30" s="21">
        <v>-0.51315789473684204</v>
      </c>
      <c r="AS30" s="21">
        <v>2.9729729729729728</v>
      </c>
      <c r="AT30" s="138"/>
      <c r="AU30" s="21">
        <v>8.8435374149659962E-2</v>
      </c>
      <c r="AV30" s="277"/>
      <c r="AW30" s="21">
        <v>-0.23124999999999996</v>
      </c>
      <c r="AX30" s="211"/>
    </row>
    <row r="31" spans="2:50" ht="13.9" customHeight="1">
      <c r="B31" s="20" t="s">
        <v>6</v>
      </c>
      <c r="C31" s="211"/>
      <c r="D31" s="66"/>
      <c r="E31" s="66"/>
      <c r="F31" s="66"/>
      <c r="G31" s="66"/>
      <c r="H31" s="211">
        <f>H29/C29-1</f>
        <v>-0.19999999999999996</v>
      </c>
      <c r="I31" s="66">
        <f>I29/D29-1</f>
        <v>-0.36065573770491799</v>
      </c>
      <c r="J31" s="66">
        <f>J29/E29-1</f>
        <v>-0.48333333333333328</v>
      </c>
      <c r="K31" s="66">
        <f>K29/F29-1</f>
        <v>-0.23364485981308414</v>
      </c>
      <c r="L31" s="359" t="s">
        <v>23</v>
      </c>
      <c r="M31" s="217" t="s">
        <v>23</v>
      </c>
      <c r="N31" s="66">
        <f>N29/I29-1</f>
        <v>-0.87179487179487181</v>
      </c>
      <c r="O31" s="66">
        <f>O29/J29-1</f>
        <v>-0.29032258064516125</v>
      </c>
      <c r="P31" s="66">
        <f>P29/K29-1</f>
        <v>-0.14634146341463417</v>
      </c>
      <c r="Q31" s="359" t="s">
        <v>23</v>
      </c>
      <c r="R31" s="217" t="s">
        <v>23</v>
      </c>
      <c r="S31" s="66">
        <v>4.3</v>
      </c>
      <c r="T31" s="66">
        <v>0.65909090909090917</v>
      </c>
      <c r="U31" s="66">
        <v>-2.8571428571428581E-2</v>
      </c>
      <c r="V31" s="359">
        <v>0.19999999999999996</v>
      </c>
      <c r="W31" s="211">
        <v>0.47560975609756095</v>
      </c>
      <c r="X31" s="66">
        <v>3.7735849056603765E-2</v>
      </c>
      <c r="Y31" s="66">
        <v>-8.2191780821917804E-2</v>
      </c>
      <c r="Z31" s="66">
        <v>0.10294117647058831</v>
      </c>
      <c r="AA31" s="359">
        <v>-0.20833333333333337</v>
      </c>
      <c r="AB31" s="211">
        <v>-2.8925619834710758E-2</v>
      </c>
      <c r="AC31" s="22">
        <v>9.0909090909090828E-2</v>
      </c>
      <c r="AD31" s="22">
        <v>-0.34328358208955223</v>
      </c>
      <c r="AE31" s="22">
        <v>-0.38666666666666671</v>
      </c>
      <c r="AF31" s="31">
        <v>0.5</v>
      </c>
      <c r="AG31" s="211">
        <v>-0.11914893617021272</v>
      </c>
      <c r="AH31" s="22">
        <v>-0.16666666666666663</v>
      </c>
      <c r="AI31" s="22">
        <v>0.63636363636363646</v>
      </c>
      <c r="AJ31" s="22">
        <v>0.65217391304347827</v>
      </c>
      <c r="AK31" s="22">
        <v>8.7719298245614086E-2</v>
      </c>
      <c r="AL31" s="211">
        <v>0.2560386473429952</v>
      </c>
      <c r="AM31" s="22">
        <v>-0.19999999999999996</v>
      </c>
      <c r="AN31" s="22">
        <v>-0.5</v>
      </c>
      <c r="AO31" s="22">
        <v>-0.43421052631578949</v>
      </c>
      <c r="AP31" s="22">
        <v>0.22580645161290325</v>
      </c>
      <c r="AQ31" s="211">
        <v>-0.25</v>
      </c>
      <c r="AR31" s="22">
        <v>-7.4999999999999956E-2</v>
      </c>
      <c r="AS31" s="22">
        <v>3.083333333333333</v>
      </c>
      <c r="AT31" s="139"/>
      <c r="AU31" s="22">
        <v>2.7209302325581395</v>
      </c>
      <c r="AV31" s="278"/>
      <c r="AW31" s="22">
        <v>0.61842105263157898</v>
      </c>
      <c r="AX31" s="211">
        <v>1.3948717948717948</v>
      </c>
    </row>
    <row r="32" spans="2:50" ht="13.9" customHeight="1">
      <c r="B32" s="34" t="s">
        <v>346</v>
      </c>
      <c r="C32" s="213">
        <f>C29+C23</f>
        <v>549</v>
      </c>
      <c r="D32" s="106">
        <f>D29+D23</f>
        <v>122</v>
      </c>
      <c r="E32" s="106">
        <f>E29+E23</f>
        <v>120</v>
      </c>
      <c r="F32" s="106">
        <f>F29+F23</f>
        <v>107</v>
      </c>
      <c r="G32" s="106">
        <f>G29+G23</f>
        <v>99</v>
      </c>
      <c r="H32" s="213">
        <f>H29</f>
        <v>448</v>
      </c>
      <c r="I32" s="106">
        <f>I29+I23</f>
        <v>80</v>
      </c>
      <c r="J32" s="106">
        <f>J29+J23</f>
        <v>69</v>
      </c>
      <c r="K32" s="106">
        <f>K29</f>
        <v>82</v>
      </c>
      <c r="L32" s="2">
        <f>M32-K32-J32-I32</f>
        <v>53</v>
      </c>
      <c r="M32" s="213">
        <f>M29+M21+M23</f>
        <v>284</v>
      </c>
      <c r="N32" s="106">
        <f>N29+N23</f>
        <v>53</v>
      </c>
      <c r="O32" s="106">
        <f>O29+O23</f>
        <v>35</v>
      </c>
      <c r="P32" s="106">
        <f>P29+P23</f>
        <v>71</v>
      </c>
      <c r="Q32" s="2">
        <f>R32-P32-O32-N32</f>
        <v>47</v>
      </c>
      <c r="R32" s="213">
        <v>206</v>
      </c>
      <c r="S32" s="106">
        <v>53</v>
      </c>
      <c r="T32" s="106">
        <v>61</v>
      </c>
      <c r="U32" s="106">
        <v>68</v>
      </c>
      <c r="V32" s="2">
        <v>45</v>
      </c>
      <c r="W32" s="213">
        <v>227</v>
      </c>
      <c r="X32" s="106">
        <v>54</v>
      </c>
      <c r="Y32" s="106">
        <v>68</v>
      </c>
      <c r="Z32" s="106">
        <v>77</v>
      </c>
      <c r="AA32" s="2">
        <v>51</v>
      </c>
      <c r="AB32" s="213">
        <v>250</v>
      </c>
      <c r="AC32" s="25">
        <v>60</v>
      </c>
      <c r="AD32" s="25">
        <v>46</v>
      </c>
      <c r="AE32" s="25">
        <v>47</v>
      </c>
      <c r="AF32" s="12">
        <v>59</v>
      </c>
      <c r="AG32" s="213">
        <v>212</v>
      </c>
      <c r="AH32" s="25">
        <v>50</v>
      </c>
      <c r="AI32" s="25">
        <v>72</v>
      </c>
      <c r="AJ32" s="25">
        <v>76</v>
      </c>
      <c r="AK32" s="19">
        <v>59</v>
      </c>
      <c r="AL32" s="213">
        <v>257</v>
      </c>
      <c r="AM32" s="25">
        <v>41</v>
      </c>
      <c r="AN32" s="25">
        <v>41</v>
      </c>
      <c r="AO32" s="25">
        <v>43</v>
      </c>
      <c r="AP32" s="19">
        <v>81</v>
      </c>
      <c r="AQ32" s="213">
        <v>206</v>
      </c>
      <c r="AR32" s="25">
        <v>46</v>
      </c>
      <c r="AS32" s="25">
        <v>148</v>
      </c>
      <c r="AT32" s="137">
        <v>194</v>
      </c>
      <c r="AU32" s="25">
        <v>161</v>
      </c>
      <c r="AV32" s="276">
        <v>355</v>
      </c>
      <c r="AW32" s="19">
        <v>128</v>
      </c>
      <c r="AX32" s="213">
        <v>483</v>
      </c>
    </row>
    <row r="33" spans="2:50" ht="13.9" customHeight="1">
      <c r="B33" s="34"/>
      <c r="C33" s="213"/>
      <c r="D33" s="61"/>
      <c r="E33" s="61"/>
      <c r="F33" s="61"/>
      <c r="G33" s="61"/>
      <c r="H33" s="211"/>
      <c r="I33" s="357"/>
      <c r="J33" s="357">
        <f>J32/I32-1</f>
        <v>-0.13749999999999996</v>
      </c>
      <c r="K33" s="357">
        <f>K32/J32-1</f>
        <v>0.18840579710144922</v>
      </c>
      <c r="L33" s="359">
        <f>L32/K32-1</f>
        <v>-0.35365853658536583</v>
      </c>
      <c r="M33" s="211"/>
      <c r="N33" s="362">
        <f>N32/L32-1</f>
        <v>0</v>
      </c>
      <c r="O33" s="357">
        <f>O32/N32-1</f>
        <v>-0.339622641509434</v>
      </c>
      <c r="P33" s="357">
        <f>P32/O32-1</f>
        <v>1.0285714285714285</v>
      </c>
      <c r="Q33" s="357">
        <f>Q32/P32-1</f>
        <v>-0.3380281690140845</v>
      </c>
      <c r="R33" s="211"/>
      <c r="S33" s="357">
        <v>0.12765957446808507</v>
      </c>
      <c r="T33" s="357">
        <v>0.15094339622641506</v>
      </c>
      <c r="U33" s="357">
        <v>0.11475409836065564</v>
      </c>
      <c r="V33" s="357">
        <v>-0.33823529411764708</v>
      </c>
      <c r="W33" s="211"/>
      <c r="X33" s="357">
        <v>0.19999999999999996</v>
      </c>
      <c r="Y33" s="357">
        <v>0.2592592592592593</v>
      </c>
      <c r="Z33" s="357">
        <v>0.13235294117647056</v>
      </c>
      <c r="AA33" s="357">
        <v>-0.33766233766233766</v>
      </c>
      <c r="AB33" s="211"/>
      <c r="AC33" s="21">
        <v>0.17647058823529416</v>
      </c>
      <c r="AD33" s="21">
        <v>-0.23333333333333328</v>
      </c>
      <c r="AE33" s="21">
        <v>2.1739130434782705E-2</v>
      </c>
      <c r="AF33" s="21">
        <v>0.25531914893617014</v>
      </c>
      <c r="AG33" s="211"/>
      <c r="AH33" s="21">
        <v>-0.15254237288135597</v>
      </c>
      <c r="AI33" s="21">
        <v>0.43999999999999995</v>
      </c>
      <c r="AJ33" s="21">
        <v>5.555555555555558E-2</v>
      </c>
      <c r="AK33" s="21">
        <v>-0.22368421052631582</v>
      </c>
      <c r="AL33" s="211"/>
      <c r="AM33" s="21">
        <v>-0.30508474576271183</v>
      </c>
      <c r="AN33" s="21">
        <v>0</v>
      </c>
      <c r="AO33" s="21">
        <v>4.8780487804878092E-2</v>
      </c>
      <c r="AP33" s="21">
        <v>0.88372093023255816</v>
      </c>
      <c r="AQ33" s="211"/>
      <c r="AR33" s="21">
        <v>-0.4320987654320988</v>
      </c>
      <c r="AS33" s="21">
        <v>2.2173913043478262</v>
      </c>
      <c r="AT33" s="138"/>
      <c r="AU33" s="21">
        <v>8.783783783783794E-2</v>
      </c>
      <c r="AV33" s="277"/>
      <c r="AW33" s="21">
        <v>-0.20496894409937894</v>
      </c>
      <c r="AX33" s="211"/>
    </row>
    <row r="34" spans="2:50" ht="13.9" customHeight="1">
      <c r="B34" s="34"/>
      <c r="C34" s="213"/>
      <c r="D34" s="61"/>
      <c r="E34" s="61"/>
      <c r="F34" s="61"/>
      <c r="G34" s="61"/>
      <c r="H34" s="211">
        <f>H32/C32-1</f>
        <v>-0.18397085610200359</v>
      </c>
      <c r="I34" s="66"/>
      <c r="J34" s="66"/>
      <c r="K34" s="66"/>
      <c r="L34" s="359"/>
      <c r="M34" s="211">
        <f t="shared" ref="M34:Q34" si="6">M32/H32-1</f>
        <v>-0.3660714285714286</v>
      </c>
      <c r="N34" s="66">
        <f t="shared" si="6"/>
        <v>-0.33750000000000002</v>
      </c>
      <c r="O34" s="66">
        <f t="shared" si="6"/>
        <v>-0.49275362318840576</v>
      </c>
      <c r="P34" s="66">
        <f t="shared" si="6"/>
        <v>-0.13414634146341464</v>
      </c>
      <c r="Q34" s="66">
        <f t="shared" si="6"/>
        <v>-0.1132075471698113</v>
      </c>
      <c r="R34" s="211">
        <v>-0.27464788732394363</v>
      </c>
      <c r="S34" s="66">
        <v>0</v>
      </c>
      <c r="T34" s="66">
        <v>0.74285714285714288</v>
      </c>
      <c r="U34" s="66">
        <v>-4.2253521126760618E-2</v>
      </c>
      <c r="V34" s="66">
        <v>-4.2553191489361653E-2</v>
      </c>
      <c r="W34" s="211">
        <v>0.10194174757281549</v>
      </c>
      <c r="X34" s="66">
        <v>1.8867924528301883E-2</v>
      </c>
      <c r="Y34" s="66">
        <v>0.11475409836065564</v>
      </c>
      <c r="Z34" s="66"/>
      <c r="AA34" s="66">
        <v>0.1333333333333333</v>
      </c>
      <c r="AB34" s="211">
        <v>0.1013215859030836</v>
      </c>
      <c r="AC34" s="22">
        <v>0.11111111111111116</v>
      </c>
      <c r="AD34" s="22">
        <v>-0.32352941176470584</v>
      </c>
      <c r="AE34" s="22">
        <v>-0.38961038961038963</v>
      </c>
      <c r="AF34" s="22">
        <v>0.15686274509803932</v>
      </c>
      <c r="AG34" s="211">
        <v>-0.15200000000000002</v>
      </c>
      <c r="AH34" s="22">
        <v>-0.16666666666666663</v>
      </c>
      <c r="AI34" s="22">
        <v>0.56521739130434789</v>
      </c>
      <c r="AJ34" s="22">
        <v>0.61702127659574457</v>
      </c>
      <c r="AK34" s="22">
        <v>0</v>
      </c>
      <c r="AL34" s="211">
        <v>0.21226415094339623</v>
      </c>
      <c r="AM34" s="22">
        <v>-0.18000000000000005</v>
      </c>
      <c r="AN34" s="22">
        <v>-0.43055555555555558</v>
      </c>
      <c r="AO34" s="22">
        <v>-0.43421052631578949</v>
      </c>
      <c r="AP34" s="22">
        <v>0.37288135593220328</v>
      </c>
      <c r="AQ34" s="211">
        <v>-0.19844357976653693</v>
      </c>
      <c r="AR34" s="22">
        <v>0.12195121951219523</v>
      </c>
      <c r="AS34" s="22">
        <v>2.6097560975609757</v>
      </c>
      <c r="AT34" s="139"/>
      <c r="AU34" s="22">
        <v>2.7441860465116279</v>
      </c>
      <c r="AV34" s="278"/>
      <c r="AW34" s="22">
        <v>0.58024691358024683</v>
      </c>
      <c r="AX34" s="211">
        <v>1.3446601941747574</v>
      </c>
    </row>
    <row r="35" spans="2:50" ht="13.9" customHeight="1">
      <c r="B35" s="12" t="s">
        <v>355</v>
      </c>
      <c r="C35" s="231">
        <f t="shared" ref="C35:Q35" si="7">C32/C8</f>
        <v>0.31461318051575932</v>
      </c>
      <c r="D35" s="50">
        <f t="shared" si="7"/>
        <v>0.28773584905660377</v>
      </c>
      <c r="E35" s="50">
        <f t="shared" si="7"/>
        <v>0.28846153846153844</v>
      </c>
      <c r="F35" s="50">
        <f t="shared" si="7"/>
        <v>0.26354679802955666</v>
      </c>
      <c r="G35" s="50">
        <f t="shared" si="7"/>
        <v>0.24504950495049505</v>
      </c>
      <c r="H35" s="231">
        <f t="shared" si="7"/>
        <v>0.27151515151515154</v>
      </c>
      <c r="I35" s="50">
        <f t="shared" si="7"/>
        <v>0.21333333333333335</v>
      </c>
      <c r="J35" s="50">
        <f t="shared" si="7"/>
        <v>0.184</v>
      </c>
      <c r="K35" s="50">
        <f t="shared" si="7"/>
        <v>0.22343324250681199</v>
      </c>
      <c r="L35" s="50">
        <f t="shared" si="7"/>
        <v>0.14887640449438203</v>
      </c>
      <c r="M35" s="231">
        <f t="shared" si="7"/>
        <v>0.19280380176510523</v>
      </c>
      <c r="N35" s="50">
        <f t="shared" si="7"/>
        <v>0.15451895043731778</v>
      </c>
      <c r="O35" s="50">
        <f t="shared" si="7"/>
        <v>0.10385756676557864</v>
      </c>
      <c r="P35" s="50">
        <f t="shared" si="7"/>
        <v>0.21257485029940121</v>
      </c>
      <c r="Q35" s="50">
        <f t="shared" si="7"/>
        <v>0.1419939577039275</v>
      </c>
      <c r="R35" s="231">
        <v>0.15315985130111523</v>
      </c>
      <c r="S35" s="50">
        <v>0.15680473372781065</v>
      </c>
      <c r="T35" s="50">
        <v>0.19122257053291536</v>
      </c>
      <c r="U35" s="50">
        <v>0.21725239616613418</v>
      </c>
      <c r="V35" s="50">
        <v>0.14195583596214512</v>
      </c>
      <c r="W35" s="231">
        <v>0.17637917637917638</v>
      </c>
      <c r="X35" s="50">
        <v>0.17142857142857143</v>
      </c>
      <c r="Y35" s="50">
        <v>0.21587301587301588</v>
      </c>
      <c r="Z35" s="50">
        <v>0.24213836477987422</v>
      </c>
      <c r="AA35" s="50">
        <v>0.15838509316770186</v>
      </c>
      <c r="AB35" s="231">
        <v>0.19685039370078741</v>
      </c>
      <c r="AC35" s="26">
        <v>0.189873417721519</v>
      </c>
      <c r="AD35" s="26">
        <v>0.14556962025316456</v>
      </c>
      <c r="AE35" s="26">
        <v>0.1492063492063492</v>
      </c>
      <c r="AF35" s="26">
        <v>0.1787878787878788</v>
      </c>
      <c r="AG35" s="231">
        <v>0.16601409553641347</v>
      </c>
      <c r="AH35" s="26">
        <v>0.1519756838905775</v>
      </c>
      <c r="AI35" s="26">
        <v>0.21428571428571427</v>
      </c>
      <c r="AJ35" s="26">
        <v>0.23170731707317074</v>
      </c>
      <c r="AK35" s="26">
        <v>0.18670886075949367</v>
      </c>
      <c r="AL35" s="231">
        <v>0.19633307868601987</v>
      </c>
      <c r="AM35" s="26">
        <v>0.13015873015873017</v>
      </c>
      <c r="AN35" s="26">
        <v>0.12974683544303797</v>
      </c>
      <c r="AO35" s="26">
        <v>0.13564668769716087</v>
      </c>
      <c r="AP35" s="26">
        <v>0.25552050473186122</v>
      </c>
      <c r="AQ35" s="231">
        <v>0.16284584980237155</v>
      </c>
      <c r="AR35" s="26">
        <v>0.14420062695924765</v>
      </c>
      <c r="AS35" s="26">
        <v>0.46250000000000002</v>
      </c>
      <c r="AT35" s="141">
        <v>0.30359937402190923</v>
      </c>
      <c r="AU35" s="26">
        <v>0.50155763239875384</v>
      </c>
      <c r="AV35" s="295">
        <v>0.36979166666666669</v>
      </c>
      <c r="AW35" s="26">
        <v>0.37647058823529411</v>
      </c>
      <c r="AX35" s="231">
        <v>0.37153846153846154</v>
      </c>
    </row>
    <row r="36" spans="2:50" ht="13.9" customHeight="1">
      <c r="B36" s="20"/>
      <c r="C36" s="211"/>
      <c r="D36" s="66"/>
      <c r="E36" s="66"/>
      <c r="F36" s="66"/>
      <c r="G36" s="66"/>
      <c r="H36" s="211"/>
      <c r="I36" s="359"/>
      <c r="J36" s="359"/>
      <c r="K36" s="66"/>
      <c r="L36" s="359"/>
      <c r="M36" s="217"/>
      <c r="N36" s="359"/>
      <c r="O36" s="66"/>
      <c r="P36" s="66"/>
      <c r="Q36" s="359"/>
      <c r="R36" s="217"/>
      <c r="S36" s="359"/>
      <c r="T36" s="362"/>
      <c r="U36" s="66"/>
      <c r="V36" s="359"/>
      <c r="W36" s="217"/>
      <c r="X36" s="359"/>
      <c r="Y36" s="66"/>
      <c r="Z36" s="66"/>
      <c r="AA36" s="359"/>
      <c r="AB36" s="217"/>
      <c r="AC36" s="31"/>
      <c r="AD36" s="31"/>
      <c r="AE36" s="31"/>
      <c r="AF36" s="31"/>
      <c r="AG36" s="217"/>
      <c r="AH36" s="31"/>
      <c r="AI36" s="31"/>
      <c r="AJ36" s="31"/>
      <c r="AK36" s="31"/>
      <c r="AL36" s="217"/>
      <c r="AM36" s="31"/>
      <c r="AN36" s="31"/>
      <c r="AO36" s="31"/>
      <c r="AP36" s="31"/>
      <c r="AQ36" s="217"/>
      <c r="AR36" s="31"/>
      <c r="AS36" s="31"/>
      <c r="AT36" s="139"/>
      <c r="AU36" s="31"/>
      <c r="AV36" s="278"/>
      <c r="AW36" s="31"/>
      <c r="AX36" s="217"/>
    </row>
    <row r="37" spans="2:50" ht="13.9" customHeight="1">
      <c r="B37" s="12" t="s">
        <v>48</v>
      </c>
      <c r="C37" s="210">
        <v>58</v>
      </c>
      <c r="D37" s="355">
        <v>27</v>
      </c>
      <c r="E37" s="355">
        <v>32</v>
      </c>
      <c r="F37" s="61">
        <v>-1</v>
      </c>
      <c r="G37" s="355">
        <f>H37-F37-E37-D37</f>
        <v>13</v>
      </c>
      <c r="H37" s="210">
        <v>71</v>
      </c>
      <c r="I37" s="61">
        <v>-3</v>
      </c>
      <c r="J37" s="61">
        <v>-7</v>
      </c>
      <c r="K37" s="61">
        <v>3</v>
      </c>
      <c r="L37" s="61">
        <f>M37-K37-J37-I37</f>
        <v>-4</v>
      </c>
      <c r="M37" s="213">
        <v>-11</v>
      </c>
      <c r="N37" s="61">
        <v>5</v>
      </c>
      <c r="O37" s="61">
        <v>2</v>
      </c>
      <c r="P37" s="61">
        <v>4</v>
      </c>
      <c r="Q37" s="61">
        <f>R37-P37-O37-N37</f>
        <v>1</v>
      </c>
      <c r="R37" s="213">
        <v>12</v>
      </c>
      <c r="S37" s="61">
        <v>-5</v>
      </c>
      <c r="T37" s="61">
        <v>4</v>
      </c>
      <c r="U37" s="61">
        <v>1</v>
      </c>
      <c r="V37" s="61">
        <v>13</v>
      </c>
      <c r="W37" s="213">
        <v>13</v>
      </c>
      <c r="X37" s="61">
        <v>-7</v>
      </c>
      <c r="Y37" s="61">
        <v>4</v>
      </c>
      <c r="Z37" s="61">
        <v>1</v>
      </c>
      <c r="AA37" s="61">
        <v>3</v>
      </c>
      <c r="AB37" s="213">
        <v>1</v>
      </c>
      <c r="AC37" s="61">
        <v>-1</v>
      </c>
      <c r="AD37" s="61">
        <v>-4</v>
      </c>
      <c r="AE37" s="61">
        <v>-1</v>
      </c>
      <c r="AF37" s="24">
        <v>0</v>
      </c>
      <c r="AG37" s="213">
        <v>-6</v>
      </c>
      <c r="AH37" s="61">
        <v>-5</v>
      </c>
      <c r="AI37" s="61">
        <v>-4</v>
      </c>
      <c r="AJ37" s="61">
        <v>-6</v>
      </c>
      <c r="AK37" s="19">
        <v>6</v>
      </c>
      <c r="AL37" s="213">
        <v>-9</v>
      </c>
      <c r="AM37" s="61">
        <v>-5</v>
      </c>
      <c r="AN37" s="61">
        <v>-7</v>
      </c>
      <c r="AO37" s="24">
        <v>0</v>
      </c>
      <c r="AP37" s="19">
        <v>2</v>
      </c>
      <c r="AQ37" s="213">
        <v>-10</v>
      </c>
      <c r="AR37" s="61">
        <v>-6</v>
      </c>
      <c r="AS37" s="61">
        <v>21</v>
      </c>
      <c r="AT37" s="140">
        <v>15</v>
      </c>
      <c r="AU37" s="24">
        <v>3</v>
      </c>
      <c r="AV37" s="279">
        <v>18</v>
      </c>
      <c r="AW37" s="19">
        <v>6</v>
      </c>
      <c r="AX37" s="213">
        <v>24</v>
      </c>
    </row>
    <row r="38" spans="2:50" ht="13.9" customHeight="1">
      <c r="B38" s="20" t="s">
        <v>5</v>
      </c>
      <c r="C38" s="211"/>
      <c r="D38" s="357"/>
      <c r="E38" s="357">
        <f>E37/D37-1</f>
        <v>0.18518518518518512</v>
      </c>
      <c r="F38" s="359" t="s">
        <v>23</v>
      </c>
      <c r="G38" s="359" t="s">
        <v>23</v>
      </c>
      <c r="H38" s="211"/>
      <c r="I38" s="362" t="s">
        <v>23</v>
      </c>
      <c r="J38" s="357">
        <f>J37/I37-1</f>
        <v>1.3333333333333335</v>
      </c>
      <c r="K38" s="359" t="s">
        <v>23</v>
      </c>
      <c r="L38" s="359" t="s">
        <v>23</v>
      </c>
      <c r="M38" s="211"/>
      <c r="N38" s="362" t="s">
        <v>23</v>
      </c>
      <c r="O38" s="357">
        <f>O37/N37-1</f>
        <v>-0.6</v>
      </c>
      <c r="P38" s="357">
        <f>P37/O37-1</f>
        <v>1</v>
      </c>
      <c r="Q38" s="357">
        <f>Q37/P37-1</f>
        <v>-0.75</v>
      </c>
      <c r="R38" s="211"/>
      <c r="S38" s="359" t="s">
        <v>23</v>
      </c>
      <c r="T38" s="362" t="s">
        <v>23</v>
      </c>
      <c r="U38" s="357">
        <v>-0.75</v>
      </c>
      <c r="V38" s="357">
        <v>12</v>
      </c>
      <c r="W38" s="211"/>
      <c r="X38" s="359" t="s">
        <v>23</v>
      </c>
      <c r="Y38" s="362" t="s">
        <v>23</v>
      </c>
      <c r="Z38" s="357">
        <v>-0.75</v>
      </c>
      <c r="AA38" s="357">
        <v>2</v>
      </c>
      <c r="AB38" s="211"/>
      <c r="AC38" s="31" t="s">
        <v>23</v>
      </c>
      <c r="AD38" s="21">
        <v>3</v>
      </c>
      <c r="AE38" s="21">
        <v>-0.75</v>
      </c>
      <c r="AF38" s="31" t="s">
        <v>23</v>
      </c>
      <c r="AG38" s="211"/>
      <c r="AH38" s="31" t="s">
        <v>23</v>
      </c>
      <c r="AI38" s="21">
        <v>-0.19999999999999996</v>
      </c>
      <c r="AJ38" s="21">
        <v>0.5</v>
      </c>
      <c r="AK38" s="21">
        <v>-2</v>
      </c>
      <c r="AL38" s="211"/>
      <c r="AM38" s="31" t="s">
        <v>23</v>
      </c>
      <c r="AN38" s="21">
        <v>0.39999999999999991</v>
      </c>
      <c r="AO38" s="31" t="s">
        <v>23</v>
      </c>
      <c r="AP38" s="31" t="s">
        <v>23</v>
      </c>
      <c r="AQ38" s="211"/>
      <c r="AR38" s="31" t="s">
        <v>23</v>
      </c>
      <c r="AS38" s="31" t="s">
        <v>23</v>
      </c>
      <c r="AT38" s="138"/>
      <c r="AU38" s="21">
        <v>-0.85714285714285721</v>
      </c>
      <c r="AV38" s="308"/>
      <c r="AW38" s="21">
        <v>1</v>
      </c>
      <c r="AX38" s="211"/>
    </row>
    <row r="39" spans="2:50" ht="13.9" customHeight="1">
      <c r="B39" s="20" t="s">
        <v>6</v>
      </c>
      <c r="C39" s="211"/>
      <c r="D39" s="66"/>
      <c r="E39" s="66"/>
      <c r="F39" s="359"/>
      <c r="G39" s="66"/>
      <c r="H39" s="211">
        <f>H37/C37-1</f>
        <v>0.22413793103448265</v>
      </c>
      <c r="I39" s="362" t="s">
        <v>23</v>
      </c>
      <c r="J39" s="359" t="s">
        <v>23</v>
      </c>
      <c r="K39" s="359" t="s">
        <v>23</v>
      </c>
      <c r="L39" s="359" t="s">
        <v>23</v>
      </c>
      <c r="M39" s="217" t="s">
        <v>23</v>
      </c>
      <c r="N39" s="362" t="s">
        <v>23</v>
      </c>
      <c r="O39" s="362" t="s">
        <v>23</v>
      </c>
      <c r="P39" s="66">
        <f>P37/K37-1</f>
        <v>0.33333333333333326</v>
      </c>
      <c r="Q39" s="359" t="s">
        <v>23</v>
      </c>
      <c r="R39" s="217" t="s">
        <v>23</v>
      </c>
      <c r="S39" s="359" t="s">
        <v>23</v>
      </c>
      <c r="T39" s="66">
        <v>1</v>
      </c>
      <c r="U39" s="66">
        <v>-0.75</v>
      </c>
      <c r="V39" s="359">
        <v>12</v>
      </c>
      <c r="W39" s="217" t="s">
        <v>23</v>
      </c>
      <c r="X39" s="66">
        <v>0.39999999999999991</v>
      </c>
      <c r="Y39" s="66">
        <v>0</v>
      </c>
      <c r="Z39" s="66">
        <v>0</v>
      </c>
      <c r="AA39" s="359">
        <v>-0.76923076923076916</v>
      </c>
      <c r="AB39" s="217">
        <v>-0.92307692307692313</v>
      </c>
      <c r="AC39" s="22">
        <v>-0.85714285714285721</v>
      </c>
      <c r="AD39" s="29" t="s">
        <v>23</v>
      </c>
      <c r="AE39" s="31" t="s">
        <v>23</v>
      </c>
      <c r="AF39" s="31" t="s">
        <v>23</v>
      </c>
      <c r="AG39" s="217" t="s">
        <v>23</v>
      </c>
      <c r="AH39" s="22">
        <v>4</v>
      </c>
      <c r="AI39" s="22">
        <v>0</v>
      </c>
      <c r="AJ39" s="22">
        <v>5</v>
      </c>
      <c r="AK39" s="31" t="s">
        <v>23</v>
      </c>
      <c r="AL39" s="211">
        <v>0.5</v>
      </c>
      <c r="AM39" s="22">
        <v>0</v>
      </c>
      <c r="AN39" s="22">
        <v>0.75</v>
      </c>
      <c r="AO39" s="31" t="s">
        <v>23</v>
      </c>
      <c r="AP39" s="22">
        <v>-0.66666666666666674</v>
      </c>
      <c r="AQ39" s="211">
        <v>0.11111111111111116</v>
      </c>
      <c r="AR39" s="22">
        <v>0.19999999999999996</v>
      </c>
      <c r="AS39" s="22">
        <v>-4</v>
      </c>
      <c r="AT39" s="139"/>
      <c r="AU39" s="31" t="s">
        <v>23</v>
      </c>
      <c r="AV39" s="312"/>
      <c r="AW39" s="22">
        <v>2</v>
      </c>
      <c r="AX39" s="211">
        <v>-3.4</v>
      </c>
    </row>
    <row r="40" spans="2:50" ht="13.9" customHeight="1">
      <c r="B40" s="12" t="s">
        <v>353</v>
      </c>
      <c r="C40" s="213">
        <v>68</v>
      </c>
      <c r="D40" s="61">
        <v>19</v>
      </c>
      <c r="E40" s="61">
        <v>-151</v>
      </c>
      <c r="F40" s="61">
        <v>-123</v>
      </c>
      <c r="G40" s="61">
        <f>H40-F40-E40-D40</f>
        <v>11</v>
      </c>
      <c r="H40" s="213">
        <v>-244</v>
      </c>
      <c r="I40" s="61">
        <v>1</v>
      </c>
      <c r="J40" s="61">
        <v>-10</v>
      </c>
      <c r="K40" s="61">
        <v>-2</v>
      </c>
      <c r="L40" s="61">
        <f>M40-K40-J40-I40</f>
        <v>-1137</v>
      </c>
      <c r="M40" s="213">
        <v>-1148</v>
      </c>
      <c r="N40" s="61">
        <v>-50</v>
      </c>
      <c r="O40" s="61">
        <v>-27</v>
      </c>
      <c r="P40" s="61">
        <v>15</v>
      </c>
      <c r="Q40" s="61">
        <f>R40-P40-O40-N40</f>
        <v>-7</v>
      </c>
      <c r="R40" s="213">
        <v>-69</v>
      </c>
      <c r="S40" s="61">
        <v>14</v>
      </c>
      <c r="T40" s="61">
        <v>18</v>
      </c>
      <c r="U40" s="61">
        <v>16</v>
      </c>
      <c r="V40" s="61">
        <v>-24</v>
      </c>
      <c r="W40" s="213">
        <v>24</v>
      </c>
      <c r="X40" s="361">
        <v>0</v>
      </c>
      <c r="Y40" s="61">
        <v>18</v>
      </c>
      <c r="Z40" s="61">
        <v>29</v>
      </c>
      <c r="AA40" s="61">
        <v>-17</v>
      </c>
      <c r="AB40" s="213">
        <v>30</v>
      </c>
      <c r="AC40" s="24">
        <v>10</v>
      </c>
      <c r="AD40" s="61">
        <v>2</v>
      </c>
      <c r="AE40" s="24">
        <v>0</v>
      </c>
      <c r="AF40" s="61">
        <v>1</v>
      </c>
      <c r="AG40" s="213">
        <v>13</v>
      </c>
      <c r="AH40" s="24">
        <v>5</v>
      </c>
      <c r="AI40" s="61">
        <v>30</v>
      </c>
      <c r="AJ40" s="24">
        <v>40</v>
      </c>
      <c r="AK40" s="19">
        <v>27</v>
      </c>
      <c r="AL40" s="213">
        <v>102</v>
      </c>
      <c r="AM40" s="61">
        <v>-13</v>
      </c>
      <c r="AN40" s="61">
        <v>-5</v>
      </c>
      <c r="AO40" s="24">
        <v>12</v>
      </c>
      <c r="AP40" s="19">
        <v>55</v>
      </c>
      <c r="AQ40" s="213">
        <v>49</v>
      </c>
      <c r="AR40" s="61">
        <v>3</v>
      </c>
      <c r="AS40" s="61">
        <v>172</v>
      </c>
      <c r="AT40" s="140">
        <v>175</v>
      </c>
      <c r="AU40" s="24">
        <v>213</v>
      </c>
      <c r="AV40" s="279">
        <v>388</v>
      </c>
      <c r="AW40" s="19">
        <v>97</v>
      </c>
      <c r="AX40" s="213">
        <v>485</v>
      </c>
    </row>
    <row r="41" spans="2:50" ht="13.9" customHeight="1">
      <c r="B41" s="20" t="s">
        <v>5</v>
      </c>
      <c r="C41" s="211"/>
      <c r="D41" s="357"/>
      <c r="E41" s="359" t="s">
        <v>23</v>
      </c>
      <c r="F41" s="357">
        <f>F40/E40-1</f>
        <v>-0.18543046357615889</v>
      </c>
      <c r="G41" s="357">
        <f>G40/F40-1</f>
        <v>-1.089430894308943</v>
      </c>
      <c r="H41" s="211"/>
      <c r="I41" s="357">
        <f>I40/G40-1</f>
        <v>-0.90909090909090906</v>
      </c>
      <c r="J41" s="359" t="s">
        <v>23</v>
      </c>
      <c r="K41" s="357">
        <f>K40/J40-1</f>
        <v>-0.8</v>
      </c>
      <c r="L41" s="359" t="s">
        <v>23</v>
      </c>
      <c r="M41" s="211"/>
      <c r="N41" s="357">
        <f>N40/L40-1</f>
        <v>-0.95602462620932283</v>
      </c>
      <c r="O41" s="357">
        <f>O40/N40-1</f>
        <v>-0.45999999999999996</v>
      </c>
      <c r="P41" s="359" t="s">
        <v>23</v>
      </c>
      <c r="Q41" s="359" t="s">
        <v>23</v>
      </c>
      <c r="R41" s="211"/>
      <c r="S41" s="359" t="s">
        <v>23</v>
      </c>
      <c r="T41" s="357">
        <v>0.28571428571428581</v>
      </c>
      <c r="U41" s="357">
        <v>-0.11111111111111116</v>
      </c>
      <c r="V41" s="359" t="s">
        <v>23</v>
      </c>
      <c r="W41" s="211"/>
      <c r="X41" s="359" t="s">
        <v>23</v>
      </c>
      <c r="Y41" s="362" t="s">
        <v>23</v>
      </c>
      <c r="Z41" s="357">
        <v>0.61111111111111116</v>
      </c>
      <c r="AA41" s="359" t="s">
        <v>23</v>
      </c>
      <c r="AB41" s="211"/>
      <c r="AC41" s="31" t="s">
        <v>23</v>
      </c>
      <c r="AD41" s="21">
        <v>-0.8</v>
      </c>
      <c r="AE41" s="31" t="s">
        <v>23</v>
      </c>
      <c r="AF41" s="31" t="s">
        <v>23</v>
      </c>
      <c r="AG41" s="211"/>
      <c r="AH41" s="21">
        <v>4</v>
      </c>
      <c r="AI41" s="21">
        <v>5</v>
      </c>
      <c r="AJ41" s="21">
        <v>0.33333333333333326</v>
      </c>
      <c r="AK41" s="21">
        <v>-0.32499999999999996</v>
      </c>
      <c r="AL41" s="211"/>
      <c r="AM41" s="31" t="s">
        <v>23</v>
      </c>
      <c r="AN41" s="21">
        <v>-0.61538461538461542</v>
      </c>
      <c r="AO41" s="31" t="s">
        <v>23</v>
      </c>
      <c r="AP41" s="21">
        <v>3.583333333333333</v>
      </c>
      <c r="AQ41" s="211"/>
      <c r="AR41" s="21">
        <v>-0.94545454545454544</v>
      </c>
      <c r="AS41" s="21">
        <v>56.333333333333336</v>
      </c>
      <c r="AT41" s="138"/>
      <c r="AU41" s="21">
        <v>0.23837209302325579</v>
      </c>
      <c r="AV41" s="308"/>
      <c r="AW41" s="21">
        <v>-0.54460093896713613</v>
      </c>
      <c r="AX41" s="211"/>
    </row>
    <row r="42" spans="2:50" ht="13.9" customHeight="1">
      <c r="B42" s="20" t="s">
        <v>6</v>
      </c>
      <c r="C42" s="217"/>
      <c r="D42" s="362"/>
      <c r="E42" s="66"/>
      <c r="F42" s="66"/>
      <c r="G42" s="66"/>
      <c r="H42" s="217" t="s">
        <v>23</v>
      </c>
      <c r="I42" s="66">
        <f>I40/D40-1</f>
        <v>-0.94736842105263164</v>
      </c>
      <c r="J42" s="66">
        <f>J40/E40-1</f>
        <v>-0.93377483443708609</v>
      </c>
      <c r="K42" s="66">
        <f>K40/F40-1</f>
        <v>-0.98373983739837401</v>
      </c>
      <c r="L42" s="359" t="s">
        <v>23</v>
      </c>
      <c r="M42" s="211">
        <f>M40/H40-1</f>
        <v>3.7049180327868854</v>
      </c>
      <c r="N42" s="362" t="s">
        <v>23</v>
      </c>
      <c r="O42" s="66">
        <f>O40/J40-1</f>
        <v>1.7000000000000002</v>
      </c>
      <c r="P42" s="359" t="s">
        <v>23</v>
      </c>
      <c r="Q42" s="359">
        <f>Q40/L40-1</f>
        <v>-0.99384344766930521</v>
      </c>
      <c r="R42" s="211">
        <v>-0.93989547038327526</v>
      </c>
      <c r="S42" s="359" t="s">
        <v>23</v>
      </c>
      <c r="T42" s="362" t="s">
        <v>23</v>
      </c>
      <c r="U42" s="66">
        <v>6.6666666666666652E-2</v>
      </c>
      <c r="V42" s="359">
        <v>2.4285714285714284</v>
      </c>
      <c r="W42" s="211">
        <v>-1.3478260869565217</v>
      </c>
      <c r="X42" s="359" t="s">
        <v>23</v>
      </c>
      <c r="Y42" s="66">
        <v>0</v>
      </c>
      <c r="Z42" s="66">
        <v>0.8125</v>
      </c>
      <c r="AA42" s="359">
        <v>-0.29166666666666663</v>
      </c>
      <c r="AB42" s="211">
        <v>0.25</v>
      </c>
      <c r="AC42" s="31" t="s">
        <v>23</v>
      </c>
      <c r="AD42" s="22">
        <v>-0.88888888888888884</v>
      </c>
      <c r="AE42" s="31" t="s">
        <v>23</v>
      </c>
      <c r="AF42" s="31" t="s">
        <v>23</v>
      </c>
      <c r="AG42" s="211">
        <v>-0.56666666666666665</v>
      </c>
      <c r="AH42" s="22">
        <v>-0.5</v>
      </c>
      <c r="AI42" s="22">
        <v>14</v>
      </c>
      <c r="AJ42" s="31" t="s">
        <v>23</v>
      </c>
      <c r="AK42" s="22">
        <v>26</v>
      </c>
      <c r="AL42" s="211">
        <v>6.8461538461538458</v>
      </c>
      <c r="AM42" s="31" t="s">
        <v>23</v>
      </c>
      <c r="AN42" s="31" t="s">
        <v>23</v>
      </c>
      <c r="AO42" s="22">
        <v>-0.7</v>
      </c>
      <c r="AP42" s="22">
        <v>1.0370370370370372</v>
      </c>
      <c r="AQ42" s="211">
        <v>-0.51960784313725483</v>
      </c>
      <c r="AR42" s="31" t="s">
        <v>23</v>
      </c>
      <c r="AS42" s="31" t="s">
        <v>23</v>
      </c>
      <c r="AT42" s="159"/>
      <c r="AU42" s="22">
        <v>16.75</v>
      </c>
      <c r="AV42" s="312"/>
      <c r="AW42" s="22">
        <v>0.76363636363636367</v>
      </c>
      <c r="AX42" s="211">
        <v>8.8979591836734695</v>
      </c>
    </row>
    <row r="43" spans="2:50" ht="13.9" customHeight="1">
      <c r="B43" s="34" t="s">
        <v>273</v>
      </c>
      <c r="C43" s="217" t="s">
        <v>24</v>
      </c>
      <c r="D43" s="362" t="s">
        <v>24</v>
      </c>
      <c r="E43" s="362" t="s">
        <v>24</v>
      </c>
      <c r="F43" s="362" t="s">
        <v>24</v>
      </c>
      <c r="G43" s="362" t="s">
        <v>24</v>
      </c>
      <c r="H43" s="213">
        <f>'Subs-Adj #s'!C63</f>
        <v>-244</v>
      </c>
      <c r="I43" s="61">
        <f>'Subs-Adj #s'!D63</f>
        <v>3</v>
      </c>
      <c r="J43" s="61">
        <f>'Subs-Adj #s'!E63</f>
        <v>-3</v>
      </c>
      <c r="K43" s="61">
        <f>'Subs-Adj #s'!F63</f>
        <v>-2</v>
      </c>
      <c r="L43" s="61">
        <f>'Subs-Adj #s'!G63</f>
        <v>-29</v>
      </c>
      <c r="M43" s="213">
        <f>'Subs-Adj #s'!H63</f>
        <v>-31</v>
      </c>
      <c r="N43" s="61">
        <f>'Subs-Adj #s'!I63</f>
        <v>-7</v>
      </c>
      <c r="O43" s="61">
        <f>'Subs-Adj #s'!J63</f>
        <v>-36</v>
      </c>
      <c r="P43" s="61">
        <f>'Subs-Adj #s'!K63</f>
        <v>16</v>
      </c>
      <c r="Q43" s="61">
        <f>'Subs-Adj #s'!M63</f>
        <v>0</v>
      </c>
      <c r="R43" s="213">
        <v>-27</v>
      </c>
      <c r="S43" s="61">
        <v>14</v>
      </c>
      <c r="T43" s="61">
        <v>6</v>
      </c>
      <c r="U43" s="61">
        <v>16</v>
      </c>
      <c r="V43" s="61">
        <v>-27</v>
      </c>
      <c r="W43" s="213">
        <v>9</v>
      </c>
      <c r="X43" s="61">
        <v>-1</v>
      </c>
      <c r="Y43" s="61">
        <v>19</v>
      </c>
      <c r="Z43" s="61">
        <v>31</v>
      </c>
      <c r="AA43" s="61">
        <v>-4</v>
      </c>
      <c r="AB43" s="213">
        <v>45</v>
      </c>
      <c r="AC43" s="61">
        <v>10</v>
      </c>
      <c r="AD43" s="61">
        <v>4</v>
      </c>
      <c r="AE43" s="61">
        <v>1</v>
      </c>
      <c r="AF43" s="61">
        <v>3</v>
      </c>
      <c r="AG43" s="213">
        <v>18</v>
      </c>
      <c r="AH43" s="61">
        <v>5</v>
      </c>
      <c r="AI43" s="61">
        <v>30</v>
      </c>
      <c r="AJ43" s="24">
        <v>40</v>
      </c>
      <c r="AK43" s="19">
        <v>24</v>
      </c>
      <c r="AL43" s="213">
        <v>99</v>
      </c>
      <c r="AM43" s="61">
        <v>-12</v>
      </c>
      <c r="AN43" s="19">
        <v>0</v>
      </c>
      <c r="AO43" s="24">
        <v>12</v>
      </c>
      <c r="AP43" s="19">
        <v>60</v>
      </c>
      <c r="AQ43" s="213">
        <v>60</v>
      </c>
      <c r="AR43" s="61">
        <v>12</v>
      </c>
      <c r="AS43" s="19">
        <v>173</v>
      </c>
      <c r="AT43" s="140">
        <v>185</v>
      </c>
      <c r="AU43" s="24">
        <v>214</v>
      </c>
      <c r="AV43" s="279">
        <v>399</v>
      </c>
      <c r="AW43" s="19">
        <v>102</v>
      </c>
      <c r="AX43" s="213">
        <v>501</v>
      </c>
    </row>
    <row r="44" spans="2:50" ht="13.9" customHeight="1">
      <c r="B44" s="20" t="s">
        <v>5</v>
      </c>
      <c r="C44" s="211"/>
      <c r="D44" s="357"/>
      <c r="E44" s="359"/>
      <c r="F44" s="357"/>
      <c r="G44" s="357"/>
      <c r="H44" s="211"/>
      <c r="I44" s="357"/>
      <c r="J44" s="359" t="s">
        <v>23</v>
      </c>
      <c r="K44" s="357">
        <f>K43/J43-1</f>
        <v>-0.33333333333333337</v>
      </c>
      <c r="L44" s="357">
        <f>L43/K43-1</f>
        <v>13.5</v>
      </c>
      <c r="M44" s="211"/>
      <c r="N44" s="357">
        <f>N43/L43-1</f>
        <v>-0.75862068965517238</v>
      </c>
      <c r="O44" s="357">
        <f>O43/N43-1</f>
        <v>4.1428571428571432</v>
      </c>
      <c r="P44" s="359" t="s">
        <v>23</v>
      </c>
      <c r="Q44" s="359" t="s">
        <v>23</v>
      </c>
      <c r="R44" s="211"/>
      <c r="S44" s="359" t="s">
        <v>23</v>
      </c>
      <c r="T44" s="357">
        <v>-0.5714285714285714</v>
      </c>
      <c r="U44" s="357">
        <v>1.6666666666666665</v>
      </c>
      <c r="V44" s="359" t="s">
        <v>23</v>
      </c>
      <c r="W44" s="211"/>
      <c r="X44" s="359" t="s">
        <v>23</v>
      </c>
      <c r="Y44" s="362" t="s">
        <v>23</v>
      </c>
      <c r="Z44" s="357">
        <v>0.63157894736842102</v>
      </c>
      <c r="AA44" s="359" t="s">
        <v>23</v>
      </c>
      <c r="AB44" s="211"/>
      <c r="AC44" s="31" t="s">
        <v>23</v>
      </c>
      <c r="AD44" s="21">
        <v>-0.6</v>
      </c>
      <c r="AE44" s="21">
        <v>-0.75</v>
      </c>
      <c r="AF44" s="21">
        <v>2</v>
      </c>
      <c r="AG44" s="211"/>
      <c r="AH44" s="21">
        <v>0.66666666666666674</v>
      </c>
      <c r="AI44" s="21">
        <v>5</v>
      </c>
      <c r="AJ44" s="21">
        <v>0.33333333333333326</v>
      </c>
      <c r="AK44" s="21">
        <v>-0.4</v>
      </c>
      <c r="AL44" s="211"/>
      <c r="AM44" s="31" t="s">
        <v>23</v>
      </c>
      <c r="AN44" s="31" t="s">
        <v>23</v>
      </c>
      <c r="AO44" s="31" t="s">
        <v>23</v>
      </c>
      <c r="AP44" s="21">
        <v>4</v>
      </c>
      <c r="AQ44" s="211"/>
      <c r="AR44" s="21">
        <v>-0.8</v>
      </c>
      <c r="AS44" s="21">
        <v>13.416666666666666</v>
      </c>
      <c r="AT44" s="138"/>
      <c r="AU44" s="21">
        <v>0.23699421965317913</v>
      </c>
      <c r="AV44" s="312"/>
      <c r="AW44" s="21">
        <v>-0.52336448598130847</v>
      </c>
      <c r="AX44" s="211"/>
    </row>
    <row r="45" spans="2:50" ht="13.9" customHeight="1">
      <c r="B45" s="20" t="s">
        <v>6</v>
      </c>
      <c r="C45" s="217"/>
      <c r="D45" s="362"/>
      <c r="E45" s="66"/>
      <c r="F45" s="66"/>
      <c r="G45" s="66"/>
      <c r="H45" s="217" t="s">
        <v>23</v>
      </c>
      <c r="I45" s="66"/>
      <c r="J45" s="66"/>
      <c r="K45" s="66"/>
      <c r="L45" s="359"/>
      <c r="M45" s="211">
        <f>M43/H43-1</f>
        <v>-0.87295081967213117</v>
      </c>
      <c r="N45" s="362" t="s">
        <v>23</v>
      </c>
      <c r="O45" s="66">
        <f>O43/J43-1</f>
        <v>11</v>
      </c>
      <c r="P45" s="359" t="s">
        <v>23</v>
      </c>
      <c r="Q45" s="362" t="s">
        <v>23</v>
      </c>
      <c r="R45" s="211">
        <v>-0.12903225806451613</v>
      </c>
      <c r="S45" s="359" t="s">
        <v>23</v>
      </c>
      <c r="T45" s="362" t="s">
        <v>23</v>
      </c>
      <c r="U45" s="66">
        <v>0</v>
      </c>
      <c r="V45" s="362" t="s">
        <v>23</v>
      </c>
      <c r="W45" s="217" t="s">
        <v>23</v>
      </c>
      <c r="X45" s="359" t="s">
        <v>23</v>
      </c>
      <c r="Y45" s="66">
        <v>2.1666666666666665</v>
      </c>
      <c r="Z45" s="66">
        <v>0.9375</v>
      </c>
      <c r="AA45" s="359">
        <v>-0.85185185185185186</v>
      </c>
      <c r="AB45" s="211">
        <v>4</v>
      </c>
      <c r="AC45" s="31" t="s">
        <v>23</v>
      </c>
      <c r="AD45" s="22">
        <v>-0.78947368421052633</v>
      </c>
      <c r="AE45" s="31" t="s">
        <v>23</v>
      </c>
      <c r="AF45" s="31" t="s">
        <v>23</v>
      </c>
      <c r="AG45" s="211">
        <v>-0.6</v>
      </c>
      <c r="AH45" s="22">
        <v>-0.5</v>
      </c>
      <c r="AI45" s="22">
        <v>6.5</v>
      </c>
      <c r="AJ45" s="22">
        <v>39</v>
      </c>
      <c r="AK45" s="22">
        <v>7</v>
      </c>
      <c r="AL45" s="211">
        <v>4.5</v>
      </c>
      <c r="AM45" s="31" t="s">
        <v>23</v>
      </c>
      <c r="AN45" s="31" t="s">
        <v>23</v>
      </c>
      <c r="AO45" s="22">
        <v>-0.7</v>
      </c>
      <c r="AP45" s="22">
        <v>1.5</v>
      </c>
      <c r="AQ45" s="211">
        <v>-0.39393939393939392</v>
      </c>
      <c r="AR45" s="31" t="s">
        <v>23</v>
      </c>
      <c r="AS45" s="31" t="s">
        <v>23</v>
      </c>
      <c r="AT45" s="159"/>
      <c r="AU45" s="22">
        <v>16.833333333333332</v>
      </c>
      <c r="AV45" s="312"/>
      <c r="AW45" s="22">
        <v>0.7</v>
      </c>
      <c r="AX45" s="211">
        <v>7.35</v>
      </c>
    </row>
    <row r="46" spans="2:50" ht="13.9" customHeight="1">
      <c r="B46" s="12" t="s">
        <v>390</v>
      </c>
      <c r="C46" s="217" t="s">
        <v>24</v>
      </c>
      <c r="D46" s="362" t="s">
        <v>24</v>
      </c>
      <c r="E46" s="362" t="s">
        <v>24</v>
      </c>
      <c r="F46" s="362" t="s">
        <v>24</v>
      </c>
      <c r="G46" s="362" t="s">
        <v>24</v>
      </c>
      <c r="H46" s="243">
        <f t="shared" ref="H46:Q46" si="8">H43/H8</f>
        <v>-0.14787878787878789</v>
      </c>
      <c r="I46" s="364">
        <f t="shared" si="8"/>
        <v>8.0000000000000002E-3</v>
      </c>
      <c r="J46" s="364">
        <f t="shared" si="8"/>
        <v>-8.0000000000000002E-3</v>
      </c>
      <c r="K46" s="364">
        <f t="shared" si="8"/>
        <v>-5.4495912806539508E-3</v>
      </c>
      <c r="L46" s="364">
        <f t="shared" si="8"/>
        <v>-8.1460674157303375E-2</v>
      </c>
      <c r="M46" s="243">
        <f t="shared" si="8"/>
        <v>-2.1045485403937542E-2</v>
      </c>
      <c r="N46" s="364">
        <f t="shared" si="8"/>
        <v>-2.0408163265306121E-2</v>
      </c>
      <c r="O46" s="364">
        <f t="shared" si="8"/>
        <v>-0.10682492581602374</v>
      </c>
      <c r="P46" s="364">
        <f t="shared" si="8"/>
        <v>4.790419161676647E-2</v>
      </c>
      <c r="Q46" s="364">
        <f t="shared" si="8"/>
        <v>0</v>
      </c>
      <c r="R46" s="243">
        <v>-2.0074349442379184E-2</v>
      </c>
      <c r="S46" s="364">
        <v>4.142011834319527E-2</v>
      </c>
      <c r="T46" s="364">
        <v>1.8808777429467086E-2</v>
      </c>
      <c r="U46" s="364">
        <v>5.1118210862619806E-2</v>
      </c>
      <c r="V46" s="364">
        <v>-8.5173501577287064E-2</v>
      </c>
      <c r="W46" s="243">
        <v>6.993006993006993E-3</v>
      </c>
      <c r="X46" s="364">
        <v>-3.1746031746031746E-3</v>
      </c>
      <c r="Y46" s="364">
        <v>6.0317460317460318E-2</v>
      </c>
      <c r="Z46" s="364">
        <v>9.7484276729559755E-2</v>
      </c>
      <c r="AA46" s="364">
        <v>-1.2422360248447204E-2</v>
      </c>
      <c r="AB46" s="243">
        <v>3.5433070866141732E-2</v>
      </c>
      <c r="AC46" s="162">
        <v>3.1645569620253167E-2</v>
      </c>
      <c r="AD46" s="162">
        <v>1.2658227848101266E-2</v>
      </c>
      <c r="AE46" s="162">
        <v>3.1746031746031746E-3</v>
      </c>
      <c r="AF46" s="162">
        <v>9.0909090909090905E-3</v>
      </c>
      <c r="AG46" s="243">
        <v>1.4095536413469069E-2</v>
      </c>
      <c r="AH46" s="162">
        <v>1.5197568389057751E-2</v>
      </c>
      <c r="AI46" s="162">
        <v>8.9285714285714288E-2</v>
      </c>
      <c r="AJ46" s="162">
        <v>0.12195121951219512</v>
      </c>
      <c r="AK46" s="162">
        <v>7.5949367088607597E-2</v>
      </c>
      <c r="AL46" s="243">
        <v>7.5630252100840331E-2</v>
      </c>
      <c r="AM46" s="162">
        <v>-3.8095238095238099E-2</v>
      </c>
      <c r="AN46" s="162">
        <v>0</v>
      </c>
      <c r="AO46" s="162">
        <v>3.7854889589905363E-2</v>
      </c>
      <c r="AP46" s="162">
        <v>0.1892744479495268</v>
      </c>
      <c r="AQ46" s="243">
        <v>4.7430830039525688E-2</v>
      </c>
      <c r="AR46" s="162">
        <v>3.7617554858934171E-2</v>
      </c>
      <c r="AS46" s="162">
        <v>0.54062500000000002</v>
      </c>
      <c r="AT46" s="163">
        <v>0.28951486697965573</v>
      </c>
      <c r="AU46" s="162">
        <v>0.66666666666666663</v>
      </c>
      <c r="AV46" s="311">
        <v>0.41562500000000002</v>
      </c>
      <c r="AW46" s="162">
        <v>0.3</v>
      </c>
      <c r="AX46" s="243">
        <v>0.38538461538461538</v>
      </c>
    </row>
    <row r="47" spans="2:50" ht="13.9" customHeight="1">
      <c r="B47" s="201" t="s">
        <v>17</v>
      </c>
      <c r="C47" s="122"/>
      <c r="D47" s="209"/>
      <c r="E47" s="209"/>
      <c r="F47" s="209"/>
      <c r="G47" s="209"/>
      <c r="H47" s="122"/>
      <c r="I47" s="209"/>
      <c r="J47" s="209"/>
      <c r="K47" s="209"/>
      <c r="L47" s="209"/>
      <c r="M47" s="122"/>
      <c r="N47" s="209"/>
      <c r="O47" s="209"/>
      <c r="P47" s="209"/>
      <c r="Q47" s="209"/>
      <c r="R47" s="122"/>
      <c r="S47" s="209"/>
      <c r="T47" s="209"/>
      <c r="U47" s="209"/>
      <c r="V47" s="209"/>
      <c r="W47" s="122"/>
      <c r="X47" s="209"/>
      <c r="Y47" s="209"/>
      <c r="Z47" s="209"/>
      <c r="AA47" s="209"/>
      <c r="AB47" s="122"/>
      <c r="AC47" s="209"/>
      <c r="AD47" s="209"/>
      <c r="AE47" s="209"/>
      <c r="AF47" s="209"/>
      <c r="AG47" s="122"/>
      <c r="AH47" s="209"/>
      <c r="AI47" s="209"/>
      <c r="AJ47" s="209"/>
      <c r="AK47" s="209"/>
      <c r="AL47" s="122"/>
      <c r="AM47" s="209"/>
      <c r="AN47" s="209"/>
      <c r="AO47" s="209"/>
      <c r="AP47" s="209"/>
      <c r="AQ47" s="122"/>
      <c r="AR47" s="209"/>
      <c r="AS47" s="209"/>
      <c r="AT47" s="209"/>
      <c r="AU47" s="209"/>
      <c r="AV47" s="209"/>
      <c r="AW47" s="209"/>
      <c r="AX47" s="122"/>
    </row>
    <row r="48" spans="2:50" ht="13.9" customHeight="1">
      <c r="B48" s="12" t="s">
        <v>9</v>
      </c>
      <c r="C48" s="210">
        <v>629</v>
      </c>
      <c r="D48" s="355">
        <v>51</v>
      </c>
      <c r="E48" s="355">
        <v>169</v>
      </c>
      <c r="F48" s="355">
        <v>115</v>
      </c>
      <c r="G48" s="355">
        <f>H48-F48-E48-D48</f>
        <v>95</v>
      </c>
      <c r="H48" s="210">
        <v>430</v>
      </c>
      <c r="I48" s="355">
        <v>86</v>
      </c>
      <c r="J48" s="355">
        <v>60</v>
      </c>
      <c r="K48" s="355">
        <v>34</v>
      </c>
      <c r="L48" s="355">
        <f>M48-K48-J48-I48</f>
        <v>46</v>
      </c>
      <c r="M48" s="210">
        <v>226</v>
      </c>
      <c r="N48" s="355">
        <v>53</v>
      </c>
      <c r="O48" s="355">
        <v>22</v>
      </c>
      <c r="P48" s="355">
        <v>37</v>
      </c>
      <c r="Q48" s="355">
        <f>R48-P48-O48-N48</f>
        <v>31</v>
      </c>
      <c r="R48" s="210">
        <v>143</v>
      </c>
      <c r="S48" s="355">
        <v>41</v>
      </c>
      <c r="T48" s="355">
        <v>39</v>
      </c>
      <c r="U48" s="355">
        <v>69</v>
      </c>
      <c r="V48" s="355">
        <v>14</v>
      </c>
      <c r="W48" s="210">
        <v>163</v>
      </c>
      <c r="X48" s="355">
        <v>62</v>
      </c>
      <c r="Y48" s="355">
        <v>56</v>
      </c>
      <c r="Z48" s="355">
        <v>73</v>
      </c>
      <c r="AA48" s="355">
        <v>42</v>
      </c>
      <c r="AB48" s="210">
        <v>233</v>
      </c>
      <c r="AC48" s="19">
        <v>78</v>
      </c>
      <c r="AD48" s="19">
        <v>43</v>
      </c>
      <c r="AE48" s="19">
        <v>9</v>
      </c>
      <c r="AF48" s="19">
        <v>56</v>
      </c>
      <c r="AG48" s="210">
        <v>186</v>
      </c>
      <c r="AH48" s="19">
        <v>92</v>
      </c>
      <c r="AI48" s="19">
        <v>31</v>
      </c>
      <c r="AJ48" s="19">
        <v>66</v>
      </c>
      <c r="AK48" s="19">
        <v>26</v>
      </c>
      <c r="AL48" s="210">
        <v>215</v>
      </c>
      <c r="AM48" s="19">
        <v>93</v>
      </c>
      <c r="AN48" s="19">
        <v>46</v>
      </c>
      <c r="AO48" s="19">
        <v>55</v>
      </c>
      <c r="AP48" s="61">
        <v>-18</v>
      </c>
      <c r="AQ48" s="210">
        <v>176</v>
      </c>
      <c r="AR48" s="19">
        <v>75</v>
      </c>
      <c r="AS48" s="19">
        <v>26</v>
      </c>
      <c r="AT48" s="137">
        <v>101</v>
      </c>
      <c r="AU48" s="19">
        <v>53</v>
      </c>
      <c r="AV48" s="276">
        <v>154</v>
      </c>
      <c r="AW48" s="19">
        <v>51</v>
      </c>
      <c r="AX48" s="210">
        <v>205</v>
      </c>
    </row>
    <row r="49" spans="2:50" ht="13.9" customHeight="1">
      <c r="B49" s="20" t="s">
        <v>5</v>
      </c>
      <c r="C49" s="211"/>
      <c r="D49" s="357"/>
      <c r="E49" s="357">
        <f>E48/D48-1</f>
        <v>2.3137254901960786</v>
      </c>
      <c r="F49" s="357">
        <f>F48/E48-1</f>
        <v>-0.31952662721893488</v>
      </c>
      <c r="G49" s="357">
        <f>G48/F48-1</f>
        <v>-0.17391304347826086</v>
      </c>
      <c r="H49" s="211"/>
      <c r="I49" s="357">
        <f>I48/G48-1</f>
        <v>-9.4736842105263119E-2</v>
      </c>
      <c r="J49" s="357">
        <f>J48/I48-1</f>
        <v>-0.30232558139534882</v>
      </c>
      <c r="K49" s="357">
        <f>K48/J48-1</f>
        <v>-0.43333333333333335</v>
      </c>
      <c r="L49" s="357">
        <f>L48/K48-1</f>
        <v>0.35294117647058831</v>
      </c>
      <c r="M49" s="211"/>
      <c r="N49" s="357">
        <f>N48/L48-1</f>
        <v>0.15217391304347827</v>
      </c>
      <c r="O49" s="357">
        <f>O48/N48-1</f>
        <v>-0.58490566037735847</v>
      </c>
      <c r="P49" s="357">
        <f>P48/O48-1</f>
        <v>0.68181818181818188</v>
      </c>
      <c r="Q49" s="357">
        <f>Q48/P48-1</f>
        <v>-0.16216216216216217</v>
      </c>
      <c r="R49" s="211"/>
      <c r="S49" s="357">
        <v>0.32258064516129026</v>
      </c>
      <c r="T49" s="357">
        <v>-4.8780487804878092E-2</v>
      </c>
      <c r="U49" s="357">
        <v>0.76923076923076916</v>
      </c>
      <c r="V49" s="357">
        <v>-0.79710144927536231</v>
      </c>
      <c r="W49" s="211"/>
      <c r="X49" s="357">
        <v>3.4285714285714288</v>
      </c>
      <c r="Y49" s="357">
        <v>-9.6774193548387122E-2</v>
      </c>
      <c r="Z49" s="357">
        <v>0.3035714285714286</v>
      </c>
      <c r="AA49" s="357">
        <v>-0.42465753424657537</v>
      </c>
      <c r="AB49" s="211"/>
      <c r="AC49" s="21">
        <v>0.85714285714285721</v>
      </c>
      <c r="AD49" s="21">
        <v>-0.44871794871794868</v>
      </c>
      <c r="AE49" s="21">
        <v>-0.79069767441860461</v>
      </c>
      <c r="AF49" s="21">
        <v>5.2222222222222223</v>
      </c>
      <c r="AG49" s="211"/>
      <c r="AH49" s="21">
        <v>0.64285714285714279</v>
      </c>
      <c r="AI49" s="21">
        <v>-0.66304347826086962</v>
      </c>
      <c r="AJ49" s="21">
        <v>1.129032258064516</v>
      </c>
      <c r="AK49" s="21">
        <v>-0.60606060606060608</v>
      </c>
      <c r="AL49" s="211"/>
      <c r="AM49" s="21">
        <v>2.5769230769230771</v>
      </c>
      <c r="AN49" s="21">
        <v>-0.5053763440860215</v>
      </c>
      <c r="AO49" s="21">
        <v>0.19565217391304346</v>
      </c>
      <c r="AP49" s="31" t="s">
        <v>23</v>
      </c>
      <c r="AQ49" s="211"/>
      <c r="AR49" s="31" t="s">
        <v>23</v>
      </c>
      <c r="AS49" s="21">
        <v>-0.65333333333333332</v>
      </c>
      <c r="AT49" s="138"/>
      <c r="AU49" s="21">
        <v>1.0384615384615383</v>
      </c>
      <c r="AV49" s="277"/>
      <c r="AW49" s="21">
        <v>-3.7735849056603765E-2</v>
      </c>
      <c r="AX49" s="211"/>
    </row>
    <row r="50" spans="2:50" ht="13.9" customHeight="1">
      <c r="B50" s="20" t="s">
        <v>6</v>
      </c>
      <c r="C50" s="211"/>
      <c r="D50" s="66"/>
      <c r="E50" s="66"/>
      <c r="F50" s="66"/>
      <c r="G50" s="66"/>
      <c r="H50" s="211">
        <f t="shared" ref="H50:P50" si="9">H48/C48-1</f>
        <v>-0.31637519872813991</v>
      </c>
      <c r="I50" s="66">
        <f t="shared" si="9"/>
        <v>0.68627450980392157</v>
      </c>
      <c r="J50" s="66">
        <f t="shared" si="9"/>
        <v>-0.6449704142011834</v>
      </c>
      <c r="K50" s="66">
        <f t="shared" si="9"/>
        <v>-0.70434782608695645</v>
      </c>
      <c r="L50" s="66">
        <f t="shared" si="9"/>
        <v>-0.51578947368421058</v>
      </c>
      <c r="M50" s="211">
        <f t="shared" si="9"/>
        <v>-0.47441860465116281</v>
      </c>
      <c r="N50" s="66">
        <f t="shared" si="9"/>
        <v>-0.38372093023255816</v>
      </c>
      <c r="O50" s="66">
        <f t="shared" si="9"/>
        <v>-0.6333333333333333</v>
      </c>
      <c r="P50" s="66">
        <f t="shared" si="9"/>
        <v>8.8235294117646967E-2</v>
      </c>
      <c r="Q50" s="66">
        <f>Q48/L48-1</f>
        <v>-0.32608695652173914</v>
      </c>
      <c r="R50" s="211">
        <v>-0.36725663716814161</v>
      </c>
      <c r="S50" s="66">
        <v>-0.22641509433962259</v>
      </c>
      <c r="T50" s="66">
        <v>0.77272727272727271</v>
      </c>
      <c r="U50" s="66">
        <v>0.86486486486486491</v>
      </c>
      <c r="V50" s="66">
        <v>-0.54838709677419351</v>
      </c>
      <c r="W50" s="211">
        <v>0.13986013986013979</v>
      </c>
      <c r="X50" s="66">
        <v>0.51219512195121952</v>
      </c>
      <c r="Y50" s="66">
        <v>0.4358974358974359</v>
      </c>
      <c r="Z50" s="66">
        <v>5.7971014492753659E-2</v>
      </c>
      <c r="AA50" s="66">
        <v>2</v>
      </c>
      <c r="AB50" s="211">
        <v>0.42944785276073616</v>
      </c>
      <c r="AC50" s="22">
        <v>0.25806451612903225</v>
      </c>
      <c r="AD50" s="22">
        <v>-0.2321428571428571</v>
      </c>
      <c r="AE50" s="22">
        <v>-0.87671232876712324</v>
      </c>
      <c r="AF50" s="22">
        <v>0.33333333333333326</v>
      </c>
      <c r="AG50" s="211">
        <v>-0.20171673819742486</v>
      </c>
      <c r="AH50" s="22">
        <v>0.17948717948717952</v>
      </c>
      <c r="AI50" s="22">
        <v>-0.27906976744186052</v>
      </c>
      <c r="AJ50" s="22">
        <v>6.333333333333333</v>
      </c>
      <c r="AK50" s="22">
        <v>-0.5357142857142857</v>
      </c>
      <c r="AL50" s="211">
        <v>0.15591397849462374</v>
      </c>
      <c r="AM50" s="22">
        <v>1.0869565217391353E-2</v>
      </c>
      <c r="AN50" s="22">
        <v>0.4838709677419355</v>
      </c>
      <c r="AO50" s="22">
        <v>-0.16666666666666663</v>
      </c>
      <c r="AP50" s="31" t="s">
        <v>23</v>
      </c>
      <c r="AQ50" s="211">
        <v>-0.18139534883720931</v>
      </c>
      <c r="AR50" s="31" t="s">
        <v>23</v>
      </c>
      <c r="AS50" s="22">
        <v>-0.43478260869565222</v>
      </c>
      <c r="AT50" s="139"/>
      <c r="AU50" s="22">
        <v>-3.6363636363636376E-2</v>
      </c>
      <c r="AV50" s="278"/>
      <c r="AW50" s="22">
        <v>-3.8333333333333335</v>
      </c>
      <c r="AX50" s="211">
        <v>0.16477272727272729</v>
      </c>
    </row>
    <row r="51" spans="2:50" ht="13.9" customHeight="1">
      <c r="B51" s="12" t="s">
        <v>243</v>
      </c>
      <c r="C51" s="210">
        <f>168+41</f>
        <v>209</v>
      </c>
      <c r="D51" s="355">
        <f>46+14</f>
        <v>60</v>
      </c>
      <c r="E51" s="355">
        <v>53</v>
      </c>
      <c r="F51" s="355">
        <f>53+10+6</f>
        <v>69</v>
      </c>
      <c r="G51" s="355">
        <f>H51-F51-E51-D51</f>
        <v>53</v>
      </c>
      <c r="H51" s="210">
        <f>176+40+19</f>
        <v>235</v>
      </c>
      <c r="I51" s="355">
        <f>52+7+3</f>
        <v>62</v>
      </c>
      <c r="J51" s="355">
        <v>75</v>
      </c>
      <c r="K51" s="355">
        <f>66+7+6</f>
        <v>79</v>
      </c>
      <c r="L51" s="355">
        <f>M51-K51-J51-I51</f>
        <v>82</v>
      </c>
      <c r="M51" s="210">
        <f>249+30+19</f>
        <v>298</v>
      </c>
      <c r="N51" s="355">
        <f>54+10</f>
        <v>64</v>
      </c>
      <c r="O51" s="355">
        <f>60+14</f>
        <v>74</v>
      </c>
      <c r="P51" s="355">
        <f>58+11</f>
        <v>69</v>
      </c>
      <c r="Q51" s="355">
        <f>R51-P51-O51-N51</f>
        <v>32</v>
      </c>
      <c r="R51" s="210">
        <v>239</v>
      </c>
      <c r="S51" s="355">
        <v>37</v>
      </c>
      <c r="T51" s="355">
        <v>41</v>
      </c>
      <c r="U51" s="355">
        <v>38</v>
      </c>
      <c r="V51" s="355">
        <v>26</v>
      </c>
      <c r="W51" s="210">
        <v>142</v>
      </c>
      <c r="X51" s="355">
        <v>43</v>
      </c>
      <c r="Y51" s="355">
        <v>43</v>
      </c>
      <c r="Z51" s="355">
        <v>39</v>
      </c>
      <c r="AA51" s="355">
        <v>55</v>
      </c>
      <c r="AB51" s="210">
        <v>180</v>
      </c>
      <c r="AC51" s="19">
        <v>47</v>
      </c>
      <c r="AD51" s="19">
        <v>49</v>
      </c>
      <c r="AE51" s="19">
        <v>40</v>
      </c>
      <c r="AF51" s="19">
        <v>44</v>
      </c>
      <c r="AG51" s="210">
        <v>180</v>
      </c>
      <c r="AH51" s="19">
        <v>31</v>
      </c>
      <c r="AI51" s="19">
        <v>61</v>
      </c>
      <c r="AJ51" s="19">
        <v>59</v>
      </c>
      <c r="AK51" s="19">
        <v>30</v>
      </c>
      <c r="AL51" s="210">
        <v>181</v>
      </c>
      <c r="AM51" s="19">
        <v>49</v>
      </c>
      <c r="AN51" s="19">
        <v>67</v>
      </c>
      <c r="AO51" s="19">
        <v>42</v>
      </c>
      <c r="AP51" s="19">
        <v>64</v>
      </c>
      <c r="AQ51" s="210">
        <v>222</v>
      </c>
      <c r="AR51" s="19">
        <v>36</v>
      </c>
      <c r="AS51" s="19">
        <v>57</v>
      </c>
      <c r="AT51" s="137">
        <v>93</v>
      </c>
      <c r="AU51" s="19">
        <v>44</v>
      </c>
      <c r="AV51" s="276">
        <v>137</v>
      </c>
      <c r="AW51" s="19">
        <v>44</v>
      </c>
      <c r="AX51" s="210">
        <v>181</v>
      </c>
    </row>
    <row r="52" spans="2:50" ht="13.9" customHeight="1">
      <c r="B52" s="20" t="s">
        <v>5</v>
      </c>
      <c r="C52" s="211"/>
      <c r="D52" s="357"/>
      <c r="E52" s="357">
        <f>E51/D51-1</f>
        <v>-0.1166666666666667</v>
      </c>
      <c r="F52" s="357">
        <f>F51/E51-1</f>
        <v>0.30188679245283012</v>
      </c>
      <c r="G52" s="357">
        <f>G51/F51-1</f>
        <v>-0.23188405797101452</v>
      </c>
      <c r="H52" s="211"/>
      <c r="I52" s="357">
        <f>I51/G51-1</f>
        <v>0.16981132075471694</v>
      </c>
      <c r="J52" s="357">
        <f>J51/I51-1</f>
        <v>0.20967741935483875</v>
      </c>
      <c r="K52" s="357">
        <f>K51/J51-1</f>
        <v>5.3333333333333233E-2</v>
      </c>
      <c r="L52" s="357">
        <f>L51/K51-1</f>
        <v>3.7974683544303778E-2</v>
      </c>
      <c r="M52" s="211"/>
      <c r="N52" s="357">
        <f>N51/L51-1</f>
        <v>-0.21951219512195119</v>
      </c>
      <c r="O52" s="357">
        <f>O51/N51-1</f>
        <v>0.15625</v>
      </c>
      <c r="P52" s="357">
        <f>P51/O51-1</f>
        <v>-6.7567567567567544E-2</v>
      </c>
      <c r="Q52" s="357">
        <f>Q51/P51-1</f>
        <v>-0.53623188405797095</v>
      </c>
      <c r="R52" s="211"/>
      <c r="S52" s="357">
        <v>0.15625</v>
      </c>
      <c r="T52" s="357">
        <v>0.10810810810810811</v>
      </c>
      <c r="U52" s="357">
        <v>-7.3170731707317027E-2</v>
      </c>
      <c r="V52" s="357">
        <v>-0.31578947368421051</v>
      </c>
      <c r="W52" s="211"/>
      <c r="X52" s="357">
        <v>0.65384615384615374</v>
      </c>
      <c r="Y52" s="357">
        <v>0</v>
      </c>
      <c r="Z52" s="357">
        <v>-9.3023255813953543E-2</v>
      </c>
      <c r="AA52" s="357">
        <v>0.41025641025641035</v>
      </c>
      <c r="AB52" s="211"/>
      <c r="AC52" s="21">
        <v>-0.1454545454545455</v>
      </c>
      <c r="AD52" s="21">
        <v>4.2553191489361764E-2</v>
      </c>
      <c r="AE52" s="21">
        <v>-0.18367346938775508</v>
      </c>
      <c r="AF52" s="21">
        <v>0.10000000000000009</v>
      </c>
      <c r="AG52" s="211"/>
      <c r="AH52" s="21">
        <v>-0.29545454545454541</v>
      </c>
      <c r="AI52" s="21">
        <v>0.967741935483871</v>
      </c>
      <c r="AJ52" s="21">
        <v>-3.2786885245901676E-2</v>
      </c>
      <c r="AK52" s="21">
        <v>-0.49152542372881358</v>
      </c>
      <c r="AL52" s="211"/>
      <c r="AM52" s="21">
        <v>0.6333333333333333</v>
      </c>
      <c r="AN52" s="21">
        <v>0.36734693877551017</v>
      </c>
      <c r="AO52" s="21">
        <v>-0.37313432835820892</v>
      </c>
      <c r="AP52" s="21">
        <v>0.52380952380952372</v>
      </c>
      <c r="AQ52" s="211"/>
      <c r="AR52" s="21">
        <v>-0.4375</v>
      </c>
      <c r="AS52" s="21">
        <v>0.58333333333333326</v>
      </c>
      <c r="AT52" s="138"/>
      <c r="AU52" s="21">
        <v>-0.22807017543859653</v>
      </c>
      <c r="AV52" s="277"/>
      <c r="AW52" s="21">
        <v>0</v>
      </c>
      <c r="AX52" s="211"/>
    </row>
    <row r="53" spans="2:50" ht="13.9" customHeight="1">
      <c r="B53" s="20" t="s">
        <v>6</v>
      </c>
      <c r="C53" s="211"/>
      <c r="D53" s="66"/>
      <c r="E53" s="66"/>
      <c r="F53" s="66"/>
      <c r="G53" s="66"/>
      <c r="H53" s="211">
        <f t="shared" ref="H53:P53" si="10">H51/C51-1</f>
        <v>0.12440191387559807</v>
      </c>
      <c r="I53" s="66">
        <f t="shared" si="10"/>
        <v>3.3333333333333437E-2</v>
      </c>
      <c r="J53" s="66">
        <f t="shared" si="10"/>
        <v>0.41509433962264142</v>
      </c>
      <c r="K53" s="66">
        <f t="shared" si="10"/>
        <v>0.14492753623188404</v>
      </c>
      <c r="L53" s="66">
        <f t="shared" si="10"/>
        <v>0.54716981132075482</v>
      </c>
      <c r="M53" s="211">
        <f t="shared" si="10"/>
        <v>0.26808510638297878</v>
      </c>
      <c r="N53" s="66">
        <f t="shared" si="10"/>
        <v>3.2258064516129004E-2</v>
      </c>
      <c r="O53" s="66">
        <f t="shared" si="10"/>
        <v>-1.3333333333333308E-2</v>
      </c>
      <c r="P53" s="66">
        <f t="shared" si="10"/>
        <v>-0.12658227848101267</v>
      </c>
      <c r="Q53" s="66">
        <f>Q51/L51-1</f>
        <v>-0.6097560975609756</v>
      </c>
      <c r="R53" s="211">
        <v>-0.19798657718120805</v>
      </c>
      <c r="S53" s="66">
        <v>-0.421875</v>
      </c>
      <c r="T53" s="66">
        <v>-0.44594594594594594</v>
      </c>
      <c r="U53" s="66">
        <v>-0.44927536231884058</v>
      </c>
      <c r="V53" s="66">
        <v>-0.1875</v>
      </c>
      <c r="W53" s="211">
        <v>-0.40585774058577406</v>
      </c>
      <c r="X53" s="66">
        <v>0.16216216216216206</v>
      </c>
      <c r="Y53" s="66">
        <v>4.8780487804878092E-2</v>
      </c>
      <c r="Z53" s="66">
        <v>2.6315789473684292E-2</v>
      </c>
      <c r="AA53" s="66">
        <v>1.1153846153846154</v>
      </c>
      <c r="AB53" s="211">
        <v>0.26760563380281699</v>
      </c>
      <c r="AC53" s="22">
        <v>9.3023255813953432E-2</v>
      </c>
      <c r="AD53" s="22">
        <v>0.13953488372093026</v>
      </c>
      <c r="AE53" s="22">
        <v>2.564102564102555E-2</v>
      </c>
      <c r="AF53" s="22">
        <v>-0.19999999999999996</v>
      </c>
      <c r="AG53" s="211">
        <v>0</v>
      </c>
      <c r="AH53" s="22">
        <v>-0.34042553191489366</v>
      </c>
      <c r="AI53" s="22">
        <v>0.24489795918367352</v>
      </c>
      <c r="AJ53" s="22">
        <v>0.47500000000000009</v>
      </c>
      <c r="AK53" s="22">
        <v>-0.31818181818181823</v>
      </c>
      <c r="AL53" s="211">
        <v>5.5555555555555358E-3</v>
      </c>
      <c r="AM53" s="22">
        <v>0.58064516129032251</v>
      </c>
      <c r="AN53" s="22">
        <v>9.8360655737705027E-2</v>
      </c>
      <c r="AO53" s="22">
        <v>-0.28813559322033899</v>
      </c>
      <c r="AP53" s="22">
        <v>1.1333333333333333</v>
      </c>
      <c r="AQ53" s="211">
        <v>0.22651933701657456</v>
      </c>
      <c r="AR53" s="22">
        <v>-0.26530612244897955</v>
      </c>
      <c r="AS53" s="22">
        <v>-0.14925373134328357</v>
      </c>
      <c r="AT53" s="139"/>
      <c r="AU53" s="22">
        <v>4.7619047619047672E-2</v>
      </c>
      <c r="AV53" s="278"/>
      <c r="AW53" s="22">
        <v>-0.3125</v>
      </c>
      <c r="AX53" s="211">
        <v>-0.18468468468468469</v>
      </c>
    </row>
    <row r="54" spans="2:50" ht="13.9" customHeight="1">
      <c r="B54" s="12" t="s">
        <v>393</v>
      </c>
      <c r="C54" s="219">
        <f t="shared" ref="C54:Q54" si="11">C51/C8</f>
        <v>0.11977077363896849</v>
      </c>
      <c r="D54" s="164">
        <f t="shared" si="11"/>
        <v>0.14150943396226415</v>
      </c>
      <c r="E54" s="164">
        <f t="shared" si="11"/>
        <v>0.12740384615384615</v>
      </c>
      <c r="F54" s="164">
        <f t="shared" si="11"/>
        <v>0.16995073891625614</v>
      </c>
      <c r="G54" s="364">
        <f t="shared" si="11"/>
        <v>0.13118811881188119</v>
      </c>
      <c r="H54" s="219">
        <f t="shared" si="11"/>
        <v>0.14242424242424243</v>
      </c>
      <c r="I54" s="164">
        <f t="shared" si="11"/>
        <v>0.16533333333333333</v>
      </c>
      <c r="J54" s="164">
        <f t="shared" si="11"/>
        <v>0.2</v>
      </c>
      <c r="K54" s="164">
        <f t="shared" si="11"/>
        <v>0.21525885558583105</v>
      </c>
      <c r="L54" s="364">
        <f t="shared" si="11"/>
        <v>0.2303370786516854</v>
      </c>
      <c r="M54" s="219">
        <f t="shared" si="11"/>
        <v>0.2023082145281738</v>
      </c>
      <c r="N54" s="164">
        <f t="shared" si="11"/>
        <v>0.18658892128279883</v>
      </c>
      <c r="O54" s="164">
        <f t="shared" si="11"/>
        <v>0.21958456973293769</v>
      </c>
      <c r="P54" s="164">
        <f t="shared" si="11"/>
        <v>0.20658682634730538</v>
      </c>
      <c r="Q54" s="364">
        <f t="shared" si="11"/>
        <v>9.6676737160120846E-2</v>
      </c>
      <c r="R54" s="219">
        <v>0.17769516728624535</v>
      </c>
      <c r="S54" s="164">
        <v>0.10946745562130178</v>
      </c>
      <c r="T54" s="164">
        <v>0.12852664576802508</v>
      </c>
      <c r="U54" s="164">
        <v>0.12140575079872204</v>
      </c>
      <c r="V54" s="364">
        <v>8.2018927444794956E-2</v>
      </c>
      <c r="W54" s="219">
        <v>0.11033411033411034</v>
      </c>
      <c r="X54" s="164">
        <v>0.13650793650793649</v>
      </c>
      <c r="Y54" s="164">
        <v>0.13650793650793649</v>
      </c>
      <c r="Z54" s="164">
        <v>0.12264150943396226</v>
      </c>
      <c r="AA54" s="364">
        <v>0.17080745341614906</v>
      </c>
      <c r="AB54" s="219">
        <v>0.14173228346456693</v>
      </c>
      <c r="AC54" s="155">
        <v>0.14873417721518986</v>
      </c>
      <c r="AD54" s="155">
        <v>0.1550632911392405</v>
      </c>
      <c r="AE54" s="155">
        <v>0.12698412698412698</v>
      </c>
      <c r="AF54" s="162">
        <v>0.13333333333333333</v>
      </c>
      <c r="AG54" s="219">
        <v>0.14095536413469067</v>
      </c>
      <c r="AH54" s="155">
        <v>9.4224924012158054E-2</v>
      </c>
      <c r="AI54" s="155">
        <v>0.18154761904761904</v>
      </c>
      <c r="AJ54" s="155">
        <v>0.1798780487804878</v>
      </c>
      <c r="AK54" s="162">
        <v>9.49367088607595E-2</v>
      </c>
      <c r="AL54" s="219">
        <v>0.1382734912146677</v>
      </c>
      <c r="AM54" s="155">
        <v>0.15555555555555556</v>
      </c>
      <c r="AN54" s="155">
        <v>0.21202531645569619</v>
      </c>
      <c r="AO54" s="155">
        <v>0.13249211356466878</v>
      </c>
      <c r="AP54" s="162">
        <v>0.20189274447949526</v>
      </c>
      <c r="AQ54" s="219">
        <v>0.17549407114624507</v>
      </c>
      <c r="AR54" s="155">
        <v>0.11285266457680251</v>
      </c>
      <c r="AS54" s="155">
        <v>0.17812500000000001</v>
      </c>
      <c r="AT54" s="156">
        <v>0.14553990610328638</v>
      </c>
      <c r="AU54" s="155">
        <v>0.13707165109034267</v>
      </c>
      <c r="AV54" s="280">
        <v>0.14270833333333333</v>
      </c>
      <c r="AW54" s="162">
        <v>0.12941176470588237</v>
      </c>
      <c r="AX54" s="219">
        <v>0.13923076923076924</v>
      </c>
    </row>
    <row r="55" spans="2:50" ht="13.9" customHeight="1">
      <c r="B55" s="12" t="s">
        <v>244</v>
      </c>
      <c r="C55" s="210">
        <f>C51-1</f>
        <v>208</v>
      </c>
      <c r="D55" s="355">
        <f>D51</f>
        <v>60</v>
      </c>
      <c r="E55" s="355">
        <f>E51-1</f>
        <v>52</v>
      </c>
      <c r="F55" s="355">
        <f>F51</f>
        <v>69</v>
      </c>
      <c r="G55" s="355">
        <f>H55-F55-E55-D55</f>
        <v>53</v>
      </c>
      <c r="H55" s="210">
        <f>H51-1</f>
        <v>234</v>
      </c>
      <c r="I55" s="355">
        <f>I51</f>
        <v>62</v>
      </c>
      <c r="J55" s="355">
        <f>J51</f>
        <v>75</v>
      </c>
      <c r="K55" s="355">
        <f>K51</f>
        <v>79</v>
      </c>
      <c r="L55" s="355">
        <f>M55-K55-J55-I55</f>
        <v>81</v>
      </c>
      <c r="M55" s="210">
        <f>M51-1</f>
        <v>297</v>
      </c>
      <c r="N55" s="355">
        <f>N51</f>
        <v>64</v>
      </c>
      <c r="O55" s="355">
        <f>O51-1</f>
        <v>73</v>
      </c>
      <c r="P55" s="355">
        <f>P51</f>
        <v>69</v>
      </c>
      <c r="Q55" s="355">
        <f>R55-P55-O55-N55</f>
        <v>32</v>
      </c>
      <c r="R55" s="210">
        <v>238</v>
      </c>
      <c r="S55" s="355">
        <v>37</v>
      </c>
      <c r="T55" s="61">
        <v>40</v>
      </c>
      <c r="U55" s="61">
        <v>38</v>
      </c>
      <c r="V55" s="355">
        <v>26</v>
      </c>
      <c r="W55" s="210">
        <v>141</v>
      </c>
      <c r="X55" s="355">
        <v>43</v>
      </c>
      <c r="Y55" s="61">
        <v>42</v>
      </c>
      <c r="Z55" s="61">
        <v>38</v>
      </c>
      <c r="AA55" s="355">
        <v>55</v>
      </c>
      <c r="AB55" s="210">
        <v>178</v>
      </c>
      <c r="AC55" s="19">
        <v>46</v>
      </c>
      <c r="AD55" s="61">
        <v>49</v>
      </c>
      <c r="AE55" s="61">
        <v>39</v>
      </c>
      <c r="AF55" s="19">
        <v>44</v>
      </c>
      <c r="AG55" s="210">
        <v>178</v>
      </c>
      <c r="AH55" s="19">
        <v>30</v>
      </c>
      <c r="AI55" s="19">
        <v>60</v>
      </c>
      <c r="AJ55" s="61">
        <v>59</v>
      </c>
      <c r="AK55" s="19">
        <v>30</v>
      </c>
      <c r="AL55" s="210">
        <v>179</v>
      </c>
      <c r="AM55" s="19">
        <v>49</v>
      </c>
      <c r="AN55" s="19">
        <v>67</v>
      </c>
      <c r="AO55" s="61">
        <v>42</v>
      </c>
      <c r="AP55" s="19">
        <v>63</v>
      </c>
      <c r="AQ55" s="210">
        <v>221</v>
      </c>
      <c r="AR55" s="19">
        <v>36</v>
      </c>
      <c r="AS55" s="19">
        <v>57</v>
      </c>
      <c r="AT55" s="137">
        <v>93</v>
      </c>
      <c r="AU55" s="61">
        <v>43</v>
      </c>
      <c r="AV55" s="276">
        <v>136</v>
      </c>
      <c r="AW55" s="19">
        <v>44</v>
      </c>
      <c r="AX55" s="210">
        <v>180</v>
      </c>
    </row>
    <row r="56" spans="2:50" ht="13.9" customHeight="1">
      <c r="B56" s="20" t="s">
        <v>5</v>
      </c>
      <c r="C56" s="211"/>
      <c r="D56" s="357"/>
      <c r="E56" s="357">
        <f>E55/D55-1</f>
        <v>-0.1333333333333333</v>
      </c>
      <c r="F56" s="357">
        <f>F55/E55-1</f>
        <v>0.32692307692307687</v>
      </c>
      <c r="G56" s="357">
        <f>G55/F55-1</f>
        <v>-0.23188405797101452</v>
      </c>
      <c r="H56" s="211"/>
      <c r="I56" s="357">
        <f>I55/G55-1</f>
        <v>0.16981132075471694</v>
      </c>
      <c r="J56" s="357">
        <f>J55/I55-1</f>
        <v>0.20967741935483875</v>
      </c>
      <c r="K56" s="357">
        <f>K55/J55-1</f>
        <v>5.3333333333333233E-2</v>
      </c>
      <c r="L56" s="357">
        <f>L55/K55-1</f>
        <v>2.5316455696202445E-2</v>
      </c>
      <c r="M56" s="211"/>
      <c r="N56" s="357">
        <f>N55/L55-1</f>
        <v>-0.20987654320987659</v>
      </c>
      <c r="O56" s="357">
        <f>O55/N55-1</f>
        <v>0.140625</v>
      </c>
      <c r="P56" s="357">
        <f>P55/O55-1</f>
        <v>-5.4794520547945202E-2</v>
      </c>
      <c r="Q56" s="357">
        <f>Q55/P55-1</f>
        <v>-0.53623188405797095</v>
      </c>
      <c r="R56" s="211"/>
      <c r="S56" s="357">
        <v>0.15625</v>
      </c>
      <c r="T56" s="357">
        <v>8.1081081081081141E-2</v>
      </c>
      <c r="U56" s="357">
        <v>-5.0000000000000044E-2</v>
      </c>
      <c r="V56" s="357">
        <v>-0.31578947368421051</v>
      </c>
      <c r="W56" s="211"/>
      <c r="X56" s="357">
        <v>0.65384615384615374</v>
      </c>
      <c r="Y56" s="357">
        <v>-2.3255813953488413E-2</v>
      </c>
      <c r="Z56" s="357">
        <v>-9.5238095238095233E-2</v>
      </c>
      <c r="AA56" s="357">
        <v>0.44736842105263164</v>
      </c>
      <c r="AB56" s="211"/>
      <c r="AC56" s="21">
        <v>-0.16363636363636369</v>
      </c>
      <c r="AD56" s="21">
        <v>6.5217391304347894E-2</v>
      </c>
      <c r="AE56" s="21">
        <v>-0.20408163265306123</v>
      </c>
      <c r="AF56" s="21">
        <v>0.12820512820512819</v>
      </c>
      <c r="AG56" s="211"/>
      <c r="AH56" s="21">
        <v>-0.31818181818181823</v>
      </c>
      <c r="AI56" s="21">
        <v>1</v>
      </c>
      <c r="AJ56" s="21">
        <v>-1.6666666666666718E-2</v>
      </c>
      <c r="AK56" s="21">
        <v>-0.49152542372881358</v>
      </c>
      <c r="AL56" s="211"/>
      <c r="AM56" s="21">
        <v>0.6333333333333333</v>
      </c>
      <c r="AN56" s="21">
        <v>0.36734693877551017</v>
      </c>
      <c r="AO56" s="21">
        <v>-0.37313432835820892</v>
      </c>
      <c r="AP56" s="21">
        <v>0.5</v>
      </c>
      <c r="AQ56" s="211"/>
      <c r="AR56" s="21">
        <v>-0.4285714285714286</v>
      </c>
      <c r="AS56" s="21">
        <v>0.58333333333333326</v>
      </c>
      <c r="AT56" s="138"/>
      <c r="AU56" s="21">
        <v>-0.24561403508771928</v>
      </c>
      <c r="AV56" s="277"/>
      <c r="AW56" s="21">
        <v>2.3255813953488413E-2</v>
      </c>
      <c r="AX56" s="211"/>
    </row>
    <row r="57" spans="2:50" ht="13.9" customHeight="1">
      <c r="B57" s="20" t="s">
        <v>6</v>
      </c>
      <c r="C57" s="211"/>
      <c r="D57" s="66"/>
      <c r="E57" s="66"/>
      <c r="F57" s="66"/>
      <c r="G57" s="66"/>
      <c r="H57" s="211">
        <f t="shared" ref="H57:P57" si="12">H55/C55-1</f>
        <v>0.125</v>
      </c>
      <c r="I57" s="66">
        <f t="shared" si="12"/>
        <v>3.3333333333333437E-2</v>
      </c>
      <c r="J57" s="66">
        <f t="shared" si="12"/>
        <v>0.44230769230769229</v>
      </c>
      <c r="K57" s="66">
        <f t="shared" si="12"/>
        <v>0.14492753623188404</v>
      </c>
      <c r="L57" s="66">
        <f t="shared" si="12"/>
        <v>0.52830188679245293</v>
      </c>
      <c r="M57" s="211">
        <f t="shared" si="12"/>
        <v>0.26923076923076916</v>
      </c>
      <c r="N57" s="66">
        <f t="shared" si="12"/>
        <v>3.2258064516129004E-2</v>
      </c>
      <c r="O57" s="66">
        <f t="shared" si="12"/>
        <v>-2.6666666666666616E-2</v>
      </c>
      <c r="P57" s="66">
        <f t="shared" si="12"/>
        <v>-0.12658227848101267</v>
      </c>
      <c r="Q57" s="66">
        <f>Q55/L55-1</f>
        <v>-0.60493827160493829</v>
      </c>
      <c r="R57" s="211">
        <v>-0.19865319865319864</v>
      </c>
      <c r="S57" s="66">
        <v>-0.421875</v>
      </c>
      <c r="T57" s="66">
        <v>-0.45205479452054798</v>
      </c>
      <c r="U57" s="66">
        <v>-0.44927536231884058</v>
      </c>
      <c r="V57" s="66">
        <v>-0.1875</v>
      </c>
      <c r="W57" s="211">
        <v>-0.40756302521008403</v>
      </c>
      <c r="X57" s="66">
        <v>0.16216216216216206</v>
      </c>
      <c r="Y57" s="66">
        <v>5.0000000000000044E-2</v>
      </c>
      <c r="Z57" s="66">
        <v>0</v>
      </c>
      <c r="AA57" s="66">
        <v>1.1153846153846154</v>
      </c>
      <c r="AB57" s="211">
        <v>0.26241134751773054</v>
      </c>
      <c r="AC57" s="22">
        <v>6.9767441860465018E-2</v>
      </c>
      <c r="AD57" s="22">
        <v>0.16666666666666674</v>
      </c>
      <c r="AE57" s="22">
        <v>2.6315789473684292E-2</v>
      </c>
      <c r="AF57" s="22">
        <v>-0.19999999999999996</v>
      </c>
      <c r="AG57" s="211">
        <v>0</v>
      </c>
      <c r="AH57" s="22">
        <v>-0.34782608695652173</v>
      </c>
      <c r="AI57" s="22">
        <v>0.22448979591836737</v>
      </c>
      <c r="AJ57" s="22">
        <v>0.51282051282051277</v>
      </c>
      <c r="AK57" s="22">
        <v>-0.31818181818181823</v>
      </c>
      <c r="AL57" s="211">
        <v>5.6179775280897903E-3</v>
      </c>
      <c r="AM57" s="22">
        <v>0.6333333333333333</v>
      </c>
      <c r="AN57" s="22">
        <v>0.1166666666666667</v>
      </c>
      <c r="AO57" s="22">
        <v>-0.28813559322033899</v>
      </c>
      <c r="AP57" s="22">
        <v>1.1000000000000001</v>
      </c>
      <c r="AQ57" s="211">
        <v>0.23463687150837997</v>
      </c>
      <c r="AR57" s="22">
        <v>-0.26530612244897955</v>
      </c>
      <c r="AS57" s="22">
        <v>-0.14925373134328357</v>
      </c>
      <c r="AT57" s="139"/>
      <c r="AU57" s="22">
        <v>2.3809523809523725E-2</v>
      </c>
      <c r="AV57" s="278"/>
      <c r="AW57" s="22">
        <v>-0.30158730158730163</v>
      </c>
      <c r="AX57" s="211">
        <v>-0.18552036199095023</v>
      </c>
    </row>
    <row r="58" spans="2:50" ht="13.9" customHeight="1">
      <c r="B58" s="12" t="s">
        <v>160</v>
      </c>
      <c r="C58" s="215" t="s">
        <v>92</v>
      </c>
      <c r="D58" s="61" t="s">
        <v>92</v>
      </c>
      <c r="E58" s="61" t="s">
        <v>92</v>
      </c>
      <c r="F58" s="61" t="s">
        <v>92</v>
      </c>
      <c r="G58" s="61" t="s">
        <v>92</v>
      </c>
      <c r="H58" s="215" t="s">
        <v>92</v>
      </c>
      <c r="I58" s="355">
        <v>8</v>
      </c>
      <c r="J58" s="355">
        <v>8</v>
      </c>
      <c r="K58" s="355">
        <v>9</v>
      </c>
      <c r="L58" s="355">
        <f>M58-K58-J58-I58</f>
        <v>6</v>
      </c>
      <c r="M58" s="210">
        <v>31</v>
      </c>
      <c r="N58" s="355">
        <v>8</v>
      </c>
      <c r="O58" s="355">
        <v>7</v>
      </c>
      <c r="P58" s="355">
        <v>8</v>
      </c>
      <c r="Q58" s="355">
        <f>R58-P58-O58-N58</f>
        <v>7</v>
      </c>
      <c r="R58" s="210">
        <v>30</v>
      </c>
      <c r="S58" s="355">
        <v>7</v>
      </c>
      <c r="T58" s="355">
        <v>7</v>
      </c>
      <c r="U58" s="355">
        <v>6</v>
      </c>
      <c r="V58" s="355">
        <v>6</v>
      </c>
      <c r="W58" s="210">
        <v>26</v>
      </c>
      <c r="X58" s="355">
        <v>6</v>
      </c>
      <c r="Y58" s="355">
        <v>7</v>
      </c>
      <c r="Z58" s="355">
        <v>6</v>
      </c>
      <c r="AA58" s="355">
        <v>7</v>
      </c>
      <c r="AB58" s="210">
        <v>26</v>
      </c>
      <c r="AC58" s="19">
        <v>6</v>
      </c>
      <c r="AD58" s="19">
        <v>6</v>
      </c>
      <c r="AE58" s="19">
        <v>6</v>
      </c>
      <c r="AF58" s="19">
        <v>7</v>
      </c>
      <c r="AG58" s="210">
        <v>25</v>
      </c>
      <c r="AH58" s="19">
        <v>6</v>
      </c>
      <c r="AI58" s="19">
        <v>6</v>
      </c>
      <c r="AJ58" s="19">
        <v>7</v>
      </c>
      <c r="AK58" s="19">
        <v>6</v>
      </c>
      <c r="AL58" s="210">
        <v>25</v>
      </c>
      <c r="AM58" s="19">
        <v>6</v>
      </c>
      <c r="AN58" s="19">
        <v>6</v>
      </c>
      <c r="AO58" s="19">
        <v>7</v>
      </c>
      <c r="AP58" s="19">
        <v>6</v>
      </c>
      <c r="AQ58" s="210">
        <v>25</v>
      </c>
      <c r="AR58" s="19">
        <v>6</v>
      </c>
      <c r="AS58" s="19">
        <v>7</v>
      </c>
      <c r="AT58" s="137">
        <v>13</v>
      </c>
      <c r="AU58" s="19">
        <v>6</v>
      </c>
      <c r="AV58" s="276">
        <v>19</v>
      </c>
      <c r="AW58" s="19">
        <v>7</v>
      </c>
      <c r="AX58" s="210">
        <v>26</v>
      </c>
    </row>
    <row r="59" spans="2:50" ht="13.9" customHeight="1">
      <c r="B59" s="12"/>
      <c r="C59" s="211"/>
      <c r="D59" s="66"/>
      <c r="E59" s="66"/>
      <c r="F59" s="66"/>
      <c r="G59" s="66"/>
      <c r="H59" s="211"/>
      <c r="I59" s="355"/>
      <c r="J59" s="355"/>
      <c r="K59" s="355"/>
      <c r="L59" s="355"/>
      <c r="M59" s="210"/>
      <c r="N59" s="355"/>
      <c r="O59" s="355"/>
      <c r="P59" s="355"/>
      <c r="Q59" s="355"/>
      <c r="R59" s="210"/>
      <c r="S59" s="355"/>
      <c r="T59" s="355"/>
      <c r="U59" s="355"/>
      <c r="V59" s="355"/>
      <c r="W59" s="210"/>
      <c r="X59" s="355"/>
      <c r="Y59" s="355"/>
      <c r="Z59" s="355"/>
      <c r="AA59" s="355"/>
      <c r="AB59" s="210"/>
      <c r="AC59" s="19"/>
      <c r="AD59" s="19"/>
      <c r="AE59" s="19"/>
      <c r="AF59" s="19"/>
      <c r="AG59" s="210"/>
      <c r="AH59" s="19"/>
      <c r="AI59" s="19"/>
      <c r="AJ59" s="19"/>
      <c r="AK59" s="19"/>
      <c r="AL59" s="210"/>
      <c r="AM59" s="19"/>
      <c r="AN59" s="19"/>
      <c r="AO59" s="19"/>
      <c r="AP59" s="19"/>
      <c r="AQ59" s="210"/>
      <c r="AR59" s="19"/>
      <c r="AS59" s="19"/>
      <c r="AT59" s="138"/>
      <c r="AU59" s="19"/>
      <c r="AV59" s="276"/>
      <c r="AW59" s="19"/>
      <c r="AX59" s="210"/>
    </row>
    <row r="60" spans="2:50" ht="13.9" customHeight="1">
      <c r="B60" s="12" t="s">
        <v>318</v>
      </c>
      <c r="C60" s="210">
        <f>C48-C55</f>
        <v>421</v>
      </c>
      <c r="D60" s="61">
        <f>D48-D55</f>
        <v>-9</v>
      </c>
      <c r="E60" s="106">
        <f>E48-E55</f>
        <v>117</v>
      </c>
      <c r="F60" s="106">
        <f>F48-F55</f>
        <v>46</v>
      </c>
      <c r="G60" s="355">
        <f>H60-F60-E60-D60</f>
        <v>42</v>
      </c>
      <c r="H60" s="210">
        <f>H48-H55</f>
        <v>196</v>
      </c>
      <c r="I60" s="61">
        <f>I48-I55-I58</f>
        <v>16</v>
      </c>
      <c r="J60" s="61">
        <f>J48-J55-J58</f>
        <v>-23</v>
      </c>
      <c r="K60" s="61">
        <f>K48-K55-K58</f>
        <v>-54</v>
      </c>
      <c r="L60" s="61">
        <f>M60-K60-J60-I60</f>
        <v>-41</v>
      </c>
      <c r="M60" s="213">
        <f>M48-M55-M58</f>
        <v>-102</v>
      </c>
      <c r="N60" s="61">
        <f>N48-N55-N58</f>
        <v>-19</v>
      </c>
      <c r="O60" s="61">
        <f>O48-O55-O58</f>
        <v>-58</v>
      </c>
      <c r="P60" s="61">
        <f>P48-P55-P58</f>
        <v>-40</v>
      </c>
      <c r="Q60" s="61">
        <f>R60-P60-O60-N60</f>
        <v>-8</v>
      </c>
      <c r="R60" s="213">
        <v>-125</v>
      </c>
      <c r="S60" s="61">
        <v>-3</v>
      </c>
      <c r="T60" s="61">
        <v>-8</v>
      </c>
      <c r="U60" s="61">
        <v>25</v>
      </c>
      <c r="V60" s="61">
        <v>-18</v>
      </c>
      <c r="W60" s="213">
        <v>-4</v>
      </c>
      <c r="X60" s="61">
        <v>13</v>
      </c>
      <c r="Y60" s="61">
        <v>7</v>
      </c>
      <c r="Z60" s="61">
        <v>29</v>
      </c>
      <c r="AA60" s="61">
        <v>-20</v>
      </c>
      <c r="AB60" s="213">
        <v>29</v>
      </c>
      <c r="AC60" s="61">
        <v>26</v>
      </c>
      <c r="AD60" s="61">
        <v>-12</v>
      </c>
      <c r="AE60" s="61">
        <v>-36</v>
      </c>
      <c r="AF60" s="61">
        <v>5</v>
      </c>
      <c r="AG60" s="213">
        <v>-17</v>
      </c>
      <c r="AH60" s="61">
        <v>56</v>
      </c>
      <c r="AI60" s="61">
        <v>-35</v>
      </c>
      <c r="AJ60" s="24">
        <v>0</v>
      </c>
      <c r="AK60" s="61">
        <v>-10</v>
      </c>
      <c r="AL60" s="213">
        <v>11</v>
      </c>
      <c r="AM60" s="61">
        <v>38</v>
      </c>
      <c r="AN60" s="61">
        <v>-27</v>
      </c>
      <c r="AO60" s="24">
        <v>6</v>
      </c>
      <c r="AP60" s="61">
        <v>-87</v>
      </c>
      <c r="AQ60" s="213">
        <v>-70</v>
      </c>
      <c r="AR60" s="61">
        <v>33</v>
      </c>
      <c r="AS60" s="61">
        <v>-38</v>
      </c>
      <c r="AT60" s="140">
        <v>-5</v>
      </c>
      <c r="AU60" s="24">
        <v>4</v>
      </c>
      <c r="AV60" s="279">
        <v>-1</v>
      </c>
      <c r="AW60" s="19">
        <v>0</v>
      </c>
      <c r="AX60" s="213">
        <v>-1</v>
      </c>
    </row>
    <row r="61" spans="2:50" ht="13.9" customHeight="1">
      <c r="B61" s="20" t="s">
        <v>5</v>
      </c>
      <c r="C61" s="211"/>
      <c r="D61" s="359"/>
      <c r="E61" s="359" t="s">
        <v>23</v>
      </c>
      <c r="F61" s="357">
        <f>F60/E60-1</f>
        <v>-0.6068376068376069</v>
      </c>
      <c r="G61" s="357">
        <f>G60/F60-1</f>
        <v>-8.6956521739130488E-2</v>
      </c>
      <c r="H61" s="211"/>
      <c r="I61" s="357">
        <f>I60/G60-1</f>
        <v>-0.61904761904761907</v>
      </c>
      <c r="J61" s="359" t="s">
        <v>23</v>
      </c>
      <c r="K61" s="357">
        <f>K60/J60-1</f>
        <v>1.347826086956522</v>
      </c>
      <c r="L61" s="357">
        <f>L60/K60-1</f>
        <v>-0.2407407407407407</v>
      </c>
      <c r="M61" s="211"/>
      <c r="N61" s="357">
        <f>N60/L60-1</f>
        <v>-0.53658536585365857</v>
      </c>
      <c r="O61" s="357">
        <f>O60/N60-1</f>
        <v>2.0526315789473686</v>
      </c>
      <c r="P61" s="357">
        <f>P60/O60-1</f>
        <v>-0.31034482758620685</v>
      </c>
      <c r="Q61" s="357">
        <f>Q60/P60-1</f>
        <v>-0.8</v>
      </c>
      <c r="R61" s="211"/>
      <c r="S61" s="357">
        <v>-0.625</v>
      </c>
      <c r="T61" s="357">
        <v>1.6666666666666665</v>
      </c>
      <c r="U61" s="362" t="s">
        <v>23</v>
      </c>
      <c r="V61" s="362" t="s">
        <v>23</v>
      </c>
      <c r="W61" s="211"/>
      <c r="X61" s="362" t="s">
        <v>23</v>
      </c>
      <c r="Y61" s="357">
        <v>-0.46153846153846156</v>
      </c>
      <c r="Z61" s="357">
        <v>3.1428571428571432</v>
      </c>
      <c r="AA61" s="362" t="s">
        <v>23</v>
      </c>
      <c r="AB61" s="211"/>
      <c r="AC61" s="29" t="s">
        <v>23</v>
      </c>
      <c r="AD61" s="29" t="s">
        <v>23</v>
      </c>
      <c r="AE61" s="21">
        <v>2</v>
      </c>
      <c r="AF61" s="29" t="s">
        <v>23</v>
      </c>
      <c r="AG61" s="211"/>
      <c r="AH61" s="21">
        <v>10.199999999999999</v>
      </c>
      <c r="AI61" s="29" t="s">
        <v>23</v>
      </c>
      <c r="AJ61" s="29" t="s">
        <v>23</v>
      </c>
      <c r="AK61" s="31" t="s">
        <v>23</v>
      </c>
      <c r="AL61" s="211"/>
      <c r="AM61" s="31" t="s">
        <v>23</v>
      </c>
      <c r="AN61" s="31" t="s">
        <v>23</v>
      </c>
      <c r="AO61" s="31" t="s">
        <v>23</v>
      </c>
      <c r="AP61" s="31" t="s">
        <v>23</v>
      </c>
      <c r="AQ61" s="211"/>
      <c r="AR61" s="31" t="s">
        <v>23</v>
      </c>
      <c r="AS61" s="31" t="s">
        <v>23</v>
      </c>
      <c r="AT61" s="138"/>
      <c r="AU61" s="31" t="s">
        <v>23</v>
      </c>
      <c r="AV61" s="277"/>
      <c r="AW61" s="31" t="s">
        <v>23</v>
      </c>
      <c r="AX61" s="211"/>
    </row>
    <row r="62" spans="2:50" ht="13.9" customHeight="1">
      <c r="B62" s="20" t="s">
        <v>6</v>
      </c>
      <c r="C62" s="211"/>
      <c r="D62" s="359"/>
      <c r="E62" s="66"/>
      <c r="F62" s="66"/>
      <c r="G62" s="66"/>
      <c r="H62" s="211">
        <f>H60/C60-1</f>
        <v>-0.53444180522565321</v>
      </c>
      <c r="I62" s="362" t="s">
        <v>23</v>
      </c>
      <c r="J62" s="359" t="s">
        <v>23</v>
      </c>
      <c r="K62" s="359" t="s">
        <v>23</v>
      </c>
      <c r="L62" s="359" t="s">
        <v>23</v>
      </c>
      <c r="M62" s="217" t="s">
        <v>23</v>
      </c>
      <c r="N62" s="362" t="s">
        <v>23</v>
      </c>
      <c r="O62" s="66">
        <f t="shared" ref="O62:Q62" si="13">O60/J60-1</f>
        <v>1.5217391304347827</v>
      </c>
      <c r="P62" s="66">
        <f t="shared" si="13"/>
        <v>-0.2592592592592593</v>
      </c>
      <c r="Q62" s="359">
        <f t="shared" si="13"/>
        <v>-0.80487804878048785</v>
      </c>
      <c r="R62" s="217">
        <v>0.22549019607843146</v>
      </c>
      <c r="S62" s="66">
        <v>-0.84210526315789469</v>
      </c>
      <c r="T62" s="66">
        <v>-0.86206896551724133</v>
      </c>
      <c r="U62" s="362" t="s">
        <v>23</v>
      </c>
      <c r="V62" s="359">
        <v>1.25</v>
      </c>
      <c r="W62" s="217">
        <v>-0.96799999999999997</v>
      </c>
      <c r="X62" s="362" t="s">
        <v>23</v>
      </c>
      <c r="Y62" s="362" t="s">
        <v>23</v>
      </c>
      <c r="Z62" s="66">
        <v>0.15999999999999992</v>
      </c>
      <c r="AA62" s="359">
        <v>0.11111111111111116</v>
      </c>
      <c r="AB62" s="217" t="s">
        <v>23</v>
      </c>
      <c r="AC62" s="22">
        <v>1</v>
      </c>
      <c r="AD62" s="29" t="s">
        <v>23</v>
      </c>
      <c r="AE62" s="29" t="s">
        <v>23</v>
      </c>
      <c r="AF62" s="29" t="s">
        <v>23</v>
      </c>
      <c r="AG62" s="217" t="s">
        <v>23</v>
      </c>
      <c r="AH62" s="22">
        <v>1.1538461538461537</v>
      </c>
      <c r="AI62" s="22">
        <v>1.9166666666666665</v>
      </c>
      <c r="AJ62" s="29" t="s">
        <v>23</v>
      </c>
      <c r="AK62" s="31" t="s">
        <v>23</v>
      </c>
      <c r="AL62" s="217" t="s">
        <v>23</v>
      </c>
      <c r="AM62" s="22">
        <v>-0.3214285714285714</v>
      </c>
      <c r="AN62" s="22">
        <v>-0.22857142857142854</v>
      </c>
      <c r="AO62" s="31" t="s">
        <v>23</v>
      </c>
      <c r="AP62" s="22">
        <v>7.6999999999999993</v>
      </c>
      <c r="AQ62" s="217" t="s">
        <v>23</v>
      </c>
      <c r="AR62" s="22">
        <v>-0.13157894736842102</v>
      </c>
      <c r="AS62" s="22">
        <v>0.40740740740740744</v>
      </c>
      <c r="AT62" s="139"/>
      <c r="AU62" s="22">
        <v>-0.33333333333333337</v>
      </c>
      <c r="AV62" s="312"/>
      <c r="AW62" s="31" t="s">
        <v>23</v>
      </c>
      <c r="AX62" s="211">
        <v>-0.98571428571428577</v>
      </c>
    </row>
    <row r="63" spans="2:50" hidden="1">
      <c r="B63" s="12" t="s">
        <v>89</v>
      </c>
      <c r="C63" s="16"/>
      <c r="D63" s="24"/>
      <c r="E63" s="24"/>
      <c r="F63" s="24"/>
      <c r="G63" s="24"/>
      <c r="H63" s="16"/>
      <c r="I63" s="24"/>
      <c r="J63" s="24"/>
      <c r="K63" s="24"/>
      <c r="L63" s="24"/>
      <c r="M63" s="16"/>
      <c r="N63" s="24"/>
      <c r="O63" s="24"/>
      <c r="P63" s="24"/>
      <c r="Q63" s="24"/>
      <c r="R63" s="16"/>
      <c r="S63" s="24"/>
      <c r="T63" s="24"/>
      <c r="U63" s="24"/>
      <c r="V63" s="24"/>
      <c r="W63" s="16"/>
      <c r="X63" s="24"/>
      <c r="Y63" s="24"/>
      <c r="Z63" s="24"/>
      <c r="AA63" s="24"/>
      <c r="AB63" s="16"/>
      <c r="AC63" s="24"/>
      <c r="AD63" s="24"/>
      <c r="AE63" s="24"/>
      <c r="AF63" s="24"/>
      <c r="AG63" s="16"/>
      <c r="AH63" s="24"/>
      <c r="AI63" s="24"/>
      <c r="AJ63" s="24"/>
      <c r="AK63" s="24"/>
      <c r="AL63" s="16"/>
      <c r="AM63" s="24"/>
      <c r="AN63" s="24"/>
      <c r="AO63" s="24"/>
      <c r="AP63" s="24"/>
      <c r="AQ63" s="16"/>
      <c r="AR63" s="24"/>
      <c r="AS63" s="24"/>
      <c r="AU63" s="24"/>
      <c r="AV63" s="24"/>
      <c r="AW63" s="24"/>
      <c r="AX63" s="16"/>
    </row>
    <row r="64" spans="2:50" ht="4.1500000000000004" customHeight="1"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</row>
    <row r="65" spans="2:50" ht="25.35" customHeight="1">
      <c r="B65" s="177" t="s">
        <v>177</v>
      </c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</row>
    <row r="66" spans="2:50" ht="13.9" customHeight="1">
      <c r="B66" s="201" t="s">
        <v>38</v>
      </c>
      <c r="C66" s="310"/>
      <c r="D66" s="310"/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310"/>
      <c r="AG66" s="310"/>
      <c r="AH66" s="310"/>
      <c r="AI66" s="310"/>
      <c r="AJ66" s="310"/>
      <c r="AK66" s="310"/>
      <c r="AL66" s="310"/>
      <c r="AM66" s="310"/>
      <c r="AN66" s="310"/>
      <c r="AO66" s="310"/>
      <c r="AP66" s="310"/>
      <c r="AQ66" s="310"/>
      <c r="AR66" s="310"/>
      <c r="AS66" s="310"/>
      <c r="AT66" s="310"/>
      <c r="AU66" s="310"/>
      <c r="AV66" s="310"/>
      <c r="AW66" s="310"/>
      <c r="AX66" s="310"/>
    </row>
    <row r="67" spans="2:50" ht="13.9" customHeight="1">
      <c r="B67" s="12" t="s">
        <v>13</v>
      </c>
      <c r="C67" s="217" t="s">
        <v>24</v>
      </c>
      <c r="D67" s="362" t="s">
        <v>24</v>
      </c>
      <c r="E67" s="362" t="s">
        <v>24</v>
      </c>
      <c r="F67" s="362" t="s">
        <v>24</v>
      </c>
      <c r="G67" s="362" t="s">
        <v>24</v>
      </c>
      <c r="H67" s="213">
        <v>1650</v>
      </c>
      <c r="I67" s="355">
        <v>375</v>
      </c>
      <c r="J67" s="355">
        <v>375</v>
      </c>
      <c r="K67" s="355">
        <v>367</v>
      </c>
      <c r="L67" s="355">
        <f>M67-I67-J67-K67</f>
        <v>356</v>
      </c>
      <c r="M67" s="213">
        <v>1473</v>
      </c>
      <c r="N67" s="355">
        <v>343</v>
      </c>
      <c r="O67" s="355">
        <v>337</v>
      </c>
      <c r="P67" s="355">
        <v>334</v>
      </c>
      <c r="Q67" s="355">
        <f>R67-N67-O67-P67</f>
        <v>331</v>
      </c>
      <c r="R67" s="213">
        <v>1345</v>
      </c>
      <c r="S67" s="355">
        <v>338</v>
      </c>
      <c r="T67" s="355">
        <v>319</v>
      </c>
      <c r="U67" s="355">
        <v>313</v>
      </c>
      <c r="V67" s="355">
        <v>317</v>
      </c>
      <c r="W67" s="213">
        <v>1287</v>
      </c>
      <c r="X67" s="355">
        <v>315</v>
      </c>
      <c r="Y67" s="355">
        <v>315</v>
      </c>
      <c r="Z67" s="355">
        <v>318</v>
      </c>
      <c r="AA67" s="355">
        <v>322</v>
      </c>
      <c r="AB67" s="213">
        <v>1270</v>
      </c>
      <c r="AC67" s="19">
        <v>316</v>
      </c>
      <c r="AD67" s="19">
        <v>316</v>
      </c>
      <c r="AE67" s="19">
        <v>315</v>
      </c>
      <c r="AF67" s="19">
        <v>330</v>
      </c>
      <c r="AG67" s="213">
        <v>1277</v>
      </c>
      <c r="AH67" s="19">
        <v>329</v>
      </c>
      <c r="AI67" s="19">
        <v>336</v>
      </c>
      <c r="AJ67" s="19">
        <v>328</v>
      </c>
      <c r="AK67" s="19">
        <v>316</v>
      </c>
      <c r="AL67" s="213">
        <v>1309</v>
      </c>
      <c r="AM67" s="19">
        <v>315</v>
      </c>
      <c r="AN67" s="19">
        <v>316</v>
      </c>
      <c r="AO67" s="19">
        <v>317</v>
      </c>
      <c r="AP67" s="19">
        <v>317</v>
      </c>
      <c r="AQ67" s="213">
        <v>1265</v>
      </c>
      <c r="AR67" s="19">
        <v>319</v>
      </c>
      <c r="AS67" s="19">
        <v>320</v>
      </c>
      <c r="AT67" s="137">
        <v>639</v>
      </c>
      <c r="AU67" s="19">
        <v>321</v>
      </c>
      <c r="AV67" s="279">
        <v>960</v>
      </c>
      <c r="AW67" s="19">
        <v>340</v>
      </c>
      <c r="AX67" s="213">
        <v>1300</v>
      </c>
    </row>
    <row r="68" spans="2:50" ht="13.9" customHeight="1">
      <c r="B68" s="20" t="s">
        <v>5</v>
      </c>
      <c r="C68" s="211"/>
      <c r="H68" s="211"/>
      <c r="J68" s="357">
        <f>J67/I67-1</f>
        <v>0</v>
      </c>
      <c r="K68" s="357">
        <f>K67/J67-1</f>
        <v>-2.1333333333333315E-2</v>
      </c>
      <c r="L68" s="357">
        <f>L67/K67-1</f>
        <v>-2.9972752043596729E-2</v>
      </c>
      <c r="M68" s="211"/>
      <c r="N68" s="357"/>
      <c r="O68" s="357">
        <f>O67/N67-1</f>
        <v>-1.7492711370262426E-2</v>
      </c>
      <c r="P68" s="357">
        <f>P67/O67-1</f>
        <v>-8.9020771513352859E-3</v>
      </c>
      <c r="Q68" s="357">
        <f>Q67/P67-1</f>
        <v>-8.9820359281437279E-3</v>
      </c>
      <c r="R68" s="211"/>
      <c r="S68" s="357">
        <v>2.114803625377637E-2</v>
      </c>
      <c r="T68" s="357">
        <v>-5.6213017751479244E-2</v>
      </c>
      <c r="U68" s="357">
        <v>-1.8808777429467072E-2</v>
      </c>
      <c r="V68" s="357">
        <v>1.2779552715654896E-2</v>
      </c>
      <c r="W68" s="211"/>
      <c r="X68" s="357">
        <v>-6.3091482649841879E-3</v>
      </c>
      <c r="Y68" s="357">
        <v>0</v>
      </c>
      <c r="Z68" s="357">
        <v>9.52380952380949E-3</v>
      </c>
      <c r="AA68" s="357">
        <v>1.2578616352201255E-2</v>
      </c>
      <c r="AB68" s="211"/>
      <c r="AC68" s="21">
        <v>-1.8633540372670843E-2</v>
      </c>
      <c r="AD68" s="21">
        <v>0</v>
      </c>
      <c r="AE68" s="21">
        <v>-3.1645569620253333E-3</v>
      </c>
      <c r="AF68" s="21">
        <v>4.7619047619047672E-2</v>
      </c>
      <c r="AG68" s="211"/>
      <c r="AH68" s="21">
        <v>-3.0303030303030498E-3</v>
      </c>
      <c r="AI68" s="21">
        <v>2.1276595744680771E-2</v>
      </c>
      <c r="AJ68" s="21">
        <v>-2.3809523809523836E-2</v>
      </c>
      <c r="AK68" s="21">
        <v>-3.6585365853658569E-2</v>
      </c>
      <c r="AL68" s="211"/>
      <c r="AM68" s="21">
        <v>-3.1645569620253333E-3</v>
      </c>
      <c r="AN68" s="21">
        <v>3.1746031746031633E-3</v>
      </c>
      <c r="AO68" s="21">
        <v>3.1645569620253333E-3</v>
      </c>
      <c r="AP68" s="21">
        <v>0</v>
      </c>
      <c r="AQ68" s="211"/>
      <c r="AR68" s="21">
        <v>6.3091482649841879E-3</v>
      </c>
      <c r="AS68" s="21">
        <v>3.1347962382444194E-3</v>
      </c>
      <c r="AT68" s="138"/>
      <c r="AU68" s="21">
        <v>3.1250000000000444E-3</v>
      </c>
      <c r="AV68" s="277"/>
      <c r="AW68" s="21">
        <v>5.9190031152647871E-2</v>
      </c>
      <c r="AX68" s="211"/>
    </row>
    <row r="69" spans="2:50" ht="13.9" customHeight="1">
      <c r="B69" s="20" t="s">
        <v>6</v>
      </c>
      <c r="C69" s="211"/>
      <c r="H69" s="211"/>
      <c r="M69" s="211">
        <f t="shared" ref="M69:Q69" si="14">M67/H67-1</f>
        <v>-0.1072727272727273</v>
      </c>
      <c r="N69" s="66">
        <f t="shared" si="14"/>
        <v>-8.5333333333333372E-2</v>
      </c>
      <c r="O69" s="66">
        <f t="shared" si="14"/>
        <v>-0.10133333333333339</v>
      </c>
      <c r="P69" s="66">
        <f t="shared" si="14"/>
        <v>-8.9918256130790186E-2</v>
      </c>
      <c r="Q69" s="66">
        <f t="shared" si="14"/>
        <v>-7.02247191011236E-2</v>
      </c>
      <c r="R69" s="211">
        <v>-8.6897488119484056E-2</v>
      </c>
      <c r="S69" s="66">
        <v>-1.4577259475218707E-2</v>
      </c>
      <c r="T69" s="66">
        <v>-5.3412462908011826E-2</v>
      </c>
      <c r="U69" s="66">
        <v>-6.2874251497005984E-2</v>
      </c>
      <c r="V69" s="66">
        <v>-4.2296072507552851E-2</v>
      </c>
      <c r="W69" s="211">
        <v>-4.3122676579925634E-2</v>
      </c>
      <c r="X69" s="66">
        <v>-6.8047337278106523E-2</v>
      </c>
      <c r="Y69" s="66">
        <v>-1.2539184952978011E-2</v>
      </c>
      <c r="Z69" s="66">
        <v>1.5974440894568787E-2</v>
      </c>
      <c r="AA69" s="66">
        <v>1.577287066246047E-2</v>
      </c>
      <c r="AB69" s="211">
        <v>-1.3209013209013243E-2</v>
      </c>
      <c r="AC69" s="22">
        <v>3.1746031746031633E-3</v>
      </c>
      <c r="AD69" s="22">
        <v>3.1746031746031633E-3</v>
      </c>
      <c r="AE69" s="22">
        <v>-9.4339622641509413E-3</v>
      </c>
      <c r="AF69" s="22">
        <v>2.4844720496894457E-2</v>
      </c>
      <c r="AG69" s="211">
        <v>5.5118110236220819E-3</v>
      </c>
      <c r="AH69" s="22">
        <v>4.1139240506329111E-2</v>
      </c>
      <c r="AI69" s="22">
        <v>6.3291139240506222E-2</v>
      </c>
      <c r="AJ69" s="22">
        <v>4.1269841269841345E-2</v>
      </c>
      <c r="AK69" s="22">
        <v>-4.2424242424242475E-2</v>
      </c>
      <c r="AL69" s="211">
        <v>2.5058731401722767E-2</v>
      </c>
      <c r="AM69" s="22">
        <v>-4.2553191489361653E-2</v>
      </c>
      <c r="AN69" s="22">
        <v>-5.9523809523809534E-2</v>
      </c>
      <c r="AO69" s="22">
        <v>-3.3536585365853688E-2</v>
      </c>
      <c r="AP69" s="22">
        <v>3.1645569620253333E-3</v>
      </c>
      <c r="AQ69" s="211">
        <v>-3.3613445378151252E-2</v>
      </c>
      <c r="AR69" s="22">
        <v>1.2698412698412653E-2</v>
      </c>
      <c r="AS69" s="22">
        <v>1.2658227848101333E-2</v>
      </c>
      <c r="AT69" s="139"/>
      <c r="AU69" s="22">
        <v>1.2618296529968376E-2</v>
      </c>
      <c r="AV69" s="278"/>
      <c r="AW69" s="22">
        <v>7.2555205047318605E-2</v>
      </c>
      <c r="AX69" s="211">
        <v>2.7667984189723382E-2</v>
      </c>
    </row>
    <row r="70" spans="2:50" ht="3.75" customHeight="1">
      <c r="B70" s="201"/>
      <c r="C70" s="283"/>
      <c r="D70" s="283"/>
      <c r="E70" s="283"/>
      <c r="F70" s="283"/>
      <c r="G70" s="122"/>
      <c r="H70" s="283"/>
      <c r="I70" s="283"/>
      <c r="J70" s="283"/>
      <c r="K70" s="283"/>
      <c r="L70" s="122"/>
      <c r="M70" s="283"/>
      <c r="N70" s="283"/>
      <c r="O70" s="283"/>
      <c r="P70" s="283"/>
      <c r="Q70" s="122"/>
      <c r="R70" s="283"/>
      <c r="S70" s="283"/>
      <c r="T70" s="283"/>
      <c r="U70" s="283"/>
      <c r="V70" s="122"/>
      <c r="W70" s="283"/>
      <c r="X70" s="283"/>
      <c r="Y70" s="283"/>
      <c r="Z70" s="283"/>
      <c r="AA70" s="122"/>
      <c r="AB70" s="283"/>
      <c r="AC70" s="283"/>
      <c r="AD70" s="283"/>
      <c r="AE70" s="283"/>
      <c r="AF70" s="122"/>
      <c r="AG70" s="283"/>
      <c r="AH70" s="283"/>
      <c r="AI70" s="283"/>
      <c r="AJ70" s="283"/>
      <c r="AK70" s="283"/>
      <c r="AL70" s="283"/>
      <c r="AM70" s="283"/>
      <c r="AN70" s="283"/>
      <c r="AO70" s="283"/>
      <c r="AP70" s="283"/>
      <c r="AQ70" s="283"/>
      <c r="AR70" s="283"/>
      <c r="AS70" s="283"/>
      <c r="AT70" s="283"/>
      <c r="AU70" s="283"/>
      <c r="AV70" s="283"/>
      <c r="AW70" s="283"/>
      <c r="AX70" s="283"/>
    </row>
    <row r="71" spans="2:50" ht="13.9" customHeight="1">
      <c r="B71" s="12" t="s">
        <v>179</v>
      </c>
      <c r="C71" s="217" t="s">
        <v>24</v>
      </c>
      <c r="D71" s="362" t="s">
        <v>24</v>
      </c>
      <c r="E71" s="362" t="s">
        <v>24</v>
      </c>
      <c r="F71" s="362" t="s">
        <v>24</v>
      </c>
      <c r="G71" s="362" t="s">
        <v>24</v>
      </c>
      <c r="H71" s="213">
        <v>285</v>
      </c>
      <c r="I71" s="355">
        <v>79</v>
      </c>
      <c r="J71" s="355">
        <v>79</v>
      </c>
      <c r="K71" s="355">
        <v>81</v>
      </c>
      <c r="L71" s="355">
        <f>M71-I71-J71-K71</f>
        <v>84</v>
      </c>
      <c r="M71" s="213">
        <v>323</v>
      </c>
      <c r="N71" s="355">
        <v>78</v>
      </c>
      <c r="O71" s="355">
        <v>81</v>
      </c>
      <c r="P71" s="355">
        <v>93</v>
      </c>
      <c r="Q71" s="355">
        <f>R71-N71-O71-P71</f>
        <v>82</v>
      </c>
      <c r="R71" s="213">
        <v>334</v>
      </c>
      <c r="S71" s="355">
        <v>76</v>
      </c>
      <c r="T71" s="355">
        <v>78</v>
      </c>
      <c r="U71" s="355">
        <v>76</v>
      </c>
      <c r="V71" s="355">
        <v>80</v>
      </c>
      <c r="W71" s="213">
        <v>310</v>
      </c>
      <c r="X71" s="355">
        <v>75</v>
      </c>
      <c r="Y71" s="355">
        <v>75</v>
      </c>
      <c r="Z71" s="355">
        <v>77</v>
      </c>
      <c r="AA71" s="355">
        <v>65</v>
      </c>
      <c r="AB71" s="213">
        <v>292</v>
      </c>
      <c r="AC71" s="19">
        <v>66</v>
      </c>
      <c r="AD71" s="19">
        <v>68</v>
      </c>
      <c r="AE71" s="19">
        <v>69</v>
      </c>
      <c r="AF71" s="19">
        <v>71</v>
      </c>
      <c r="AG71" s="213">
        <v>274</v>
      </c>
      <c r="AH71" s="19">
        <v>60</v>
      </c>
      <c r="AI71" s="19">
        <v>59</v>
      </c>
      <c r="AJ71" s="19">
        <v>62</v>
      </c>
      <c r="AK71" s="19">
        <v>63</v>
      </c>
      <c r="AL71" s="213">
        <v>244</v>
      </c>
      <c r="AM71" s="19">
        <v>62</v>
      </c>
      <c r="AN71" s="19">
        <v>63</v>
      </c>
      <c r="AO71" s="19">
        <v>64</v>
      </c>
      <c r="AP71" s="19">
        <v>65</v>
      </c>
      <c r="AQ71" s="213">
        <v>254</v>
      </c>
      <c r="AR71" s="19">
        <v>60</v>
      </c>
      <c r="AS71" s="19">
        <v>57</v>
      </c>
      <c r="AT71" s="137">
        <v>117</v>
      </c>
      <c r="AU71" s="19">
        <v>57</v>
      </c>
      <c r="AV71" s="279">
        <v>174</v>
      </c>
      <c r="AW71" s="19">
        <v>61</v>
      </c>
      <c r="AX71" s="213">
        <v>235</v>
      </c>
    </row>
    <row r="72" spans="2:50" ht="13.9" customHeight="1">
      <c r="B72" s="20" t="s">
        <v>5</v>
      </c>
      <c r="C72" s="211"/>
      <c r="H72" s="213"/>
      <c r="J72" s="357">
        <f>J71/I71-1</f>
        <v>0</v>
      </c>
      <c r="K72" s="357">
        <f>K71/J71-1</f>
        <v>2.5316455696202445E-2</v>
      </c>
      <c r="L72" s="357">
        <f>L71/K71-1</f>
        <v>3.7037037037036979E-2</v>
      </c>
      <c r="M72" s="211"/>
      <c r="N72" s="357"/>
      <c r="O72" s="357">
        <f>O71/N71-1</f>
        <v>3.8461538461538547E-2</v>
      </c>
      <c r="P72" s="357">
        <f>P71/O71-1</f>
        <v>0.14814814814814814</v>
      </c>
      <c r="Q72" s="357">
        <f>Q71/P71-1</f>
        <v>-0.11827956989247312</v>
      </c>
      <c r="R72" s="211"/>
      <c r="S72" s="357">
        <v>-7.3170731707317027E-2</v>
      </c>
      <c r="T72" s="357">
        <v>2.6315789473684292E-2</v>
      </c>
      <c r="U72" s="357">
        <v>-2.5641025641025661E-2</v>
      </c>
      <c r="V72" s="357">
        <v>5.2631578947368363E-2</v>
      </c>
      <c r="W72" s="211"/>
      <c r="X72" s="357">
        <v>-6.25E-2</v>
      </c>
      <c r="Y72" s="357">
        <v>0</v>
      </c>
      <c r="Z72" s="357">
        <v>2.6666666666666616E-2</v>
      </c>
      <c r="AA72" s="357">
        <v>-0.1558441558441559</v>
      </c>
      <c r="AB72" s="211"/>
      <c r="AC72" s="21">
        <v>1.538461538461533E-2</v>
      </c>
      <c r="AD72" s="21">
        <v>3.0303030303030276E-2</v>
      </c>
      <c r="AE72" s="21">
        <v>1.4705882352941124E-2</v>
      </c>
      <c r="AF72" s="21">
        <v>2.8985507246376718E-2</v>
      </c>
      <c r="AG72" s="211"/>
      <c r="AH72" s="21">
        <v>-0.15492957746478875</v>
      </c>
      <c r="AI72" s="21">
        <v>-1.6666666666666718E-2</v>
      </c>
      <c r="AJ72" s="21">
        <v>5.0847457627118731E-2</v>
      </c>
      <c r="AK72" s="21">
        <v>1.6129032258064502E-2</v>
      </c>
      <c r="AL72" s="211"/>
      <c r="AM72" s="21">
        <v>-1.5873015873015928E-2</v>
      </c>
      <c r="AN72" s="21">
        <v>1.6129032258064502E-2</v>
      </c>
      <c r="AO72" s="21">
        <v>1.5873015873015817E-2</v>
      </c>
      <c r="AP72" s="21">
        <v>1.5625E-2</v>
      </c>
      <c r="AQ72" s="211"/>
      <c r="AR72" s="21">
        <v>-7.6923076923076872E-2</v>
      </c>
      <c r="AS72" s="21">
        <v>-5.0000000000000044E-2</v>
      </c>
      <c r="AT72" s="137"/>
      <c r="AU72" s="21">
        <v>0</v>
      </c>
      <c r="AV72" s="277"/>
      <c r="AW72" s="21">
        <v>7.0175438596491224E-2</v>
      </c>
      <c r="AX72" s="211"/>
    </row>
    <row r="73" spans="2:50" ht="13.9" customHeight="1">
      <c r="B73" s="20" t="s">
        <v>6</v>
      </c>
      <c r="C73" s="211"/>
      <c r="H73" s="213"/>
      <c r="M73" s="211">
        <f t="shared" ref="M73:Q73" si="15">M71/H71-1</f>
        <v>0.1333333333333333</v>
      </c>
      <c r="N73" s="66">
        <f t="shared" si="15"/>
        <v>-1.2658227848101222E-2</v>
      </c>
      <c r="O73" s="66">
        <f t="shared" si="15"/>
        <v>2.5316455696202445E-2</v>
      </c>
      <c r="P73" s="66">
        <f t="shared" si="15"/>
        <v>0.14814814814814814</v>
      </c>
      <c r="Q73" s="66">
        <f t="shared" si="15"/>
        <v>-2.3809523809523836E-2</v>
      </c>
      <c r="R73" s="211">
        <v>3.4055727554179516E-2</v>
      </c>
      <c r="S73" s="66">
        <v>-2.5641025641025661E-2</v>
      </c>
      <c r="T73" s="66">
        <v>-3.703703703703709E-2</v>
      </c>
      <c r="U73" s="66">
        <v>-0.18279569892473113</v>
      </c>
      <c r="V73" s="66">
        <v>-2.4390243902439046E-2</v>
      </c>
      <c r="W73" s="211">
        <v>-7.1856287425149712E-2</v>
      </c>
      <c r="X73" s="66">
        <v>-1.3157894736842146E-2</v>
      </c>
      <c r="Y73" s="66">
        <v>-3.8461538461538436E-2</v>
      </c>
      <c r="Z73" s="66">
        <v>1.3157894736842035E-2</v>
      </c>
      <c r="AA73" s="66">
        <v>-0.1875</v>
      </c>
      <c r="AB73" s="211">
        <v>-5.8064516129032295E-2</v>
      </c>
      <c r="AC73" s="22">
        <v>-0.12</v>
      </c>
      <c r="AD73" s="22">
        <v>-9.3333333333333379E-2</v>
      </c>
      <c r="AE73" s="22">
        <v>-0.10389610389610393</v>
      </c>
      <c r="AF73" s="22">
        <v>9.2307692307692202E-2</v>
      </c>
      <c r="AG73" s="211">
        <v>-6.164383561643838E-2</v>
      </c>
      <c r="AH73" s="22">
        <v>-9.0909090909090939E-2</v>
      </c>
      <c r="AI73" s="22">
        <v>-0.13235294117647056</v>
      </c>
      <c r="AJ73" s="22">
        <v>-0.10144927536231885</v>
      </c>
      <c r="AK73" s="22">
        <v>-0.11267605633802813</v>
      </c>
      <c r="AL73" s="211">
        <v>-0.10948905109489049</v>
      </c>
      <c r="AM73" s="22">
        <v>3.3333333333333437E-2</v>
      </c>
      <c r="AN73" s="22">
        <v>6.7796610169491567E-2</v>
      </c>
      <c r="AO73" s="22">
        <v>3.2258064516129004E-2</v>
      </c>
      <c r="AP73" s="22">
        <v>3.1746031746031855E-2</v>
      </c>
      <c r="AQ73" s="211">
        <v>4.0983606557376984E-2</v>
      </c>
      <c r="AR73" s="22">
        <v>-3.2258064516129004E-2</v>
      </c>
      <c r="AS73" s="22">
        <v>-9.5238095238095233E-2</v>
      </c>
      <c r="AT73" s="139"/>
      <c r="AU73" s="22">
        <v>-0.109375</v>
      </c>
      <c r="AV73" s="278"/>
      <c r="AW73" s="22">
        <v>-6.1538461538461542E-2</v>
      </c>
      <c r="AX73" s="211">
        <v>-7.4803149606299191E-2</v>
      </c>
    </row>
    <row r="74" spans="2:50" ht="13.9" customHeight="1">
      <c r="B74" s="12" t="s">
        <v>50</v>
      </c>
      <c r="C74" s="217" t="s">
        <v>24</v>
      </c>
      <c r="D74" s="362" t="s">
        <v>24</v>
      </c>
      <c r="E74" s="362" t="s">
        <v>24</v>
      </c>
      <c r="F74" s="362" t="s">
        <v>24</v>
      </c>
      <c r="G74" s="362" t="s">
        <v>24</v>
      </c>
      <c r="H74" s="213">
        <v>245</v>
      </c>
      <c r="I74" s="355">
        <v>58</v>
      </c>
      <c r="J74" s="355">
        <v>60</v>
      </c>
      <c r="K74" s="355">
        <v>56</v>
      </c>
      <c r="L74" s="355">
        <f>M74-I74-J74-K74</f>
        <v>59</v>
      </c>
      <c r="M74" s="213">
        <v>233</v>
      </c>
      <c r="N74" s="355">
        <v>55</v>
      </c>
      <c r="O74" s="355">
        <v>51</v>
      </c>
      <c r="P74" s="355">
        <v>50</v>
      </c>
      <c r="Q74" s="355">
        <f>R74-N74-O74-P74</f>
        <v>53</v>
      </c>
      <c r="R74" s="213">
        <v>209</v>
      </c>
      <c r="S74" s="355">
        <v>51</v>
      </c>
      <c r="T74" s="355">
        <v>47</v>
      </c>
      <c r="U74" s="355">
        <v>48</v>
      </c>
      <c r="V74" s="355">
        <v>49</v>
      </c>
      <c r="W74" s="213">
        <v>195</v>
      </c>
      <c r="X74" s="355">
        <v>47</v>
      </c>
      <c r="Y74" s="355">
        <v>44</v>
      </c>
      <c r="Z74" s="355">
        <v>43</v>
      </c>
      <c r="AA74" s="355">
        <v>48</v>
      </c>
      <c r="AB74" s="213">
        <v>182</v>
      </c>
      <c r="AC74" s="19">
        <v>49</v>
      </c>
      <c r="AD74" s="19">
        <v>45</v>
      </c>
      <c r="AE74" s="19">
        <v>51</v>
      </c>
      <c r="AF74" s="19">
        <v>48</v>
      </c>
      <c r="AG74" s="213">
        <v>193</v>
      </c>
      <c r="AH74" s="19">
        <v>50</v>
      </c>
      <c r="AI74" s="19">
        <v>44</v>
      </c>
      <c r="AJ74" s="19">
        <v>47</v>
      </c>
      <c r="AK74" s="19">
        <v>45</v>
      </c>
      <c r="AL74" s="213">
        <v>186</v>
      </c>
      <c r="AM74" s="19">
        <v>47</v>
      </c>
      <c r="AN74" s="19">
        <v>45</v>
      </c>
      <c r="AO74" s="19">
        <v>47</v>
      </c>
      <c r="AP74" s="19">
        <v>45</v>
      </c>
      <c r="AQ74" s="213">
        <v>184</v>
      </c>
      <c r="AR74" s="19">
        <v>44</v>
      </c>
      <c r="AS74" s="19">
        <v>44</v>
      </c>
      <c r="AT74" s="137">
        <v>88</v>
      </c>
      <c r="AU74" s="19">
        <v>44</v>
      </c>
      <c r="AV74" s="279">
        <v>132</v>
      </c>
      <c r="AW74" s="19">
        <v>46</v>
      </c>
      <c r="AX74" s="213">
        <v>178</v>
      </c>
    </row>
    <row r="75" spans="2:50" ht="13.9" customHeight="1">
      <c r="B75" s="20" t="s">
        <v>5</v>
      </c>
      <c r="C75" s="211"/>
      <c r="H75" s="213"/>
      <c r="J75" s="357">
        <f>J74/I74-1</f>
        <v>3.4482758620689724E-2</v>
      </c>
      <c r="K75" s="357">
        <f>K74/J74-1</f>
        <v>-6.6666666666666652E-2</v>
      </c>
      <c r="L75" s="357">
        <f>L74/K74-1</f>
        <v>5.3571428571428603E-2</v>
      </c>
      <c r="M75" s="211"/>
      <c r="N75" s="357"/>
      <c r="O75" s="357">
        <f>O74/N74-1</f>
        <v>-7.2727272727272751E-2</v>
      </c>
      <c r="P75" s="357">
        <f>P74/O74-1</f>
        <v>-1.9607843137254943E-2</v>
      </c>
      <c r="Q75" s="357">
        <f>Q74/P74-1</f>
        <v>6.0000000000000053E-2</v>
      </c>
      <c r="R75" s="211"/>
      <c r="S75" s="357">
        <v>-3.7735849056603765E-2</v>
      </c>
      <c r="T75" s="357">
        <v>-7.8431372549019662E-2</v>
      </c>
      <c r="U75" s="357">
        <v>2.1276595744680771E-2</v>
      </c>
      <c r="V75" s="357">
        <v>2.0833333333333259E-2</v>
      </c>
      <c r="W75" s="211"/>
      <c r="X75" s="357">
        <v>-4.081632653061229E-2</v>
      </c>
      <c r="Y75" s="357">
        <v>-6.3829787234042534E-2</v>
      </c>
      <c r="Z75" s="357">
        <v>-2.2727272727272707E-2</v>
      </c>
      <c r="AA75" s="357">
        <v>0.11627906976744184</v>
      </c>
      <c r="AB75" s="211"/>
      <c r="AC75" s="21">
        <v>2.0833333333333259E-2</v>
      </c>
      <c r="AD75" s="21">
        <v>-8.1632653061224469E-2</v>
      </c>
      <c r="AE75" s="21">
        <v>0.1333333333333333</v>
      </c>
      <c r="AF75" s="21">
        <v>-5.8823529411764719E-2</v>
      </c>
      <c r="AG75" s="211"/>
      <c r="AH75" s="21">
        <v>4.1666666666666741E-2</v>
      </c>
      <c r="AI75" s="21">
        <v>-0.12</v>
      </c>
      <c r="AJ75" s="21">
        <v>6.8181818181818121E-2</v>
      </c>
      <c r="AK75" s="21">
        <v>-4.2553191489361653E-2</v>
      </c>
      <c r="AL75" s="211"/>
      <c r="AM75" s="21">
        <v>4.4444444444444509E-2</v>
      </c>
      <c r="AN75" s="21">
        <v>-4.2553191489361653E-2</v>
      </c>
      <c r="AO75" s="21">
        <v>4.4444444444444509E-2</v>
      </c>
      <c r="AP75" s="21">
        <v>-4.2553191489361653E-2</v>
      </c>
      <c r="AQ75" s="211"/>
      <c r="AR75" s="21">
        <v>-2.2222222222222254E-2</v>
      </c>
      <c r="AS75" s="21">
        <v>0</v>
      </c>
      <c r="AT75" s="138"/>
      <c r="AU75" s="21">
        <v>0</v>
      </c>
      <c r="AV75" s="277"/>
      <c r="AW75" s="21">
        <v>4.5454545454545414E-2</v>
      </c>
      <c r="AX75" s="211"/>
    </row>
    <row r="76" spans="2:50" ht="13.9" customHeight="1">
      <c r="B76" s="20" t="s">
        <v>6</v>
      </c>
      <c r="C76" s="211"/>
      <c r="H76" s="213"/>
      <c r="M76" s="211">
        <f t="shared" ref="M76:Q76" si="16">M74/H74-1</f>
        <v>-4.8979591836734726E-2</v>
      </c>
      <c r="N76" s="66">
        <f t="shared" si="16"/>
        <v>-5.1724137931034475E-2</v>
      </c>
      <c r="O76" s="66">
        <f t="shared" si="16"/>
        <v>-0.15000000000000002</v>
      </c>
      <c r="P76" s="66">
        <f t="shared" si="16"/>
        <v>-0.1071428571428571</v>
      </c>
      <c r="Q76" s="66">
        <f t="shared" si="16"/>
        <v>-0.10169491525423724</v>
      </c>
      <c r="R76" s="211">
        <v>-0.10300429184549353</v>
      </c>
      <c r="S76" s="66">
        <v>-7.2727272727272751E-2</v>
      </c>
      <c r="T76" s="66">
        <v>-7.8431372549019662E-2</v>
      </c>
      <c r="U76" s="66">
        <v>-4.0000000000000036E-2</v>
      </c>
      <c r="V76" s="66">
        <v>-7.547169811320753E-2</v>
      </c>
      <c r="W76" s="211">
        <v>-6.6985645933014371E-2</v>
      </c>
      <c r="X76" s="66">
        <v>-7.8431372549019662E-2</v>
      </c>
      <c r="Y76" s="66">
        <v>-6.3829787234042534E-2</v>
      </c>
      <c r="Z76" s="66">
        <v>-0.10416666666666663</v>
      </c>
      <c r="AA76" s="66">
        <v>-2.0408163265306145E-2</v>
      </c>
      <c r="AB76" s="211">
        <v>-6.6666666666666652E-2</v>
      </c>
      <c r="AC76" s="22">
        <v>4.2553191489361764E-2</v>
      </c>
      <c r="AD76" s="22">
        <v>2.2727272727272707E-2</v>
      </c>
      <c r="AE76" s="22">
        <v>0.18604651162790709</v>
      </c>
      <c r="AF76" s="22">
        <v>0</v>
      </c>
      <c r="AG76" s="211">
        <v>6.0439560439560447E-2</v>
      </c>
      <c r="AH76" s="22">
        <v>2.0408163265306145E-2</v>
      </c>
      <c r="AI76" s="22">
        <v>-2.2222222222222254E-2</v>
      </c>
      <c r="AJ76" s="22">
        <v>-7.8431372549019662E-2</v>
      </c>
      <c r="AK76" s="22">
        <v>-6.25E-2</v>
      </c>
      <c r="AL76" s="211">
        <v>-3.6269430051813489E-2</v>
      </c>
      <c r="AM76" s="22">
        <v>-6.0000000000000053E-2</v>
      </c>
      <c r="AN76" s="22">
        <v>2.2727272727272707E-2</v>
      </c>
      <c r="AO76" s="22">
        <v>0</v>
      </c>
      <c r="AP76" s="22">
        <v>0</v>
      </c>
      <c r="AQ76" s="211">
        <v>-1.0752688172043001E-2</v>
      </c>
      <c r="AR76" s="22">
        <v>-6.3829787234042534E-2</v>
      </c>
      <c r="AS76" s="22">
        <v>-2.2222222222222254E-2</v>
      </c>
      <c r="AT76" s="139"/>
      <c r="AU76" s="22">
        <v>-6.3829787234042534E-2</v>
      </c>
      <c r="AV76" s="278"/>
      <c r="AW76" s="22">
        <v>2.2222222222222143E-2</v>
      </c>
      <c r="AX76" s="211">
        <v>-3.2608695652173947E-2</v>
      </c>
    </row>
    <row r="77" spans="2:50" ht="13.9" customHeight="1">
      <c r="B77" s="12" t="s">
        <v>42</v>
      </c>
      <c r="C77" s="217" t="s">
        <v>24</v>
      </c>
      <c r="D77" s="362" t="s">
        <v>24</v>
      </c>
      <c r="E77" s="362" t="s">
        <v>24</v>
      </c>
      <c r="F77" s="362" t="s">
        <v>24</v>
      </c>
      <c r="G77" s="362" t="s">
        <v>24</v>
      </c>
      <c r="H77" s="213">
        <v>957</v>
      </c>
      <c r="I77" s="355">
        <v>237</v>
      </c>
      <c r="J77" s="355">
        <v>246</v>
      </c>
      <c r="K77" s="355">
        <v>229</v>
      </c>
      <c r="L77" s="355">
        <f>M77-I77-J77-K77</f>
        <v>244</v>
      </c>
      <c r="M77" s="213">
        <v>956</v>
      </c>
      <c r="N77" s="355">
        <v>226</v>
      </c>
      <c r="O77" s="355">
        <v>222</v>
      </c>
      <c r="P77" s="355">
        <v>219</v>
      </c>
      <c r="Q77" s="355">
        <f>R77-N77-O77-P77</f>
        <v>228</v>
      </c>
      <c r="R77" s="213">
        <v>895</v>
      </c>
      <c r="S77" s="355">
        <v>222</v>
      </c>
      <c r="T77" s="355">
        <v>212</v>
      </c>
      <c r="U77" s="355">
        <v>204</v>
      </c>
      <c r="V77" s="355">
        <v>200</v>
      </c>
      <c r="W77" s="213">
        <v>838</v>
      </c>
      <c r="X77" s="355">
        <v>213</v>
      </c>
      <c r="Y77" s="355">
        <v>199</v>
      </c>
      <c r="Z77" s="355">
        <v>208</v>
      </c>
      <c r="AA77" s="355">
        <v>205</v>
      </c>
      <c r="AB77" s="213">
        <v>825</v>
      </c>
      <c r="AC77" s="19">
        <v>208</v>
      </c>
      <c r="AD77" s="19">
        <v>208</v>
      </c>
      <c r="AE77" s="19">
        <v>217</v>
      </c>
      <c r="AF77" s="19">
        <v>222</v>
      </c>
      <c r="AG77" s="213">
        <v>855</v>
      </c>
      <c r="AH77" s="19">
        <v>225</v>
      </c>
      <c r="AI77" s="19">
        <v>220</v>
      </c>
      <c r="AJ77" s="19">
        <v>224</v>
      </c>
      <c r="AK77" s="19">
        <v>217</v>
      </c>
      <c r="AL77" s="213">
        <v>886</v>
      </c>
      <c r="AM77" s="19">
        <v>225</v>
      </c>
      <c r="AN77" s="19">
        <v>229</v>
      </c>
      <c r="AO77" s="19">
        <v>236</v>
      </c>
      <c r="AP77" s="19">
        <v>221</v>
      </c>
      <c r="AQ77" s="213">
        <v>911</v>
      </c>
      <c r="AR77" s="19">
        <v>227</v>
      </c>
      <c r="AS77" s="19">
        <v>222</v>
      </c>
      <c r="AT77" s="137">
        <v>449</v>
      </c>
      <c r="AU77" s="19">
        <v>219</v>
      </c>
      <c r="AV77" s="279">
        <v>668</v>
      </c>
      <c r="AW77" s="19">
        <v>240</v>
      </c>
      <c r="AX77" s="213">
        <v>908</v>
      </c>
    </row>
    <row r="78" spans="2:50" ht="13.9" customHeight="1">
      <c r="B78" s="20" t="s">
        <v>5</v>
      </c>
      <c r="C78" s="211"/>
      <c r="H78" s="244"/>
      <c r="J78" s="357">
        <f>J77/I77-1</f>
        <v>3.7974683544303778E-2</v>
      </c>
      <c r="K78" s="357">
        <f>K77/J77-1</f>
        <v>-6.9105691056910556E-2</v>
      </c>
      <c r="L78" s="357">
        <f>L77/K77-1</f>
        <v>6.5502183406113579E-2</v>
      </c>
      <c r="M78" s="211"/>
      <c r="N78" s="357"/>
      <c r="O78" s="357">
        <f>O77/N77-1</f>
        <v>-1.7699115044247815E-2</v>
      </c>
      <c r="P78" s="357">
        <f>P77/O77-1</f>
        <v>-1.3513513513513487E-2</v>
      </c>
      <c r="Q78" s="357">
        <f>Q77/P77-1</f>
        <v>4.1095890410958846E-2</v>
      </c>
      <c r="R78" s="211"/>
      <c r="S78" s="357">
        <v>-2.6315789473684181E-2</v>
      </c>
      <c r="T78" s="357">
        <v>-4.5045045045045029E-2</v>
      </c>
      <c r="U78" s="357">
        <v>-3.7735849056603765E-2</v>
      </c>
      <c r="V78" s="357">
        <v>-1.9607843137254943E-2</v>
      </c>
      <c r="W78" s="211"/>
      <c r="X78" s="357">
        <v>6.4999999999999947E-2</v>
      </c>
      <c r="Y78" s="357">
        <v>-6.5727699530516381E-2</v>
      </c>
      <c r="Z78" s="357">
        <v>4.5226130653266416E-2</v>
      </c>
      <c r="AA78" s="357">
        <v>-1.4423076923076872E-2</v>
      </c>
      <c r="AB78" s="211"/>
      <c r="AC78" s="21">
        <v>1.4634146341463428E-2</v>
      </c>
      <c r="AD78" s="21">
        <v>0</v>
      </c>
      <c r="AE78" s="21">
        <v>4.3269230769230838E-2</v>
      </c>
      <c r="AF78" s="21">
        <v>2.3041474654377891E-2</v>
      </c>
      <c r="AG78" s="211"/>
      <c r="AH78" s="21">
        <v>1.3513513513513598E-2</v>
      </c>
      <c r="AI78" s="21">
        <v>-2.2222222222222254E-2</v>
      </c>
      <c r="AJ78" s="21">
        <v>1.8181818181818077E-2</v>
      </c>
      <c r="AK78" s="21">
        <v>-3.125E-2</v>
      </c>
      <c r="AL78" s="211"/>
      <c r="AM78" s="21">
        <v>3.6866359447004671E-2</v>
      </c>
      <c r="AN78" s="21">
        <v>1.777777777777767E-2</v>
      </c>
      <c r="AO78" s="21">
        <v>3.0567685589519611E-2</v>
      </c>
      <c r="AP78" s="21">
        <v>-6.3559322033898358E-2</v>
      </c>
      <c r="AQ78" s="211"/>
      <c r="AR78" s="21">
        <v>2.7149321266968229E-2</v>
      </c>
      <c r="AS78" s="21">
        <v>-2.2026431718061623E-2</v>
      </c>
      <c r="AT78" s="137"/>
      <c r="AU78" s="21">
        <v>-1.3513513513513487E-2</v>
      </c>
      <c r="AV78" s="277"/>
      <c r="AW78" s="21">
        <v>9.5890410958904049E-2</v>
      </c>
      <c r="AX78" s="211"/>
    </row>
    <row r="79" spans="2:50" ht="13.9" customHeight="1">
      <c r="B79" s="20" t="s">
        <v>6</v>
      </c>
      <c r="C79" s="211"/>
      <c r="H79" s="213"/>
      <c r="M79" s="211">
        <f t="shared" ref="M79:Q79" si="17">M77/H77-1</f>
        <v>-1.0449320794148065E-3</v>
      </c>
      <c r="N79" s="66">
        <f t="shared" si="17"/>
        <v>-4.641350210970463E-2</v>
      </c>
      <c r="O79" s="66">
        <f t="shared" si="17"/>
        <v>-9.7560975609756073E-2</v>
      </c>
      <c r="P79" s="66">
        <f t="shared" si="17"/>
        <v>-4.3668122270742349E-2</v>
      </c>
      <c r="Q79" s="66">
        <f t="shared" si="17"/>
        <v>-6.557377049180324E-2</v>
      </c>
      <c r="R79" s="211">
        <v>-6.3807531380753124E-2</v>
      </c>
      <c r="S79" s="66">
        <v>-1.7699115044247815E-2</v>
      </c>
      <c r="T79" s="66">
        <v>-4.5045045045045029E-2</v>
      </c>
      <c r="U79" s="66">
        <v>-6.8493150684931559E-2</v>
      </c>
      <c r="V79" s="66">
        <v>-0.1228070175438597</v>
      </c>
      <c r="W79" s="211">
        <v>-6.3687150837988815E-2</v>
      </c>
      <c r="X79" s="66">
        <v>-4.0540540540540571E-2</v>
      </c>
      <c r="Y79" s="66">
        <v>-6.1320754716981174E-2</v>
      </c>
      <c r="Z79" s="66">
        <v>1.9607843137254832E-2</v>
      </c>
      <c r="AA79" s="66">
        <v>2.4999999999999911E-2</v>
      </c>
      <c r="AB79" s="211">
        <v>-1.5513126491646823E-2</v>
      </c>
      <c r="AC79" s="22">
        <v>-2.3474178403755874E-2</v>
      </c>
      <c r="AD79" s="22">
        <v>4.5226130653266416E-2</v>
      </c>
      <c r="AE79" s="22">
        <v>4.3269230769230838E-2</v>
      </c>
      <c r="AF79" s="22">
        <v>8.2926829268292757E-2</v>
      </c>
      <c r="AG79" s="211">
        <v>3.6363636363636376E-2</v>
      </c>
      <c r="AH79" s="22">
        <v>8.1730769230769162E-2</v>
      </c>
      <c r="AI79" s="22">
        <v>5.7692307692307709E-2</v>
      </c>
      <c r="AJ79" s="22">
        <v>3.2258064516129004E-2</v>
      </c>
      <c r="AK79" s="22">
        <v>-2.2522522522522515E-2</v>
      </c>
      <c r="AL79" s="211">
        <v>3.6257309941520433E-2</v>
      </c>
      <c r="AM79" s="22">
        <v>0</v>
      </c>
      <c r="AN79" s="22">
        <v>4.0909090909091006E-2</v>
      </c>
      <c r="AO79" s="22">
        <v>5.3571428571428603E-2</v>
      </c>
      <c r="AP79" s="22">
        <v>1.8433179723502224E-2</v>
      </c>
      <c r="AQ79" s="211">
        <v>2.8216704288938965E-2</v>
      </c>
      <c r="AR79" s="22">
        <v>8.8888888888889461E-3</v>
      </c>
      <c r="AS79" s="22">
        <v>-3.0567685589519611E-2</v>
      </c>
      <c r="AT79" s="139"/>
      <c r="AU79" s="22">
        <v>-7.2033898305084776E-2</v>
      </c>
      <c r="AV79" s="278"/>
      <c r="AW79" s="22">
        <v>8.5972850678732948E-2</v>
      </c>
      <c r="AX79" s="211">
        <v>-3.293084522502765E-3</v>
      </c>
    </row>
    <row r="80" spans="2:50" ht="13.9" hidden="1" customHeight="1">
      <c r="B80" s="12" t="s">
        <v>357</v>
      </c>
      <c r="C80" s="217" t="s">
        <v>24</v>
      </c>
      <c r="D80" s="362" t="s">
        <v>24</v>
      </c>
      <c r="E80" s="362" t="s">
        <v>24</v>
      </c>
      <c r="F80" s="362" t="s">
        <v>24</v>
      </c>
      <c r="G80" s="362" t="s">
        <v>24</v>
      </c>
      <c r="H80" s="213">
        <f>H77+H74+H71</f>
        <v>1487</v>
      </c>
      <c r="I80" s="106">
        <f>I77+I74+I71</f>
        <v>374</v>
      </c>
      <c r="J80" s="106">
        <f>J77+J74+J71</f>
        <v>385</v>
      </c>
      <c r="K80" s="106">
        <f>K77+K74+K71</f>
        <v>366</v>
      </c>
      <c r="L80" s="106">
        <f>M80-K80-J80-I80</f>
        <v>387</v>
      </c>
      <c r="M80" s="213">
        <f>M77+M74+M71</f>
        <v>1512</v>
      </c>
      <c r="N80" s="106">
        <f>N77+N74+N71</f>
        <v>359</v>
      </c>
      <c r="O80" s="106">
        <f>O77+O74+O71</f>
        <v>354</v>
      </c>
      <c r="P80" s="106">
        <f>P77+P74+P71</f>
        <v>362</v>
      </c>
      <c r="Q80" s="355">
        <f>R80-P80-O80-N80</f>
        <v>363</v>
      </c>
      <c r="R80" s="213">
        <v>1438</v>
      </c>
      <c r="S80" s="106">
        <v>349</v>
      </c>
      <c r="T80" s="106">
        <v>337</v>
      </c>
      <c r="U80" s="106">
        <v>328</v>
      </c>
      <c r="V80" s="355">
        <v>329</v>
      </c>
      <c r="W80" s="213">
        <v>1343</v>
      </c>
      <c r="X80" s="106">
        <v>335</v>
      </c>
      <c r="Y80" s="106">
        <v>318</v>
      </c>
      <c r="Z80" s="355">
        <v>328</v>
      </c>
      <c r="AA80" s="355">
        <v>318</v>
      </c>
      <c r="AB80" s="213">
        <v>1299</v>
      </c>
      <c r="AC80" s="106">
        <v>323</v>
      </c>
      <c r="AD80" s="106">
        <v>321</v>
      </c>
      <c r="AE80" s="19">
        <v>337</v>
      </c>
      <c r="AF80" s="19">
        <v>341</v>
      </c>
      <c r="AG80" s="213">
        <v>1322</v>
      </c>
      <c r="AH80" s="106">
        <v>335</v>
      </c>
      <c r="AI80" s="106">
        <v>323</v>
      </c>
      <c r="AJ80" s="19">
        <v>333</v>
      </c>
      <c r="AK80" s="19">
        <v>325</v>
      </c>
      <c r="AL80" s="213">
        <v>1316</v>
      </c>
      <c r="AM80" s="106">
        <v>334</v>
      </c>
      <c r="AN80" s="106">
        <v>337</v>
      </c>
      <c r="AO80" s="19">
        <v>347</v>
      </c>
      <c r="AP80" s="19">
        <v>331</v>
      </c>
      <c r="AQ80" s="213">
        <v>1349</v>
      </c>
      <c r="AR80" s="106">
        <v>331</v>
      </c>
      <c r="AS80" s="106">
        <v>323</v>
      </c>
      <c r="AT80" s="137">
        <v>654</v>
      </c>
      <c r="AU80" s="19">
        <v>320</v>
      </c>
      <c r="AV80" s="279">
        <v>974</v>
      </c>
      <c r="AW80" s="19">
        <v>-627</v>
      </c>
      <c r="AX80" s="213">
        <v>1321</v>
      </c>
    </row>
    <row r="81" spans="2:50" ht="13.9" hidden="1" customHeight="1">
      <c r="B81" s="20" t="s">
        <v>6</v>
      </c>
      <c r="C81" s="211"/>
      <c r="H81" s="213"/>
      <c r="M81" s="211">
        <f t="shared" ref="M81:Q81" si="18">M80/H80-1</f>
        <v>1.6812373907195699E-2</v>
      </c>
      <c r="N81" s="66">
        <f t="shared" si="18"/>
        <v>-4.0106951871657803E-2</v>
      </c>
      <c r="O81" s="66">
        <f t="shared" si="18"/>
        <v>-8.0519480519480546E-2</v>
      </c>
      <c r="P81" s="66">
        <f t="shared" si="18"/>
        <v>-1.0928961748633892E-2</v>
      </c>
      <c r="Q81" s="66">
        <f t="shared" si="18"/>
        <v>-6.2015503875968991E-2</v>
      </c>
      <c r="R81" s="211">
        <v>-4.8941798941798953E-2</v>
      </c>
      <c r="S81" s="66">
        <v>-2.7855153203342642E-2</v>
      </c>
      <c r="T81" s="66">
        <v>-4.8022598870056443E-2</v>
      </c>
      <c r="U81" s="66">
        <v>-9.392265193370164E-2</v>
      </c>
      <c r="V81" s="66">
        <v>-9.3663911845729975E-2</v>
      </c>
      <c r="W81" s="211">
        <v>-6.6063977746870672E-2</v>
      </c>
      <c r="X81" s="66">
        <v>-4.011461318051579E-2</v>
      </c>
      <c r="Y81" s="66">
        <v>-5.6379821958456922E-2</v>
      </c>
      <c r="Z81" s="66">
        <v>0</v>
      </c>
      <c r="AA81" s="66">
        <v>-3.3434650455927084E-2</v>
      </c>
      <c r="AB81" s="211">
        <v>-3.2762472077438543E-2</v>
      </c>
      <c r="AC81" s="22">
        <v>-3.5820895522388096E-2</v>
      </c>
      <c r="AD81" s="22">
        <v>9.4339622641510523E-3</v>
      </c>
      <c r="AE81" s="22">
        <v>2.7439024390243816E-2</v>
      </c>
      <c r="AF81" s="22">
        <v>7.2327044025157328E-2</v>
      </c>
      <c r="AG81" s="211">
        <v>1.7705927636643581E-2</v>
      </c>
      <c r="AH81" s="22">
        <v>3.7151702786377694E-2</v>
      </c>
      <c r="AI81" s="22">
        <v>6.230529595015577E-3</v>
      </c>
      <c r="AJ81" s="22">
        <v>-1.1869436201780381E-2</v>
      </c>
      <c r="AK81" s="22">
        <v>-4.692082111436946E-2</v>
      </c>
      <c r="AL81" s="211">
        <v>-2.9239766081884389E-3</v>
      </c>
      <c r="AM81" s="22">
        <v>-2.9850746268657025E-3</v>
      </c>
      <c r="AN81" s="22">
        <v>1.2012012012011963E-2</v>
      </c>
      <c r="AO81" s="22">
        <v>4.2042042042041983E-2</v>
      </c>
      <c r="AP81" s="22">
        <v>1.8461538461538529E-2</v>
      </c>
      <c r="AQ81" s="211">
        <v>2.5075987841945313E-2</v>
      </c>
      <c r="AR81" s="22" t="e">
        <v>#REF!</v>
      </c>
      <c r="AS81" s="22" t="e">
        <v>#REF!</v>
      </c>
      <c r="AT81" s="139"/>
      <c r="AU81" s="22" t="e">
        <v>#REF!</v>
      </c>
      <c r="AV81" s="278"/>
      <c r="AW81" s="22">
        <v>-2.8942598187311179</v>
      </c>
      <c r="AX81" s="211">
        <v>3.0897832817337463</v>
      </c>
    </row>
    <row r="82" spans="2:50" ht="13.9" customHeight="1">
      <c r="B82" s="12" t="s">
        <v>166</v>
      </c>
      <c r="C82" s="217" t="s">
        <v>24</v>
      </c>
      <c r="D82" s="362" t="s">
        <v>24</v>
      </c>
      <c r="E82" s="362" t="s">
        <v>24</v>
      </c>
      <c r="F82" s="362" t="s">
        <v>24</v>
      </c>
      <c r="G82" s="362" t="s">
        <v>24</v>
      </c>
      <c r="H82" s="210">
        <v>0</v>
      </c>
      <c r="I82" s="355">
        <v>2</v>
      </c>
      <c r="J82" s="355">
        <v>7</v>
      </c>
      <c r="K82" s="355">
        <v>0</v>
      </c>
      <c r="L82" s="355">
        <f>M82-I82-J82</f>
        <v>8</v>
      </c>
      <c r="M82" s="213">
        <v>17</v>
      </c>
      <c r="N82" s="355">
        <v>43</v>
      </c>
      <c r="O82" s="61">
        <v>-9</v>
      </c>
      <c r="P82" s="61">
        <v>1</v>
      </c>
      <c r="Q82" s="355">
        <f>R82-N82-O82-P82</f>
        <v>7</v>
      </c>
      <c r="R82" s="213">
        <v>42</v>
      </c>
      <c r="S82" s="355">
        <v>0</v>
      </c>
      <c r="T82" s="61">
        <v>-12</v>
      </c>
      <c r="U82" s="61">
        <v>1</v>
      </c>
      <c r="V82" s="61">
        <v>-3</v>
      </c>
      <c r="W82" s="213">
        <v>-14</v>
      </c>
      <c r="X82" s="61">
        <v>-2</v>
      </c>
      <c r="Y82" s="355">
        <v>0</v>
      </c>
      <c r="Z82" s="61">
        <v>1</v>
      </c>
      <c r="AA82" s="61">
        <v>13</v>
      </c>
      <c r="AB82" s="213">
        <v>12</v>
      </c>
      <c r="AC82" s="19">
        <v>0</v>
      </c>
      <c r="AD82" s="19">
        <v>2</v>
      </c>
      <c r="AE82" s="19">
        <v>0</v>
      </c>
      <c r="AF82" s="61">
        <v>1</v>
      </c>
      <c r="AG82" s="213">
        <v>3</v>
      </c>
      <c r="AH82" s="61">
        <v>-1</v>
      </c>
      <c r="AI82" s="19">
        <v>0</v>
      </c>
      <c r="AJ82" s="19">
        <v>1</v>
      </c>
      <c r="AK82" s="61">
        <v>-3</v>
      </c>
      <c r="AL82" s="213">
        <v>-3</v>
      </c>
      <c r="AM82" s="19">
        <v>0</v>
      </c>
      <c r="AN82" s="19">
        <v>4</v>
      </c>
      <c r="AO82" s="61">
        <v>-1</v>
      </c>
      <c r="AP82" s="19">
        <v>5</v>
      </c>
      <c r="AQ82" s="213">
        <v>8</v>
      </c>
      <c r="AR82" s="19">
        <v>8</v>
      </c>
      <c r="AS82" s="61">
        <v>-1</v>
      </c>
      <c r="AT82" s="140">
        <v>7</v>
      </c>
      <c r="AU82" s="19">
        <v>0</v>
      </c>
      <c r="AV82" s="276">
        <v>7</v>
      </c>
      <c r="AW82" s="19">
        <v>5</v>
      </c>
      <c r="AX82" s="213">
        <v>12</v>
      </c>
    </row>
    <row r="83" spans="2:50" ht="13.9" customHeight="1">
      <c r="B83" s="20"/>
      <c r="C83" s="211"/>
      <c r="H83" s="213"/>
      <c r="M83" s="217"/>
      <c r="N83" s="66"/>
      <c r="P83" s="359"/>
      <c r="Q83" s="66"/>
      <c r="R83" s="211"/>
      <c r="S83" s="359"/>
      <c r="T83" s="66"/>
      <c r="U83" s="66"/>
      <c r="V83" s="359"/>
      <c r="W83" s="217"/>
      <c r="X83" s="359"/>
      <c r="Y83" s="359"/>
      <c r="Z83" s="66"/>
      <c r="AA83" s="359"/>
      <c r="AB83" s="217"/>
      <c r="AC83" s="31"/>
      <c r="AD83" s="31"/>
      <c r="AE83" s="31"/>
      <c r="AF83" s="31"/>
      <c r="AG83" s="217"/>
      <c r="AH83" s="31"/>
      <c r="AI83" s="31"/>
      <c r="AJ83" s="31"/>
      <c r="AK83" s="31"/>
      <c r="AL83" s="217"/>
      <c r="AM83" s="31"/>
      <c r="AN83" s="31"/>
      <c r="AO83" s="31"/>
      <c r="AP83" s="31"/>
      <c r="AQ83" s="217"/>
      <c r="AR83" s="31"/>
      <c r="AS83" s="31"/>
      <c r="AT83" s="139"/>
      <c r="AU83" s="31"/>
      <c r="AV83" s="312"/>
      <c r="AW83" s="31"/>
      <c r="AX83" s="217"/>
    </row>
    <row r="84" spans="2:50" ht="3.75" customHeight="1">
      <c r="B84" s="201"/>
      <c r="C84" s="283"/>
      <c r="D84" s="283"/>
      <c r="E84" s="283"/>
      <c r="F84" s="283"/>
      <c r="G84" s="122"/>
      <c r="H84" s="283"/>
      <c r="I84" s="283"/>
      <c r="J84" s="283"/>
      <c r="K84" s="283"/>
      <c r="L84" s="122"/>
      <c r="M84" s="283"/>
      <c r="N84" s="283"/>
      <c r="O84" s="283"/>
      <c r="P84" s="283"/>
      <c r="Q84" s="122"/>
      <c r="R84" s="283"/>
      <c r="S84" s="283"/>
      <c r="T84" s="283"/>
      <c r="U84" s="283"/>
      <c r="V84" s="122"/>
      <c r="W84" s="283"/>
      <c r="X84" s="283"/>
      <c r="Y84" s="283"/>
      <c r="Z84" s="283"/>
      <c r="AA84" s="122"/>
      <c r="AB84" s="283"/>
      <c r="AC84" s="283"/>
      <c r="AD84" s="283"/>
      <c r="AE84" s="283"/>
      <c r="AF84" s="122"/>
      <c r="AG84" s="283"/>
      <c r="AH84" s="283"/>
      <c r="AI84" s="283"/>
      <c r="AJ84" s="283"/>
      <c r="AK84" s="122"/>
      <c r="AL84" s="283"/>
      <c r="AM84" s="283"/>
      <c r="AN84" s="283"/>
      <c r="AO84" s="283"/>
      <c r="AP84" s="122"/>
      <c r="AQ84" s="283"/>
      <c r="AR84" s="283"/>
      <c r="AS84" s="283"/>
      <c r="AT84" s="283"/>
      <c r="AU84" s="283"/>
      <c r="AV84" s="283"/>
      <c r="AW84" s="122"/>
      <c r="AX84" s="283"/>
    </row>
    <row r="85" spans="2:50" ht="13.9" customHeight="1">
      <c r="B85" s="12" t="s">
        <v>164</v>
      </c>
      <c r="C85" s="217" t="s">
        <v>24</v>
      </c>
      <c r="D85" s="362" t="s">
        <v>24</v>
      </c>
      <c r="E85" s="362" t="s">
        <v>24</v>
      </c>
      <c r="F85" s="362" t="s">
        <v>24</v>
      </c>
      <c r="G85" s="362" t="s">
        <v>24</v>
      </c>
      <c r="H85" s="213">
        <f>H67-H71-H74-H77-H82</f>
        <v>163</v>
      </c>
      <c r="I85" s="61">
        <v>-1</v>
      </c>
      <c r="J85" s="61">
        <v>-17</v>
      </c>
      <c r="K85" s="355">
        <v>1</v>
      </c>
      <c r="L85" s="61">
        <f>M85-I85-J85-K85</f>
        <v>-39</v>
      </c>
      <c r="M85" s="213">
        <f>M67-M71-M74-M77-M82</f>
        <v>-56</v>
      </c>
      <c r="N85" s="61">
        <f>N67-N71-N74-N77-N82</f>
        <v>-59</v>
      </c>
      <c r="O85" s="61">
        <f>O67-O71-O74-O77-O82</f>
        <v>-8</v>
      </c>
      <c r="P85" s="61">
        <f>P67-P71-P74-P77-P82</f>
        <v>-29</v>
      </c>
      <c r="Q85" s="61">
        <f>R85-N85-O85-P85</f>
        <v>-39</v>
      </c>
      <c r="R85" s="213">
        <v>-135</v>
      </c>
      <c r="S85" s="61">
        <v>-11</v>
      </c>
      <c r="T85" s="61">
        <v>-6</v>
      </c>
      <c r="U85" s="61">
        <v>-16</v>
      </c>
      <c r="V85" s="61">
        <v>-9</v>
      </c>
      <c r="W85" s="213">
        <v>-42</v>
      </c>
      <c r="X85" s="61">
        <v>-18</v>
      </c>
      <c r="Y85" s="61">
        <v>-3</v>
      </c>
      <c r="Z85" s="61">
        <v>-11</v>
      </c>
      <c r="AA85" s="61">
        <v>-9</v>
      </c>
      <c r="AB85" s="213">
        <v>-41</v>
      </c>
      <c r="AC85" s="61">
        <v>-7</v>
      </c>
      <c r="AD85" s="61">
        <v>-7</v>
      </c>
      <c r="AE85" s="61">
        <v>-22</v>
      </c>
      <c r="AF85" s="61">
        <v>-12</v>
      </c>
      <c r="AG85" s="213">
        <v>-48</v>
      </c>
      <c r="AH85" s="61">
        <v>-5</v>
      </c>
      <c r="AI85" s="61">
        <v>13</v>
      </c>
      <c r="AJ85" s="61">
        <v>-6</v>
      </c>
      <c r="AK85" s="61">
        <v>-6</v>
      </c>
      <c r="AL85" s="213">
        <v>-4</v>
      </c>
      <c r="AM85" s="61">
        <v>-19</v>
      </c>
      <c r="AN85" s="61">
        <v>-25</v>
      </c>
      <c r="AO85" s="61">
        <v>-29</v>
      </c>
      <c r="AP85" s="61">
        <v>-19</v>
      </c>
      <c r="AQ85" s="213">
        <v>-92</v>
      </c>
      <c r="AR85" s="61">
        <v>-20</v>
      </c>
      <c r="AS85" s="61">
        <v>-2</v>
      </c>
      <c r="AT85" s="140">
        <v>-22</v>
      </c>
      <c r="AU85" s="61">
        <v>1</v>
      </c>
      <c r="AV85" s="279">
        <v>-21</v>
      </c>
      <c r="AW85" s="61">
        <v>-12</v>
      </c>
      <c r="AX85" s="213">
        <v>-33</v>
      </c>
    </row>
    <row r="86" spans="2:50" ht="13.9" customHeight="1">
      <c r="B86" s="20" t="s">
        <v>5</v>
      </c>
      <c r="C86" s="211"/>
      <c r="H86" s="213"/>
      <c r="J86" s="357">
        <f>J85/I85-1</f>
        <v>16</v>
      </c>
      <c r="K86" s="359" t="s">
        <v>23</v>
      </c>
      <c r="L86" s="359" t="s">
        <v>23</v>
      </c>
      <c r="M86" s="213"/>
      <c r="O86" s="357">
        <f>O85/N85-1</f>
        <v>-0.86440677966101698</v>
      </c>
      <c r="P86" s="357">
        <f>P85/O85-1</f>
        <v>2.625</v>
      </c>
      <c r="Q86" s="357">
        <f>Q85/P85-1</f>
        <v>0.34482758620689657</v>
      </c>
      <c r="R86" s="213"/>
      <c r="S86" s="357">
        <v>-0.71794871794871795</v>
      </c>
      <c r="T86" s="357">
        <v>-0.45454545454545459</v>
      </c>
      <c r="U86" s="357">
        <v>1.6666666666666665</v>
      </c>
      <c r="V86" s="357">
        <v>-0.4375</v>
      </c>
      <c r="W86" s="213"/>
      <c r="X86" s="357">
        <v>1</v>
      </c>
      <c r="Y86" s="357">
        <v>-0.83333333333333337</v>
      </c>
      <c r="Z86" s="357">
        <v>2.6666666666666665</v>
      </c>
      <c r="AA86" s="357">
        <v>-0.18181818181818177</v>
      </c>
      <c r="AB86" s="213"/>
      <c r="AC86" s="21">
        <v>-0.22222222222222221</v>
      </c>
      <c r="AD86" s="21">
        <v>0</v>
      </c>
      <c r="AE86" s="21">
        <v>2.1428571428571428</v>
      </c>
      <c r="AF86" s="21">
        <v>-0.45454545454545459</v>
      </c>
      <c r="AG86" s="213"/>
      <c r="AH86" s="21">
        <v>-0.58333333333333326</v>
      </c>
      <c r="AI86" s="21">
        <v>-3.6</v>
      </c>
      <c r="AJ86" s="29" t="s">
        <v>23</v>
      </c>
      <c r="AK86" s="21">
        <v>0</v>
      </c>
      <c r="AL86" s="213"/>
      <c r="AM86" s="21">
        <v>2.1666666666666665</v>
      </c>
      <c r="AN86" s="21">
        <v>0.31578947368421062</v>
      </c>
      <c r="AO86" s="21">
        <v>0.15999999999999992</v>
      </c>
      <c r="AP86" s="21">
        <v>-0.34482758620689657</v>
      </c>
      <c r="AQ86" s="213"/>
      <c r="AR86" s="21">
        <v>5.2631578947368363E-2</v>
      </c>
      <c r="AS86" s="21">
        <v>-0.9</v>
      </c>
      <c r="AT86" s="138"/>
      <c r="AU86" s="31" t="s">
        <v>23</v>
      </c>
      <c r="AV86" s="277"/>
      <c r="AW86" s="31" t="s">
        <v>23</v>
      </c>
      <c r="AX86" s="213"/>
    </row>
    <row r="87" spans="2:50" ht="13.9" customHeight="1">
      <c r="B87" s="20" t="s">
        <v>6</v>
      </c>
      <c r="C87" s="211"/>
      <c r="H87" s="213"/>
      <c r="L87" s="61"/>
      <c r="M87" s="217" t="s">
        <v>23</v>
      </c>
      <c r="O87" s="66">
        <f>O85/J85-1</f>
        <v>-0.52941176470588236</v>
      </c>
      <c r="P87" s="359" t="s">
        <v>23</v>
      </c>
      <c r="Q87" s="66">
        <f>Q85/L85-1</f>
        <v>0</v>
      </c>
      <c r="R87" s="211">
        <v>1.4107142857142856</v>
      </c>
      <c r="S87" s="66">
        <v>-0.81355932203389836</v>
      </c>
      <c r="T87" s="66">
        <v>-0.25</v>
      </c>
      <c r="U87" s="66">
        <v>-0.44827586206896552</v>
      </c>
      <c r="V87" s="66">
        <v>-0.76923076923076916</v>
      </c>
      <c r="W87" s="211">
        <v>-0.68888888888888888</v>
      </c>
      <c r="X87" s="66">
        <v>0.63636363636363646</v>
      </c>
      <c r="Y87" s="66">
        <v>-0.5</v>
      </c>
      <c r="Z87" s="66">
        <v>-0.3125</v>
      </c>
      <c r="AA87" s="66">
        <v>0</v>
      </c>
      <c r="AB87" s="211">
        <v>-2.3809523809523836E-2</v>
      </c>
      <c r="AC87" s="22">
        <v>-0.61111111111111116</v>
      </c>
      <c r="AD87" s="22">
        <v>1.3333333333333335</v>
      </c>
      <c r="AE87" s="22">
        <v>1</v>
      </c>
      <c r="AF87" s="22">
        <v>0.33333333333333326</v>
      </c>
      <c r="AG87" s="211">
        <v>0.1707317073170731</v>
      </c>
      <c r="AH87" s="22">
        <v>-0.2857142857142857</v>
      </c>
      <c r="AI87" s="22">
        <v>-2.8571428571428572</v>
      </c>
      <c r="AJ87" s="22">
        <v>-0.72727272727272729</v>
      </c>
      <c r="AK87" s="22">
        <v>-0.5</v>
      </c>
      <c r="AL87" s="211">
        <v>-0.91666666666666663</v>
      </c>
      <c r="AM87" s="22">
        <v>2.8</v>
      </c>
      <c r="AN87" s="31" t="s">
        <v>23</v>
      </c>
      <c r="AO87" s="22">
        <v>3.833333333333333</v>
      </c>
      <c r="AP87" s="22">
        <v>2.1666666666666665</v>
      </c>
      <c r="AQ87" s="211">
        <v>22</v>
      </c>
      <c r="AR87" s="22">
        <v>5.2631578947368363E-2</v>
      </c>
      <c r="AS87" s="22">
        <v>-0.92</v>
      </c>
      <c r="AT87" s="139"/>
      <c r="AU87" s="31" t="s">
        <v>23</v>
      </c>
      <c r="AV87" s="278"/>
      <c r="AW87" s="22">
        <v>-0.36842105263157898</v>
      </c>
      <c r="AX87" s="211">
        <v>-0.64130434782608692</v>
      </c>
    </row>
    <row r="88" spans="2:50" ht="13.9" customHeight="1">
      <c r="B88" s="12" t="s">
        <v>349</v>
      </c>
      <c r="C88" s="217" t="s">
        <v>24</v>
      </c>
      <c r="D88" s="362" t="s">
        <v>24</v>
      </c>
      <c r="E88" s="362" t="s">
        <v>24</v>
      </c>
      <c r="F88" s="362" t="s">
        <v>24</v>
      </c>
      <c r="G88" s="362" t="s">
        <v>24</v>
      </c>
      <c r="H88" s="213">
        <f>H85+H71</f>
        <v>448</v>
      </c>
      <c r="I88" s="61">
        <f>I85+I71</f>
        <v>78</v>
      </c>
      <c r="J88" s="61">
        <f>J85+J71</f>
        <v>62</v>
      </c>
      <c r="K88" s="61">
        <f>K85+K71</f>
        <v>82</v>
      </c>
      <c r="L88" s="355">
        <f>M88-I88-J88-K88</f>
        <v>45</v>
      </c>
      <c r="M88" s="213">
        <f>M85+M71</f>
        <v>267</v>
      </c>
      <c r="N88" s="61">
        <f>N85+N71</f>
        <v>19</v>
      </c>
      <c r="O88" s="61">
        <f>O85+O71</f>
        <v>73</v>
      </c>
      <c r="P88" s="61">
        <f>P85+P71</f>
        <v>64</v>
      </c>
      <c r="Q88" s="355">
        <f>R88-N88-O88-P88</f>
        <v>43</v>
      </c>
      <c r="R88" s="213">
        <v>199</v>
      </c>
      <c r="S88" s="61">
        <v>65</v>
      </c>
      <c r="T88" s="61">
        <v>72</v>
      </c>
      <c r="U88" s="61">
        <v>60</v>
      </c>
      <c r="V88" s="355">
        <v>71</v>
      </c>
      <c r="W88" s="213">
        <v>268</v>
      </c>
      <c r="X88" s="61">
        <v>57</v>
      </c>
      <c r="Y88" s="61">
        <v>72</v>
      </c>
      <c r="Z88" s="61">
        <v>66</v>
      </c>
      <c r="AA88" s="61">
        <v>56</v>
      </c>
      <c r="AB88" s="213">
        <v>251</v>
      </c>
      <c r="AC88" s="61">
        <v>59</v>
      </c>
      <c r="AD88" s="61">
        <v>61</v>
      </c>
      <c r="AE88" s="61">
        <v>47</v>
      </c>
      <c r="AF88" s="61">
        <v>59</v>
      </c>
      <c r="AG88" s="213">
        <v>226</v>
      </c>
      <c r="AH88" s="61">
        <v>55</v>
      </c>
      <c r="AI88" s="61">
        <v>72</v>
      </c>
      <c r="AJ88" s="61">
        <v>56</v>
      </c>
      <c r="AK88" s="19">
        <v>57</v>
      </c>
      <c r="AL88" s="213">
        <v>240</v>
      </c>
      <c r="AM88" s="61">
        <v>43</v>
      </c>
      <c r="AN88" s="61">
        <v>38</v>
      </c>
      <c r="AO88" s="61">
        <v>35</v>
      </c>
      <c r="AP88" s="19">
        <v>46</v>
      </c>
      <c r="AQ88" s="213">
        <v>162</v>
      </c>
      <c r="AR88" s="61">
        <v>40</v>
      </c>
      <c r="AS88" s="61">
        <v>55</v>
      </c>
      <c r="AT88" s="137">
        <v>95</v>
      </c>
      <c r="AU88" s="61">
        <v>58</v>
      </c>
      <c r="AV88" s="279">
        <v>153</v>
      </c>
      <c r="AW88" s="19">
        <v>49</v>
      </c>
      <c r="AX88" s="213">
        <v>202</v>
      </c>
    </row>
    <row r="89" spans="2:50" ht="13.9" customHeight="1">
      <c r="B89" s="20" t="s">
        <v>5</v>
      </c>
      <c r="C89" s="211"/>
      <c r="H89" s="213"/>
      <c r="J89" s="357">
        <f>J88/I88-1</f>
        <v>-0.20512820512820518</v>
      </c>
      <c r="K89" s="357">
        <f>K88/J88-1</f>
        <v>0.32258064516129026</v>
      </c>
      <c r="L89" s="357">
        <f>L88/K88-1</f>
        <v>-0.45121951219512191</v>
      </c>
      <c r="M89" s="211"/>
      <c r="N89" s="357"/>
      <c r="O89" s="357">
        <f>O88/N88-1</f>
        <v>2.8421052631578947</v>
      </c>
      <c r="P89" s="357">
        <f>P88/O88-1</f>
        <v>-0.12328767123287676</v>
      </c>
      <c r="Q89" s="357">
        <f>Q88/P88-1</f>
        <v>-0.328125</v>
      </c>
      <c r="R89" s="211"/>
      <c r="S89" s="357">
        <v>0.51162790697674421</v>
      </c>
      <c r="T89" s="357">
        <v>0.10769230769230775</v>
      </c>
      <c r="U89" s="357">
        <v>-0.16666666666666663</v>
      </c>
      <c r="V89" s="357">
        <v>0.18333333333333335</v>
      </c>
      <c r="W89" s="211"/>
      <c r="X89" s="357">
        <v>-0.19718309859154926</v>
      </c>
      <c r="Y89" s="357">
        <v>0.26315789473684204</v>
      </c>
      <c r="Z89" s="357">
        <v>-8.333333333333337E-2</v>
      </c>
      <c r="AA89" s="357">
        <v>-0.15151515151515149</v>
      </c>
      <c r="AB89" s="211"/>
      <c r="AC89" s="21">
        <v>5.3571428571428603E-2</v>
      </c>
      <c r="AD89" s="21">
        <v>3.3898305084745672E-2</v>
      </c>
      <c r="AE89" s="21">
        <v>-0.22950819672131151</v>
      </c>
      <c r="AF89" s="21">
        <v>0.25531914893617014</v>
      </c>
      <c r="AG89" s="211"/>
      <c r="AH89" s="21">
        <v>-6.7796610169491567E-2</v>
      </c>
      <c r="AI89" s="21">
        <v>0.30909090909090908</v>
      </c>
      <c r="AJ89" s="21">
        <v>-0.22222222222222221</v>
      </c>
      <c r="AK89" s="21">
        <v>1.7857142857142794E-2</v>
      </c>
      <c r="AL89" s="211"/>
      <c r="AM89" s="21">
        <v>-0.24561403508771928</v>
      </c>
      <c r="AN89" s="21">
        <v>-0.11627906976744184</v>
      </c>
      <c r="AO89" s="21">
        <v>-7.8947368421052655E-2</v>
      </c>
      <c r="AP89" s="21">
        <v>0.31428571428571428</v>
      </c>
      <c r="AQ89" s="211"/>
      <c r="AR89" s="21">
        <v>-0.13043478260869568</v>
      </c>
      <c r="AS89" s="21">
        <v>0.375</v>
      </c>
      <c r="AT89" s="138"/>
      <c r="AU89" s="21">
        <v>5.4545454545454453E-2</v>
      </c>
      <c r="AV89" s="277"/>
      <c r="AW89" s="21">
        <v>-0.15517241379310343</v>
      </c>
      <c r="AX89" s="211"/>
    </row>
    <row r="90" spans="2:50" ht="13.9" customHeight="1">
      <c r="B90" s="20" t="s">
        <v>6</v>
      </c>
      <c r="C90" s="211"/>
      <c r="H90" s="213"/>
      <c r="M90" s="211">
        <f t="shared" ref="M90:Q90" si="19">M88/H88-1</f>
        <v>-0.4040178571428571</v>
      </c>
      <c r="N90" s="66">
        <f t="shared" si="19"/>
        <v>-0.75641025641025639</v>
      </c>
      <c r="O90" s="66">
        <f t="shared" si="19"/>
        <v>0.17741935483870974</v>
      </c>
      <c r="P90" s="66">
        <f t="shared" si="19"/>
        <v>-0.21951219512195119</v>
      </c>
      <c r="Q90" s="66">
        <f t="shared" si="19"/>
        <v>-4.4444444444444398E-2</v>
      </c>
      <c r="R90" s="211">
        <v>-0.25468164794007486</v>
      </c>
      <c r="S90" s="66">
        <v>2.4210526315789473</v>
      </c>
      <c r="T90" s="66">
        <v>-1.3698630136986356E-2</v>
      </c>
      <c r="U90" s="66">
        <v>-6.25E-2</v>
      </c>
      <c r="V90" s="66">
        <v>0.65116279069767447</v>
      </c>
      <c r="W90" s="211">
        <v>0.3467336683417086</v>
      </c>
      <c r="X90" s="66">
        <v>-0.12307692307692308</v>
      </c>
      <c r="Y90" s="66">
        <v>0</v>
      </c>
      <c r="Z90" s="66">
        <v>0.10000000000000009</v>
      </c>
      <c r="AA90" s="66">
        <v>-0.21126760563380287</v>
      </c>
      <c r="AB90" s="211">
        <v>-6.3432835820895539E-2</v>
      </c>
      <c r="AC90" s="22">
        <v>3.5087719298245723E-2</v>
      </c>
      <c r="AD90" s="22">
        <v>-0.15277777777777779</v>
      </c>
      <c r="AE90" s="22">
        <v>-0.28787878787878785</v>
      </c>
      <c r="AF90" s="22">
        <v>5.3571428571428603E-2</v>
      </c>
      <c r="AG90" s="211">
        <v>-9.9601593625498031E-2</v>
      </c>
      <c r="AH90" s="22">
        <v>-6.7796610169491567E-2</v>
      </c>
      <c r="AI90" s="22">
        <v>0.18032786885245899</v>
      </c>
      <c r="AJ90" s="22">
        <v>0.1914893617021276</v>
      </c>
      <c r="AK90" s="22">
        <v>-3.3898305084745783E-2</v>
      </c>
      <c r="AL90" s="211">
        <v>6.1946902654867353E-2</v>
      </c>
      <c r="AM90" s="22">
        <v>-0.21818181818181814</v>
      </c>
      <c r="AN90" s="22">
        <v>-0.47222222222222221</v>
      </c>
      <c r="AO90" s="22">
        <v>-0.375</v>
      </c>
      <c r="AP90" s="22">
        <v>-0.19298245614035092</v>
      </c>
      <c r="AQ90" s="211">
        <v>-0.32499999999999996</v>
      </c>
      <c r="AR90" s="22">
        <v>-6.9767441860465129E-2</v>
      </c>
      <c r="AS90" s="22">
        <v>0.44736842105263164</v>
      </c>
      <c r="AT90" s="139"/>
      <c r="AU90" s="22">
        <v>0.65714285714285725</v>
      </c>
      <c r="AV90" s="278"/>
      <c r="AW90" s="22">
        <v>6.5217391304347894E-2</v>
      </c>
      <c r="AX90" s="211">
        <v>0.24691358024691357</v>
      </c>
    </row>
    <row r="91" spans="2:50" ht="13.9" customHeight="1">
      <c r="B91" s="34" t="s">
        <v>350</v>
      </c>
      <c r="C91" s="217" t="s">
        <v>24</v>
      </c>
      <c r="D91" s="362" t="s">
        <v>24</v>
      </c>
      <c r="E91" s="362" t="s">
        <v>24</v>
      </c>
      <c r="F91" s="362" t="s">
        <v>24</v>
      </c>
      <c r="G91" s="362" t="s">
        <v>24</v>
      </c>
      <c r="H91" s="213">
        <f>H88</f>
        <v>448</v>
      </c>
      <c r="I91" s="61">
        <f>I88+I82</f>
        <v>80</v>
      </c>
      <c r="J91" s="61">
        <f>J88+J82</f>
        <v>69</v>
      </c>
      <c r="K91" s="61">
        <f>K88</f>
        <v>82</v>
      </c>
      <c r="L91" s="355">
        <f>M91-I91-J91-K91</f>
        <v>53</v>
      </c>
      <c r="M91" s="213">
        <f>M88+M82</f>
        <v>284</v>
      </c>
      <c r="N91" s="61">
        <f>N88+N82</f>
        <v>62</v>
      </c>
      <c r="O91" s="61">
        <f>O88+O82</f>
        <v>64</v>
      </c>
      <c r="P91" s="61">
        <f>P88+P82</f>
        <v>65</v>
      </c>
      <c r="Q91" s="355">
        <f>R91-N91-O91-P91</f>
        <v>50</v>
      </c>
      <c r="R91" s="213">
        <v>241</v>
      </c>
      <c r="S91" s="61">
        <v>65</v>
      </c>
      <c r="T91" s="61">
        <v>60</v>
      </c>
      <c r="U91" s="61">
        <v>61</v>
      </c>
      <c r="V91" s="355">
        <v>68</v>
      </c>
      <c r="W91" s="213">
        <v>254</v>
      </c>
      <c r="X91" s="61">
        <v>56</v>
      </c>
      <c r="Y91" s="61">
        <v>73</v>
      </c>
      <c r="Z91" s="61">
        <v>68</v>
      </c>
      <c r="AA91" s="61">
        <v>69</v>
      </c>
      <c r="AB91" s="213">
        <v>266</v>
      </c>
      <c r="AC91" s="61">
        <v>59</v>
      </c>
      <c r="AD91" s="61">
        <v>63</v>
      </c>
      <c r="AE91" s="61">
        <v>48</v>
      </c>
      <c r="AF91" s="61">
        <v>61</v>
      </c>
      <c r="AG91" s="213">
        <v>231</v>
      </c>
      <c r="AH91" s="61">
        <v>55</v>
      </c>
      <c r="AI91" s="61">
        <v>72</v>
      </c>
      <c r="AJ91" s="61">
        <v>58</v>
      </c>
      <c r="AK91" s="19">
        <v>54</v>
      </c>
      <c r="AL91" s="213">
        <v>239</v>
      </c>
      <c r="AM91" s="61">
        <v>44</v>
      </c>
      <c r="AN91" s="61">
        <v>43</v>
      </c>
      <c r="AO91" s="61">
        <v>35</v>
      </c>
      <c r="AP91" s="19">
        <v>51</v>
      </c>
      <c r="AQ91" s="213">
        <v>173</v>
      </c>
      <c r="AR91" s="61">
        <v>49</v>
      </c>
      <c r="AS91" s="61">
        <v>56</v>
      </c>
      <c r="AT91" s="137">
        <v>105</v>
      </c>
      <c r="AU91" s="61">
        <v>59</v>
      </c>
      <c r="AV91" s="279">
        <v>164</v>
      </c>
      <c r="AW91" s="19">
        <v>54</v>
      </c>
      <c r="AX91" s="213">
        <v>218</v>
      </c>
    </row>
    <row r="92" spans="2:50" ht="13.9" customHeight="1">
      <c r="B92" s="20" t="s">
        <v>5</v>
      </c>
      <c r="C92" s="211"/>
      <c r="H92" s="213"/>
      <c r="I92" s="357"/>
      <c r="J92" s="357">
        <f>J91/I91-1</f>
        <v>-0.13749999999999996</v>
      </c>
      <c r="K92" s="357">
        <f>K91/J91-1</f>
        <v>0.18840579710144922</v>
      </c>
      <c r="L92" s="357">
        <f>L91/K91-1</f>
        <v>-0.35365853658536583</v>
      </c>
      <c r="M92" s="211"/>
      <c r="N92" s="357">
        <f>N91/L91-1</f>
        <v>0.16981132075471694</v>
      </c>
      <c r="O92" s="357">
        <f>O91/N91-1</f>
        <v>3.2258064516129004E-2</v>
      </c>
      <c r="P92" s="357">
        <f>P91/O91-1</f>
        <v>1.5625E-2</v>
      </c>
      <c r="Q92" s="357">
        <f>Q91/P91-1</f>
        <v>-0.23076923076923073</v>
      </c>
      <c r="R92" s="211"/>
      <c r="S92" s="357">
        <v>0.30000000000000004</v>
      </c>
      <c r="T92" s="357">
        <v>-7.6923076923076872E-2</v>
      </c>
      <c r="U92" s="357">
        <v>1.6666666666666607E-2</v>
      </c>
      <c r="V92" s="357">
        <v>0.11475409836065564</v>
      </c>
      <c r="W92" s="211"/>
      <c r="X92" s="357">
        <v>-0.17647058823529416</v>
      </c>
      <c r="Y92" s="357">
        <v>0.3035714285714286</v>
      </c>
      <c r="Z92" s="357">
        <v>-6.8493150684931559E-2</v>
      </c>
      <c r="AA92" s="357">
        <v>1.4705882352941124E-2</v>
      </c>
      <c r="AB92" s="211"/>
      <c r="AC92" s="21">
        <v>-0.14492753623188404</v>
      </c>
      <c r="AD92" s="21">
        <v>6.7796610169491567E-2</v>
      </c>
      <c r="AE92" s="21">
        <v>-0.23809523809523814</v>
      </c>
      <c r="AF92" s="21">
        <v>0.27083333333333326</v>
      </c>
      <c r="AG92" s="211"/>
      <c r="AH92" s="21">
        <v>-9.8360655737704916E-2</v>
      </c>
      <c r="AI92" s="21">
        <v>0.30909090909090908</v>
      </c>
      <c r="AJ92" s="21">
        <v>-0.19444444444444442</v>
      </c>
      <c r="AK92" s="21">
        <v>-6.8965517241379337E-2</v>
      </c>
      <c r="AL92" s="211"/>
      <c r="AM92" s="21">
        <v>-0.18518518518518523</v>
      </c>
      <c r="AN92" s="21">
        <v>-2.2727272727272707E-2</v>
      </c>
      <c r="AO92" s="21">
        <v>-0.18604651162790697</v>
      </c>
      <c r="AP92" s="21">
        <v>0.45714285714285707</v>
      </c>
      <c r="AQ92" s="211"/>
      <c r="AR92" s="21">
        <v>-3.9215686274509776E-2</v>
      </c>
      <c r="AS92" s="21">
        <v>0.14285714285714279</v>
      </c>
      <c r="AT92" s="138"/>
      <c r="AU92" s="21">
        <v>5.3571428571428603E-2</v>
      </c>
      <c r="AV92" s="277"/>
      <c r="AW92" s="21">
        <v>-8.4745762711864403E-2</v>
      </c>
      <c r="AX92" s="211"/>
    </row>
    <row r="93" spans="2:50" ht="13.9" customHeight="1">
      <c r="B93" s="20" t="s">
        <v>6</v>
      </c>
      <c r="C93" s="211"/>
      <c r="H93" s="213"/>
      <c r="I93" s="66"/>
      <c r="J93" s="66"/>
      <c r="K93" s="66"/>
      <c r="L93" s="66"/>
      <c r="M93" s="211">
        <f t="shared" ref="M93:Q93" si="20">M91/H91-1</f>
        <v>-0.3660714285714286</v>
      </c>
      <c r="N93" s="66">
        <f t="shared" si="20"/>
        <v>-0.22499999999999998</v>
      </c>
      <c r="O93" s="66">
        <f t="shared" si="20"/>
        <v>-7.2463768115942018E-2</v>
      </c>
      <c r="P93" s="66">
        <f t="shared" si="20"/>
        <v>-0.20731707317073167</v>
      </c>
      <c r="Q93" s="66">
        <f t="shared" si="20"/>
        <v>-5.6603773584905648E-2</v>
      </c>
      <c r="R93" s="211">
        <v>-0.15140845070422537</v>
      </c>
      <c r="S93" s="66">
        <v>4.8387096774193505E-2</v>
      </c>
      <c r="T93" s="66">
        <v>-6.25E-2</v>
      </c>
      <c r="U93" s="66">
        <v>-6.1538461538461542E-2</v>
      </c>
      <c r="V93" s="66">
        <v>0.3600000000000001</v>
      </c>
      <c r="W93" s="211">
        <v>5.3941908713692976E-2</v>
      </c>
      <c r="X93" s="66">
        <v>-0.13846153846153841</v>
      </c>
      <c r="Y93" s="66">
        <v>0.21666666666666656</v>
      </c>
      <c r="Z93" s="66">
        <v>0.11475409836065564</v>
      </c>
      <c r="AA93" s="66">
        <v>1.4705882352941124E-2</v>
      </c>
      <c r="AB93" s="211">
        <v>4.7244094488188892E-2</v>
      </c>
      <c r="AC93" s="22">
        <v>5.3571428571428603E-2</v>
      </c>
      <c r="AD93" s="22">
        <v>-0.13698630136986301</v>
      </c>
      <c r="AE93" s="22">
        <v>-0.29411764705882348</v>
      </c>
      <c r="AF93" s="22">
        <v>-0.11594202898550721</v>
      </c>
      <c r="AG93" s="211">
        <v>-0.13157894736842102</v>
      </c>
      <c r="AH93" s="22">
        <v>-6.7796610169491567E-2</v>
      </c>
      <c r="AI93" s="22">
        <v>0.14285714285714279</v>
      </c>
      <c r="AJ93" s="22">
        <v>0.20833333333333326</v>
      </c>
      <c r="AK93" s="22">
        <v>-0.11475409836065575</v>
      </c>
      <c r="AL93" s="211">
        <v>3.463203463203457E-2</v>
      </c>
      <c r="AM93" s="22">
        <v>-0.19999999999999996</v>
      </c>
      <c r="AN93" s="22">
        <v>-0.40277777777777779</v>
      </c>
      <c r="AO93" s="22">
        <v>-0.39655172413793105</v>
      </c>
      <c r="AP93" s="22">
        <v>-5.555555555555558E-2</v>
      </c>
      <c r="AQ93" s="211">
        <v>-0.27615062761506282</v>
      </c>
      <c r="AR93" s="22">
        <v>0.11363636363636354</v>
      </c>
      <c r="AS93" s="22">
        <v>0.30232558139534893</v>
      </c>
      <c r="AT93" s="139"/>
      <c r="AU93" s="22">
        <v>0.68571428571428572</v>
      </c>
      <c r="AV93" s="278"/>
      <c r="AW93" s="22">
        <v>5.8823529411764719E-2</v>
      </c>
      <c r="AX93" s="211">
        <v>0.26011560693641611</v>
      </c>
    </row>
    <row r="94" spans="2:50" ht="13.9" customHeight="1">
      <c r="B94" s="12" t="s">
        <v>387</v>
      </c>
      <c r="C94" s="211"/>
      <c r="H94" s="231">
        <f>H91/H67</f>
        <v>0.27151515151515154</v>
      </c>
      <c r="I94" s="66"/>
      <c r="J94" s="66"/>
      <c r="K94" s="66"/>
      <c r="L94" s="66"/>
      <c r="M94" s="231">
        <f>M91/M67</f>
        <v>0.19280380176510523</v>
      </c>
      <c r="N94" s="66"/>
      <c r="O94" s="66"/>
      <c r="P94" s="66"/>
      <c r="Q94" s="66"/>
      <c r="R94" s="231">
        <v>0.17918215613382898</v>
      </c>
      <c r="S94" s="66"/>
      <c r="T94" s="66"/>
      <c r="U94" s="66"/>
      <c r="V94" s="66"/>
      <c r="W94" s="231">
        <v>0.19735819735819735</v>
      </c>
      <c r="X94" s="66"/>
      <c r="Y94" s="66"/>
      <c r="Z94" s="66"/>
      <c r="AA94" s="66"/>
      <c r="AB94" s="231">
        <v>0.20944881889763781</v>
      </c>
      <c r="AC94" s="26">
        <v>0.18670886075949367</v>
      </c>
      <c r="AD94" s="26">
        <v>0.19936708860759494</v>
      </c>
      <c r="AE94" s="26">
        <v>0.15238095238095239</v>
      </c>
      <c r="AF94" s="26">
        <v>0.18484848484848485</v>
      </c>
      <c r="AG94" s="231">
        <v>0.18089271730618636</v>
      </c>
      <c r="AH94" s="26">
        <v>0.16717325227963525</v>
      </c>
      <c r="AI94" s="26">
        <v>0.21428571428571427</v>
      </c>
      <c r="AJ94" s="26">
        <v>0.17682926829268292</v>
      </c>
      <c r="AK94" s="26">
        <v>0.17088607594936708</v>
      </c>
      <c r="AL94" s="231">
        <v>0.18258212375859434</v>
      </c>
      <c r="AM94" s="26">
        <v>0.13968253968253969</v>
      </c>
      <c r="AN94" s="26">
        <v>0.13607594936708861</v>
      </c>
      <c r="AO94" s="26">
        <v>0.11041009463722397</v>
      </c>
      <c r="AP94" s="26">
        <v>0.16088328075709779</v>
      </c>
      <c r="AQ94" s="231">
        <v>0.1367588932806324</v>
      </c>
      <c r="AR94" s="26">
        <v>0.15360501567398119</v>
      </c>
      <c r="AS94" s="26">
        <v>0.17499999999999999</v>
      </c>
      <c r="AT94" s="141">
        <v>0.16431924882629109</v>
      </c>
      <c r="AU94" s="26">
        <v>0.18380062305295949</v>
      </c>
      <c r="AV94" s="295">
        <v>0.17083333333333334</v>
      </c>
      <c r="AW94" s="26">
        <v>0.1588235294117647</v>
      </c>
      <c r="AX94" s="231">
        <v>0.1676923076923077</v>
      </c>
    </row>
    <row r="95" spans="2:50" ht="13.9" customHeight="1">
      <c r="B95" s="20"/>
      <c r="C95" s="211"/>
      <c r="H95" s="213"/>
      <c r="I95" s="66"/>
      <c r="J95" s="66"/>
      <c r="K95" s="66"/>
      <c r="L95" s="66"/>
      <c r="M95" s="211"/>
      <c r="N95" s="66"/>
      <c r="O95" s="66"/>
      <c r="P95" s="66"/>
      <c r="Q95" s="66"/>
      <c r="R95" s="211"/>
      <c r="S95" s="66"/>
      <c r="T95" s="66"/>
      <c r="U95" s="66"/>
      <c r="V95" s="66"/>
      <c r="W95" s="211"/>
      <c r="X95" s="66"/>
      <c r="Y95" s="66"/>
      <c r="Z95" s="66"/>
      <c r="AA95" s="66"/>
      <c r="AB95" s="211"/>
      <c r="AC95" s="22"/>
      <c r="AD95" s="22"/>
      <c r="AE95" s="22"/>
      <c r="AF95" s="22"/>
      <c r="AG95" s="211"/>
      <c r="AH95" s="22"/>
      <c r="AI95" s="22"/>
      <c r="AJ95" s="22"/>
      <c r="AK95" s="22"/>
      <c r="AL95" s="211"/>
      <c r="AM95" s="22"/>
      <c r="AN95" s="22"/>
      <c r="AO95" s="22"/>
      <c r="AP95" s="22"/>
      <c r="AQ95" s="211"/>
      <c r="AR95" s="22"/>
      <c r="AS95" s="22"/>
      <c r="AT95" s="139"/>
      <c r="AU95" s="22"/>
      <c r="AV95" s="278"/>
      <c r="AW95" s="22"/>
      <c r="AX95" s="211"/>
    </row>
    <row r="96" spans="2:50" ht="13.9" customHeight="1">
      <c r="B96" s="12" t="s">
        <v>48</v>
      </c>
      <c r="C96" s="217" t="s">
        <v>24</v>
      </c>
      <c r="D96" s="362" t="s">
        <v>24</v>
      </c>
      <c r="E96" s="362" t="s">
        <v>24</v>
      </c>
      <c r="F96" s="362" t="s">
        <v>24</v>
      </c>
      <c r="G96" s="362" t="s">
        <v>24</v>
      </c>
      <c r="H96" s="213">
        <v>71</v>
      </c>
      <c r="I96" s="61">
        <v>-3</v>
      </c>
      <c r="J96" s="61">
        <v>-7</v>
      </c>
      <c r="K96" s="61">
        <v>3</v>
      </c>
      <c r="L96" s="61">
        <f>M96-I96-J96-K96</f>
        <v>-4</v>
      </c>
      <c r="M96" s="213">
        <v>-11</v>
      </c>
      <c r="N96" s="61">
        <v>5</v>
      </c>
      <c r="O96" s="61">
        <v>2</v>
      </c>
      <c r="P96" s="61">
        <v>4</v>
      </c>
      <c r="Q96" s="61">
        <f>R96-N96-O96-P96</f>
        <v>1</v>
      </c>
      <c r="R96" s="213">
        <v>12</v>
      </c>
      <c r="S96" s="61">
        <v>-5</v>
      </c>
      <c r="T96" s="61">
        <v>4</v>
      </c>
      <c r="U96" s="61">
        <v>1</v>
      </c>
      <c r="V96" s="61">
        <v>13</v>
      </c>
      <c r="W96" s="213">
        <v>13</v>
      </c>
      <c r="X96" s="61">
        <v>-7</v>
      </c>
      <c r="Y96" s="61">
        <v>4</v>
      </c>
      <c r="Z96" s="61">
        <v>1</v>
      </c>
      <c r="AA96" s="61">
        <v>3</v>
      </c>
      <c r="AB96" s="213">
        <v>1</v>
      </c>
      <c r="AC96" s="61">
        <v>-1</v>
      </c>
      <c r="AD96" s="61">
        <v>-4</v>
      </c>
      <c r="AE96" s="61">
        <v>-1</v>
      </c>
      <c r="AF96" s="19">
        <v>0</v>
      </c>
      <c r="AG96" s="213">
        <v>-6</v>
      </c>
      <c r="AH96" s="61">
        <v>-5</v>
      </c>
      <c r="AI96" s="61">
        <v>-4</v>
      </c>
      <c r="AJ96" s="61">
        <v>-6</v>
      </c>
      <c r="AK96" s="19">
        <v>6</v>
      </c>
      <c r="AL96" s="213">
        <v>-9</v>
      </c>
      <c r="AM96" s="61">
        <v>-5</v>
      </c>
      <c r="AN96" s="61">
        <v>-7</v>
      </c>
      <c r="AO96" s="24">
        <v>0</v>
      </c>
      <c r="AP96" s="19">
        <v>2</v>
      </c>
      <c r="AQ96" s="213">
        <v>-10</v>
      </c>
      <c r="AR96" s="61">
        <v>-6</v>
      </c>
      <c r="AS96" s="61">
        <v>21</v>
      </c>
      <c r="AT96" s="140">
        <v>15</v>
      </c>
      <c r="AU96" s="24">
        <v>3</v>
      </c>
      <c r="AV96" s="279">
        <v>18</v>
      </c>
      <c r="AW96" s="19">
        <v>6</v>
      </c>
      <c r="AX96" s="213">
        <v>24</v>
      </c>
    </row>
    <row r="97" spans="2:50" ht="13.9" customHeight="1">
      <c r="B97" s="20" t="s">
        <v>5</v>
      </c>
      <c r="C97" s="211"/>
      <c r="H97" s="213"/>
      <c r="J97" s="357">
        <f>J96/I96-1</f>
        <v>1.3333333333333335</v>
      </c>
      <c r="K97" s="359" t="s">
        <v>23</v>
      </c>
      <c r="L97" s="359" t="s">
        <v>23</v>
      </c>
      <c r="M97" s="213"/>
      <c r="P97" s="357">
        <f>P96/O96-1</f>
        <v>1</v>
      </c>
      <c r="Q97" s="357">
        <f>Q96/P96-1</f>
        <v>-0.75</v>
      </c>
      <c r="R97" s="213"/>
      <c r="S97" s="359" t="s">
        <v>23</v>
      </c>
      <c r="T97" s="359" t="s">
        <v>23</v>
      </c>
      <c r="U97" s="357">
        <v>-0.75</v>
      </c>
      <c r="V97" s="357">
        <v>12</v>
      </c>
      <c r="W97" s="213"/>
      <c r="X97" s="359" t="s">
        <v>23</v>
      </c>
      <c r="Y97" s="359" t="s">
        <v>23</v>
      </c>
      <c r="Z97" s="357">
        <v>-0.75</v>
      </c>
      <c r="AA97" s="357">
        <v>2</v>
      </c>
      <c r="AB97" s="213"/>
      <c r="AC97" s="31" t="s">
        <v>23</v>
      </c>
      <c r="AD97" s="21">
        <v>3</v>
      </c>
      <c r="AE97" s="21">
        <v>-0.75</v>
      </c>
      <c r="AF97" s="29" t="s">
        <v>23</v>
      </c>
      <c r="AG97" s="213"/>
      <c r="AH97" s="29" t="s">
        <v>23</v>
      </c>
      <c r="AI97" s="21">
        <v>-0.19999999999999996</v>
      </c>
      <c r="AJ97" s="21">
        <v>0.5</v>
      </c>
      <c r="AK97" s="29" t="s">
        <v>23</v>
      </c>
      <c r="AL97" s="213"/>
      <c r="AM97" s="29" t="s">
        <v>23</v>
      </c>
      <c r="AN97" s="21">
        <v>0.39999999999999991</v>
      </c>
      <c r="AO97" s="29" t="s">
        <v>23</v>
      </c>
      <c r="AP97" s="29" t="s">
        <v>23</v>
      </c>
      <c r="AQ97" s="213"/>
      <c r="AR97" s="31" t="s">
        <v>23</v>
      </c>
      <c r="AS97" s="31" t="s">
        <v>23</v>
      </c>
      <c r="AT97" s="138"/>
      <c r="AU97" s="21">
        <v>-0.85714285714285721</v>
      </c>
      <c r="AV97" s="308"/>
      <c r="AW97" s="21">
        <v>1</v>
      </c>
      <c r="AX97" s="213"/>
    </row>
    <row r="98" spans="2:50" ht="13.9" customHeight="1">
      <c r="B98" s="20" t="s">
        <v>6</v>
      </c>
      <c r="C98" s="211"/>
      <c r="H98" s="213"/>
      <c r="L98" s="61"/>
      <c r="M98" s="217" t="s">
        <v>23</v>
      </c>
      <c r="P98" s="66">
        <f>P96/K96-1</f>
        <v>0.33333333333333326</v>
      </c>
      <c r="Q98" s="359" t="s">
        <v>23</v>
      </c>
      <c r="R98" s="217" t="s">
        <v>23</v>
      </c>
      <c r="S98" s="359" t="s">
        <v>23</v>
      </c>
      <c r="T98" s="66">
        <v>1</v>
      </c>
      <c r="U98" s="66">
        <v>-0.75</v>
      </c>
      <c r="V98" s="359" t="s">
        <v>23</v>
      </c>
      <c r="W98" s="217" t="s">
        <v>23</v>
      </c>
      <c r="X98" s="66">
        <v>0.39999999999999991</v>
      </c>
      <c r="Y98" s="66">
        <v>0</v>
      </c>
      <c r="Z98" s="66">
        <v>0</v>
      </c>
      <c r="AA98" s="66">
        <v>-0.76923076923076916</v>
      </c>
      <c r="AB98" s="211">
        <v>-0.92307692307692313</v>
      </c>
      <c r="AC98" s="22">
        <v>-0.85714285714285721</v>
      </c>
      <c r="AD98" s="31" t="s">
        <v>23</v>
      </c>
      <c r="AE98" s="31" t="s">
        <v>23</v>
      </c>
      <c r="AF98" s="29" t="s">
        <v>23</v>
      </c>
      <c r="AG98" s="217" t="s">
        <v>23</v>
      </c>
      <c r="AH98" s="22">
        <v>4</v>
      </c>
      <c r="AI98" s="22">
        <v>0</v>
      </c>
      <c r="AJ98" s="22">
        <v>5</v>
      </c>
      <c r="AK98" s="29" t="s">
        <v>23</v>
      </c>
      <c r="AL98" s="211">
        <v>0.5</v>
      </c>
      <c r="AM98" s="22">
        <v>0</v>
      </c>
      <c r="AN98" s="22">
        <v>0.75</v>
      </c>
      <c r="AO98" s="29" t="s">
        <v>23</v>
      </c>
      <c r="AP98" s="22">
        <v>-0.66666666666666674</v>
      </c>
      <c r="AQ98" s="211">
        <v>0.11111111111111116</v>
      </c>
      <c r="AR98" s="22">
        <v>0.19999999999999996</v>
      </c>
      <c r="AS98" s="31" t="s">
        <v>23</v>
      </c>
      <c r="AT98" s="159"/>
      <c r="AU98" s="31" t="s">
        <v>23</v>
      </c>
      <c r="AV98" s="278"/>
      <c r="AW98" s="22">
        <v>2</v>
      </c>
      <c r="AX98" s="217" t="s">
        <v>23</v>
      </c>
    </row>
    <row r="99" spans="2:50" ht="13.9" customHeight="1">
      <c r="B99" s="12" t="s">
        <v>348</v>
      </c>
      <c r="C99" s="217" t="s">
        <v>24</v>
      </c>
      <c r="D99" s="362" t="s">
        <v>24</v>
      </c>
      <c r="E99" s="362" t="s">
        <v>24</v>
      </c>
      <c r="F99" s="362" t="s">
        <v>24</v>
      </c>
      <c r="G99" s="362" t="s">
        <v>24</v>
      </c>
      <c r="H99" s="213">
        <v>-244</v>
      </c>
      <c r="I99" s="61">
        <v>1</v>
      </c>
      <c r="J99" s="61">
        <v>-10</v>
      </c>
      <c r="K99" s="61">
        <v>-2</v>
      </c>
      <c r="L99" s="61">
        <f>M99-I99-J99-K99</f>
        <v>-37</v>
      </c>
      <c r="M99" s="213">
        <v>-48</v>
      </c>
      <c r="N99" s="61">
        <v>-64</v>
      </c>
      <c r="O99" s="61">
        <v>-11</v>
      </c>
      <c r="P99" s="61">
        <v>-34</v>
      </c>
      <c r="Q99" s="61">
        <f>R99-N99-O99-P99</f>
        <v>-40</v>
      </c>
      <c r="R99" s="213">
        <v>-149</v>
      </c>
      <c r="S99" s="61">
        <v>-6</v>
      </c>
      <c r="T99" s="61">
        <v>-11</v>
      </c>
      <c r="U99" s="61">
        <v>-18</v>
      </c>
      <c r="V99" s="61">
        <v>-22</v>
      </c>
      <c r="W99" s="213">
        <v>-57</v>
      </c>
      <c r="X99" s="61">
        <v>-12</v>
      </c>
      <c r="Y99" s="61">
        <v>-7</v>
      </c>
      <c r="Z99" s="61">
        <v>-12</v>
      </c>
      <c r="AA99" s="61">
        <v>-12</v>
      </c>
      <c r="AB99" s="213">
        <v>-43</v>
      </c>
      <c r="AC99" s="61">
        <v>-7</v>
      </c>
      <c r="AD99" s="61">
        <v>-3</v>
      </c>
      <c r="AE99" s="61">
        <v>-22</v>
      </c>
      <c r="AF99" s="61">
        <v>-11</v>
      </c>
      <c r="AG99" s="213">
        <v>-43</v>
      </c>
      <c r="AH99" s="19">
        <v>0</v>
      </c>
      <c r="AI99" s="61">
        <v>17</v>
      </c>
      <c r="AJ99" s="61">
        <v>-1</v>
      </c>
      <c r="AK99" s="61">
        <v>-12</v>
      </c>
      <c r="AL99" s="213">
        <v>4</v>
      </c>
      <c r="AM99" s="61">
        <v>-14</v>
      </c>
      <c r="AN99" s="61">
        <v>-18</v>
      </c>
      <c r="AO99" s="61">
        <v>-30</v>
      </c>
      <c r="AP99" s="61">
        <v>-21</v>
      </c>
      <c r="AQ99" s="213">
        <v>-83</v>
      </c>
      <c r="AR99" s="61">
        <v>-14</v>
      </c>
      <c r="AS99" s="61">
        <v>-23</v>
      </c>
      <c r="AT99" s="140">
        <v>-37</v>
      </c>
      <c r="AU99" s="61">
        <v>-2</v>
      </c>
      <c r="AV99" s="279">
        <v>-39</v>
      </c>
      <c r="AW99" s="61">
        <v>-19</v>
      </c>
      <c r="AX99" s="213">
        <v>-58</v>
      </c>
    </row>
    <row r="100" spans="2:50" ht="13.9" customHeight="1">
      <c r="B100" s="20" t="s">
        <v>5</v>
      </c>
      <c r="C100" s="211"/>
      <c r="H100" s="213"/>
      <c r="J100" s="359" t="s">
        <v>23</v>
      </c>
      <c r="K100" s="357">
        <f>K99/J99-1</f>
        <v>-0.8</v>
      </c>
      <c r="L100" s="357">
        <f>L99/K99-1</f>
        <v>17.5</v>
      </c>
      <c r="M100" s="211"/>
      <c r="O100" s="357">
        <f>O99/N99-1</f>
        <v>-0.828125</v>
      </c>
      <c r="P100" s="357">
        <f>P99/O99-1</f>
        <v>2.0909090909090908</v>
      </c>
      <c r="Q100" s="357">
        <f>Q99/P99-1</f>
        <v>0.17647058823529416</v>
      </c>
      <c r="R100" s="211"/>
      <c r="S100" s="357">
        <v>-0.85</v>
      </c>
      <c r="T100" s="357">
        <v>0.83333333333333326</v>
      </c>
      <c r="U100" s="357">
        <v>0.63636363636363646</v>
      </c>
      <c r="V100" s="357">
        <v>0.22222222222222232</v>
      </c>
      <c r="W100" s="211"/>
      <c r="X100" s="357">
        <v>-0.45454545454545459</v>
      </c>
      <c r="Y100" s="357">
        <v>-0.41666666666666663</v>
      </c>
      <c r="Z100" s="357">
        <v>0.71428571428571419</v>
      </c>
      <c r="AA100" s="357">
        <v>0</v>
      </c>
      <c r="AB100" s="211"/>
      <c r="AC100" s="21">
        <v>-0.41666666666666663</v>
      </c>
      <c r="AD100" s="21">
        <v>-0.5714285714285714</v>
      </c>
      <c r="AE100" s="21">
        <v>6.333333333333333</v>
      </c>
      <c r="AF100" s="21">
        <v>-0.5</v>
      </c>
      <c r="AG100" s="211"/>
      <c r="AH100" s="29" t="s">
        <v>23</v>
      </c>
      <c r="AI100" s="29" t="s">
        <v>23</v>
      </c>
      <c r="AJ100" s="29" t="s">
        <v>23</v>
      </c>
      <c r="AK100" s="21">
        <v>11</v>
      </c>
      <c r="AL100" s="211"/>
      <c r="AM100" s="21">
        <v>0.16666666666666674</v>
      </c>
      <c r="AN100" s="21">
        <v>0.28571428571428581</v>
      </c>
      <c r="AO100" s="21">
        <v>0.66666666666666674</v>
      </c>
      <c r="AP100" s="21">
        <v>-0.30000000000000004</v>
      </c>
      <c r="AQ100" s="211"/>
      <c r="AR100" s="21">
        <v>-0.33333333333333337</v>
      </c>
      <c r="AS100" s="21">
        <v>0.64285714285714279</v>
      </c>
      <c r="AT100" s="138"/>
      <c r="AU100" s="21">
        <v>-0.91304347826086962</v>
      </c>
      <c r="AV100" s="308"/>
      <c r="AW100" s="21">
        <v>8.5</v>
      </c>
      <c r="AX100" s="211"/>
    </row>
    <row r="101" spans="2:50" ht="13.9" customHeight="1">
      <c r="B101" s="20" t="s">
        <v>6</v>
      </c>
      <c r="C101" s="211"/>
      <c r="H101" s="213"/>
      <c r="M101" s="211">
        <f>M99/H99-1</f>
        <v>-0.80327868852459017</v>
      </c>
      <c r="O101" s="66">
        <f t="shared" ref="O101:Q101" si="21">O99/J99-1</f>
        <v>0.10000000000000009</v>
      </c>
      <c r="P101" s="66">
        <f t="shared" si="21"/>
        <v>16</v>
      </c>
      <c r="Q101" s="66">
        <f t="shared" si="21"/>
        <v>8.1081081081081141E-2</v>
      </c>
      <c r="R101" s="211">
        <v>2.1041666666666665</v>
      </c>
      <c r="S101" s="66">
        <v>-0.90625</v>
      </c>
      <c r="T101" s="66">
        <v>0</v>
      </c>
      <c r="U101" s="66">
        <v>-0.47058823529411764</v>
      </c>
      <c r="V101" s="66">
        <v>-0.44999999999999996</v>
      </c>
      <c r="W101" s="211">
        <v>-0.6174496644295302</v>
      </c>
      <c r="X101" s="66">
        <v>1</v>
      </c>
      <c r="Y101" s="66">
        <v>-0.36363636363636365</v>
      </c>
      <c r="Z101" s="66">
        <v>-0.33333333333333337</v>
      </c>
      <c r="AA101" s="66">
        <v>-0.45454545454545459</v>
      </c>
      <c r="AB101" s="211">
        <v>-0.24561403508771928</v>
      </c>
      <c r="AC101" s="22">
        <v>-0.41666666666666663</v>
      </c>
      <c r="AD101" s="22">
        <v>-0.5714285714285714</v>
      </c>
      <c r="AE101" s="22">
        <v>0.83333333333333326</v>
      </c>
      <c r="AF101" s="22">
        <v>-8.333333333333337E-2</v>
      </c>
      <c r="AG101" s="211">
        <v>0</v>
      </c>
      <c r="AH101" s="29" t="s">
        <v>23</v>
      </c>
      <c r="AI101" s="29" t="s">
        <v>23</v>
      </c>
      <c r="AJ101" s="22">
        <v>-0.95454545454545459</v>
      </c>
      <c r="AK101" s="22">
        <v>9.0909090909090828E-2</v>
      </c>
      <c r="AL101" s="217" t="s">
        <v>23</v>
      </c>
      <c r="AM101" s="29" t="s">
        <v>23</v>
      </c>
      <c r="AN101" s="31" t="s">
        <v>23</v>
      </c>
      <c r="AO101" s="29" t="s">
        <v>23</v>
      </c>
      <c r="AP101" s="22">
        <v>0.75</v>
      </c>
      <c r="AQ101" s="217" t="s">
        <v>23</v>
      </c>
      <c r="AR101" s="22">
        <v>0</v>
      </c>
      <c r="AS101" s="22">
        <v>0.27777777777777768</v>
      </c>
      <c r="AT101" s="139"/>
      <c r="AU101" s="22">
        <v>-0.93333333333333335</v>
      </c>
      <c r="AV101" s="278"/>
      <c r="AW101" s="22">
        <v>-9.5238095238095233E-2</v>
      </c>
      <c r="AX101" s="211">
        <v>-0.3012048192771084</v>
      </c>
    </row>
    <row r="102" spans="2:50" ht="13.9" customHeight="1">
      <c r="B102" s="34" t="s">
        <v>347</v>
      </c>
      <c r="C102" s="217" t="s">
        <v>24</v>
      </c>
      <c r="D102" s="362" t="s">
        <v>24</v>
      </c>
      <c r="E102" s="362" t="s">
        <v>24</v>
      </c>
      <c r="F102" s="362" t="s">
        <v>24</v>
      </c>
      <c r="G102" s="362" t="s">
        <v>24</v>
      </c>
      <c r="H102" s="213">
        <f>H99+H82</f>
        <v>-244</v>
      </c>
      <c r="I102" s="61">
        <f>I99+I82</f>
        <v>3</v>
      </c>
      <c r="J102" s="61">
        <f>J99+J82</f>
        <v>-3</v>
      </c>
      <c r="K102" s="61">
        <f>K99+K82</f>
        <v>-2</v>
      </c>
      <c r="L102" s="61">
        <f>M102-I102-J102-K102</f>
        <v>-29</v>
      </c>
      <c r="M102" s="213">
        <f>M99+M82</f>
        <v>-31</v>
      </c>
      <c r="N102" s="61">
        <f>N99+N82</f>
        <v>-21</v>
      </c>
      <c r="O102" s="61">
        <f>O99+O82</f>
        <v>-20</v>
      </c>
      <c r="P102" s="61">
        <f>P99+P82</f>
        <v>-33</v>
      </c>
      <c r="Q102" s="61">
        <f>R102-N102-O102-P102</f>
        <v>-33</v>
      </c>
      <c r="R102" s="213">
        <v>-107</v>
      </c>
      <c r="S102" s="61">
        <v>-6</v>
      </c>
      <c r="T102" s="61">
        <v>-23</v>
      </c>
      <c r="U102" s="61">
        <v>-17</v>
      </c>
      <c r="V102" s="61">
        <v>-25</v>
      </c>
      <c r="W102" s="213">
        <v>-71</v>
      </c>
      <c r="X102" s="61">
        <v>-13</v>
      </c>
      <c r="Y102" s="61">
        <v>-6</v>
      </c>
      <c r="Z102" s="61">
        <v>-10</v>
      </c>
      <c r="AA102" s="61">
        <v>1</v>
      </c>
      <c r="AB102" s="213">
        <v>-28</v>
      </c>
      <c r="AC102" s="61">
        <v>-7</v>
      </c>
      <c r="AD102" s="61">
        <v>-1</v>
      </c>
      <c r="AE102" s="61">
        <v>-21</v>
      </c>
      <c r="AF102" s="61">
        <v>-9</v>
      </c>
      <c r="AG102" s="213">
        <v>-38</v>
      </c>
      <c r="AH102" s="19">
        <v>0</v>
      </c>
      <c r="AI102" s="61">
        <v>17</v>
      </c>
      <c r="AJ102" s="61">
        <v>1</v>
      </c>
      <c r="AK102" s="61">
        <v>-15</v>
      </c>
      <c r="AL102" s="213">
        <v>3</v>
      </c>
      <c r="AM102" s="61">
        <v>-13</v>
      </c>
      <c r="AN102" s="61">
        <v>-13</v>
      </c>
      <c r="AO102" s="61">
        <v>-30</v>
      </c>
      <c r="AP102" s="61">
        <v>-16</v>
      </c>
      <c r="AQ102" s="213">
        <v>-72</v>
      </c>
      <c r="AR102" s="61">
        <v>-5</v>
      </c>
      <c r="AS102" s="61">
        <v>-22</v>
      </c>
      <c r="AT102" s="140">
        <v>-27</v>
      </c>
      <c r="AU102" s="61">
        <v>-1</v>
      </c>
      <c r="AV102" s="279">
        <v>-28</v>
      </c>
      <c r="AW102" s="61">
        <v>-14</v>
      </c>
      <c r="AX102" s="213">
        <v>-42</v>
      </c>
    </row>
    <row r="103" spans="2:50" ht="13.9" customHeight="1">
      <c r="B103" s="20" t="s">
        <v>5</v>
      </c>
      <c r="C103" s="211"/>
      <c r="H103" s="213"/>
      <c r="I103" s="357"/>
      <c r="J103" s="359" t="s">
        <v>23</v>
      </c>
      <c r="K103" s="357">
        <f>K102/J102-1</f>
        <v>-0.33333333333333337</v>
      </c>
      <c r="L103" s="357">
        <f>L102/K102-1</f>
        <v>13.5</v>
      </c>
      <c r="M103" s="211"/>
      <c r="N103" s="357">
        <f>N102/L102-1</f>
        <v>-0.27586206896551724</v>
      </c>
      <c r="O103" s="357">
        <f>O102/N102-1</f>
        <v>-4.7619047619047672E-2</v>
      </c>
      <c r="P103" s="357">
        <f>P102/O102-1</f>
        <v>0.64999999999999991</v>
      </c>
      <c r="Q103" s="357">
        <f>Q102/P102-1</f>
        <v>0</v>
      </c>
      <c r="R103" s="211"/>
      <c r="S103" s="357">
        <v>-0.81818181818181812</v>
      </c>
      <c r="T103" s="357">
        <v>2.8333333333333335</v>
      </c>
      <c r="U103" s="357">
        <v>-0.26086956521739135</v>
      </c>
      <c r="V103" s="357">
        <v>0.47058823529411775</v>
      </c>
      <c r="W103" s="211"/>
      <c r="X103" s="357">
        <v>-0.48</v>
      </c>
      <c r="Y103" s="357">
        <v>-0.53846153846153844</v>
      </c>
      <c r="Z103" s="357">
        <v>0.66666666666666674</v>
      </c>
      <c r="AA103" s="357">
        <v>-1.1000000000000001</v>
      </c>
      <c r="AB103" s="211"/>
      <c r="AC103" s="31" t="s">
        <v>23</v>
      </c>
      <c r="AD103" s="21">
        <v>-0.85714285714285721</v>
      </c>
      <c r="AE103" s="21">
        <v>20</v>
      </c>
      <c r="AF103" s="21">
        <v>-0.5714285714285714</v>
      </c>
      <c r="AG103" s="211"/>
      <c r="AH103" s="29" t="s">
        <v>23</v>
      </c>
      <c r="AI103" s="29" t="s">
        <v>23</v>
      </c>
      <c r="AJ103" s="21">
        <v>-0.94117647058823528</v>
      </c>
      <c r="AK103" s="29" t="s">
        <v>23</v>
      </c>
      <c r="AL103" s="211"/>
      <c r="AM103" s="21">
        <v>-0.1333333333333333</v>
      </c>
      <c r="AN103" s="21">
        <v>0</v>
      </c>
      <c r="AO103" s="21">
        <v>1.3076923076923075</v>
      </c>
      <c r="AP103" s="21">
        <v>-0.46666666666666667</v>
      </c>
      <c r="AQ103" s="211"/>
      <c r="AR103" s="21">
        <v>-0.6875</v>
      </c>
      <c r="AS103" s="21">
        <v>3.4000000000000004</v>
      </c>
      <c r="AT103" s="138"/>
      <c r="AU103" s="21">
        <v>-0.95454545454545459</v>
      </c>
      <c r="AV103" s="277"/>
      <c r="AW103" s="21">
        <v>13</v>
      </c>
      <c r="AX103" s="211"/>
    </row>
    <row r="104" spans="2:50" ht="13.9" customHeight="1">
      <c r="B104" s="20" t="s">
        <v>6</v>
      </c>
      <c r="C104" s="211"/>
      <c r="H104" s="213"/>
      <c r="I104" s="66"/>
      <c r="J104" s="66"/>
      <c r="K104" s="66"/>
      <c r="L104" s="66"/>
      <c r="M104" s="211">
        <f>M102/H102-1</f>
        <v>-0.87295081967213117</v>
      </c>
      <c r="N104" s="359" t="s">
        <v>23</v>
      </c>
      <c r="O104" s="66">
        <f t="shared" ref="O104:Q104" si="22">O102/J102-1</f>
        <v>5.666666666666667</v>
      </c>
      <c r="P104" s="66">
        <f t="shared" si="22"/>
        <v>15.5</v>
      </c>
      <c r="Q104" s="66">
        <f t="shared" si="22"/>
        <v>0.13793103448275867</v>
      </c>
      <c r="R104" s="211">
        <v>2.4516129032258065</v>
      </c>
      <c r="S104" s="66">
        <v>-0.7142857142857143</v>
      </c>
      <c r="T104" s="66">
        <v>0.14999999999999991</v>
      </c>
      <c r="U104" s="66">
        <v>-0.48484848484848486</v>
      </c>
      <c r="V104" s="66">
        <v>-0.24242424242424243</v>
      </c>
      <c r="W104" s="211">
        <v>-0.33644859813084116</v>
      </c>
      <c r="X104" s="66">
        <v>1.1666666666666665</v>
      </c>
      <c r="Y104" s="66">
        <v>-0.73913043478260865</v>
      </c>
      <c r="Z104" s="66">
        <v>-0.41176470588235292</v>
      </c>
      <c r="AA104" s="66">
        <v>-1.04</v>
      </c>
      <c r="AB104" s="211">
        <v>-0.60563380281690149</v>
      </c>
      <c r="AC104" s="22">
        <v>-0.46153846153846156</v>
      </c>
      <c r="AD104" s="22">
        <v>-0.83333333333333337</v>
      </c>
      <c r="AE104" s="22">
        <v>1.1000000000000001</v>
      </c>
      <c r="AF104" s="29" t="s">
        <v>23</v>
      </c>
      <c r="AG104" s="211">
        <v>0.35714285714285721</v>
      </c>
      <c r="AH104" s="29" t="s">
        <v>23</v>
      </c>
      <c r="AI104" s="29" t="s">
        <v>23</v>
      </c>
      <c r="AJ104" s="29" t="s">
        <v>23</v>
      </c>
      <c r="AK104" s="22">
        <v>0.66666666666666674</v>
      </c>
      <c r="AL104" s="217" t="s">
        <v>23</v>
      </c>
      <c r="AM104" s="29" t="s">
        <v>23</v>
      </c>
      <c r="AN104" s="31" t="s">
        <v>23</v>
      </c>
      <c r="AO104" s="29" t="s">
        <v>23</v>
      </c>
      <c r="AP104" s="22">
        <v>6.6666666666666652E-2</v>
      </c>
      <c r="AQ104" s="217" t="s">
        <v>23</v>
      </c>
      <c r="AR104" s="22">
        <v>-0.61538461538461542</v>
      </c>
      <c r="AS104" s="22">
        <v>0.69230769230769229</v>
      </c>
      <c r="AT104" s="139"/>
      <c r="AU104" s="22">
        <v>-0.96666666666666667</v>
      </c>
      <c r="AV104" s="278"/>
      <c r="AW104" s="22">
        <v>-0.125</v>
      </c>
      <c r="AX104" s="211">
        <v>-0.41666666666666663</v>
      </c>
    </row>
    <row r="105" spans="2:50" ht="3.4" customHeight="1">
      <c r="B105" s="172"/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2"/>
      <c r="AT105" s="172"/>
      <c r="AU105" s="172"/>
      <c r="AV105" s="172"/>
      <c r="AW105" s="172"/>
      <c r="AX105" s="172"/>
    </row>
  </sheetData>
  <pageMargins left="0.39370078740157483" right="0.39370078740157483" top="0.39370078740157483" bottom="0.19685039370078741" header="0.31496062992125984" footer="0.31496062992125984"/>
  <pageSetup paperSize="9" scale="63" orientation="landscape" r:id="rId1"/>
  <headerFooter>
    <oddHeader>&amp;CBezeq- the Israeli Telcommunications Corp., Ltd.</oddHeader>
    <oddFooter>&amp;R&amp;P of &amp;N
yes financial metrics</oddFooter>
  </headerFooter>
  <rowBreaks count="1" manualBreakCount="1">
    <brk id="64" max="4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3DDC-8F4C-4485-AAB0-6255F4D1D958}">
  <sheetPr>
    <tabColor rgb="FFFFFF00"/>
  </sheetPr>
  <dimension ref="A1:JA68"/>
  <sheetViews>
    <sheetView showGridLines="0" tabSelected="1" zoomScaleNormal="100" workbookViewId="0">
      <pane xSplit="2" ySplit="6" topLeftCell="C39" activePane="bottomRight" state="frozen"/>
      <selection activeCell="AI81" sqref="AI81"/>
      <selection pane="topRight" activeCell="AI81" sqref="AI81"/>
      <selection pane="bottomLeft" activeCell="AI81" sqref="AI81"/>
      <selection pane="bottomRight" activeCell="AI81" sqref="AI81"/>
    </sheetView>
  </sheetViews>
  <sheetFormatPr defaultColWidth="9.28515625" defaultRowHeight="12.75"/>
  <cols>
    <col min="1" max="1" width="1.7109375" customWidth="1"/>
    <col min="2" max="2" width="52.7109375" customWidth="1"/>
    <col min="3" max="3" width="9.28515625" customWidth="1"/>
    <col min="4" max="7" width="9.28515625" hidden="1" customWidth="1"/>
    <col min="8" max="8" width="9.28515625" customWidth="1"/>
    <col min="9" max="13" width="9.28515625" hidden="1" customWidth="1"/>
    <col min="14" max="14" width="9.28515625" customWidth="1"/>
    <col min="15" max="18" width="9.28515625" hidden="1" customWidth="1"/>
    <col min="19" max="19" width="9.28515625" customWidth="1"/>
    <col min="20" max="23" width="9.28515625" hidden="1" customWidth="1"/>
    <col min="24" max="24" width="9.28515625" customWidth="1"/>
    <col min="25" max="28" width="9.28515625" hidden="1" customWidth="1"/>
    <col min="29" max="29" width="9.28515625" customWidth="1"/>
    <col min="30" max="32" width="9.28515625" hidden="1" customWidth="1"/>
    <col min="33" max="33" width="0" hidden="1" customWidth="1"/>
    <col min="42" max="42" width="0" hidden="1" customWidth="1"/>
    <col min="44" max="44" width="0" hidden="1" customWidth="1"/>
  </cols>
  <sheetData>
    <row r="1" spans="1:261" ht="13.9" customHeight="1">
      <c r="B1" s="6"/>
    </row>
    <row r="2" spans="1:261" ht="12.75" customHeight="1">
      <c r="B2" s="6"/>
    </row>
    <row r="3" spans="1:261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312</v>
      </c>
      <c r="M3" s="7" t="s">
        <v>2</v>
      </c>
      <c r="N3" s="7" t="s">
        <v>4</v>
      </c>
      <c r="O3" s="7" t="s">
        <v>49</v>
      </c>
      <c r="P3" s="7" t="s">
        <v>0</v>
      </c>
      <c r="Q3" s="7" t="s">
        <v>1</v>
      </c>
      <c r="R3" s="7" t="s">
        <v>2</v>
      </c>
      <c r="S3" s="7" t="s">
        <v>4</v>
      </c>
      <c r="T3" s="7" t="s">
        <v>49</v>
      </c>
      <c r="U3" s="7" t="s">
        <v>0</v>
      </c>
      <c r="V3" s="7" t="s">
        <v>1</v>
      </c>
      <c r="W3" s="7" t="s">
        <v>2</v>
      </c>
      <c r="X3" s="7" t="s">
        <v>4</v>
      </c>
      <c r="Y3" s="7" t="s">
        <v>49</v>
      </c>
      <c r="Z3" s="7" t="s">
        <v>0</v>
      </c>
      <c r="AA3" s="7" t="s">
        <v>1</v>
      </c>
      <c r="AB3" s="7" t="s">
        <v>2</v>
      </c>
      <c r="AC3" s="7" t="s">
        <v>4</v>
      </c>
      <c r="AD3" s="7" t="s">
        <v>49</v>
      </c>
      <c r="AE3" s="7" t="s">
        <v>0</v>
      </c>
      <c r="AF3" s="7" t="s">
        <v>1</v>
      </c>
      <c r="AG3" s="7" t="s">
        <v>2</v>
      </c>
      <c r="AH3" s="7" t="s">
        <v>4</v>
      </c>
      <c r="AI3" s="7" t="s">
        <v>49</v>
      </c>
      <c r="AJ3" s="7" t="s">
        <v>0</v>
      </c>
      <c r="AK3" s="7" t="s">
        <v>1</v>
      </c>
      <c r="AL3" s="7" t="s">
        <v>2</v>
      </c>
      <c r="AM3" s="7" t="s">
        <v>4</v>
      </c>
      <c r="AN3" s="7" t="s">
        <v>49</v>
      </c>
      <c r="AO3" s="7" t="s">
        <v>0</v>
      </c>
      <c r="AP3" s="99" t="s">
        <v>342</v>
      </c>
      <c r="AQ3" s="7" t="s">
        <v>1</v>
      </c>
      <c r="AR3" s="7" t="s">
        <v>312</v>
      </c>
      <c r="AS3" s="7" t="s">
        <v>2</v>
      </c>
      <c r="AT3" s="7" t="s">
        <v>4</v>
      </c>
    </row>
    <row r="4" spans="1:261" ht="13.9" customHeight="1">
      <c r="B4" s="15" t="s">
        <v>458</v>
      </c>
      <c r="C4" s="7">
        <v>2017</v>
      </c>
      <c r="D4" s="7">
        <v>2018</v>
      </c>
      <c r="E4" s="7">
        <v>2018</v>
      </c>
      <c r="F4" s="7">
        <v>2018</v>
      </c>
      <c r="G4" s="7">
        <v>2018</v>
      </c>
      <c r="H4" s="7">
        <v>2018</v>
      </c>
      <c r="I4" s="7">
        <v>2019</v>
      </c>
      <c r="J4" s="7">
        <v>2019</v>
      </c>
      <c r="K4" s="7">
        <v>2019</v>
      </c>
      <c r="L4" s="7">
        <v>2019</v>
      </c>
      <c r="M4" s="7">
        <v>2019</v>
      </c>
      <c r="N4" s="7">
        <v>2019</v>
      </c>
      <c r="O4" s="7">
        <v>2020</v>
      </c>
      <c r="P4" s="7">
        <v>2020</v>
      </c>
      <c r="Q4" s="7">
        <v>2020</v>
      </c>
      <c r="R4" s="7">
        <v>2020</v>
      </c>
      <c r="S4" s="7">
        <v>2020</v>
      </c>
      <c r="T4" s="7">
        <v>2021</v>
      </c>
      <c r="U4" s="7">
        <v>2021</v>
      </c>
      <c r="V4" s="7">
        <v>2021</v>
      </c>
      <c r="W4" s="7">
        <v>2021</v>
      </c>
      <c r="X4" s="7">
        <v>2021</v>
      </c>
      <c r="Y4" s="7">
        <v>2022</v>
      </c>
      <c r="Z4" s="7">
        <v>2022</v>
      </c>
      <c r="AA4" s="7">
        <v>2022</v>
      </c>
      <c r="AB4" s="7">
        <v>2022</v>
      </c>
      <c r="AC4" s="7">
        <v>2022</v>
      </c>
      <c r="AD4" s="7">
        <v>2023</v>
      </c>
      <c r="AE4" s="7">
        <v>2023</v>
      </c>
      <c r="AF4" s="7">
        <v>2023</v>
      </c>
      <c r="AG4" s="7">
        <v>2023</v>
      </c>
      <c r="AH4" s="7">
        <v>2023</v>
      </c>
      <c r="AI4" s="7">
        <v>2024</v>
      </c>
      <c r="AJ4" s="7">
        <v>2024</v>
      </c>
      <c r="AK4" s="7">
        <v>2024</v>
      </c>
      <c r="AL4" s="7">
        <v>2024</v>
      </c>
      <c r="AM4" s="7">
        <v>2024</v>
      </c>
      <c r="AN4" s="7">
        <v>2025</v>
      </c>
      <c r="AO4" s="7">
        <v>2025</v>
      </c>
      <c r="AP4" s="7">
        <v>2025</v>
      </c>
      <c r="AQ4" s="7">
        <v>2025</v>
      </c>
      <c r="AR4" s="7">
        <v>2025</v>
      </c>
      <c r="AS4" s="7">
        <v>2025</v>
      </c>
      <c r="AT4" s="7">
        <v>2025</v>
      </c>
    </row>
    <row r="5" spans="1:261" ht="4.1500000000000004" customHeight="1">
      <c r="B5" s="373" t="str">
        <f t="shared" ref="B5:AL5" si="0">B3&amp;"/"&amp;B4</f>
        <v>/(NIS millions)</v>
      </c>
      <c r="C5" s="373" t="str">
        <f t="shared" si="0"/>
        <v>FY/2017</v>
      </c>
      <c r="D5" s="373" t="str">
        <f t="shared" si="0"/>
        <v>Q1/2018</v>
      </c>
      <c r="E5" s="373" t="str">
        <f t="shared" si="0"/>
        <v>Q2/2018</v>
      </c>
      <c r="F5" s="373" t="str">
        <f t="shared" si="0"/>
        <v>Q3/2018</v>
      </c>
      <c r="G5" s="373" t="str">
        <f t="shared" si="0"/>
        <v>Q4/2018</v>
      </c>
      <c r="H5" s="373" t="str">
        <f t="shared" si="0"/>
        <v>FY/2018</v>
      </c>
      <c r="I5" s="373" t="str">
        <f t="shared" si="0"/>
        <v>Q1/2019</v>
      </c>
      <c r="J5" s="373" t="str">
        <f t="shared" si="0"/>
        <v>Q2/2019</v>
      </c>
      <c r="K5" s="373" t="str">
        <f t="shared" si="0"/>
        <v>Q3/2019</v>
      </c>
      <c r="L5" s="373" t="str">
        <f t="shared" si="0"/>
        <v>9M/2019</v>
      </c>
      <c r="M5" s="373" t="str">
        <f t="shared" si="0"/>
        <v>Q4/2019</v>
      </c>
      <c r="N5" s="373" t="str">
        <f t="shared" si="0"/>
        <v>FY/2019</v>
      </c>
      <c r="O5" s="373" t="str">
        <f t="shared" si="0"/>
        <v>Q1/2020</v>
      </c>
      <c r="P5" s="373" t="str">
        <f t="shared" si="0"/>
        <v>Q2/2020</v>
      </c>
      <c r="Q5" s="373" t="str">
        <f t="shared" si="0"/>
        <v>Q3/2020</v>
      </c>
      <c r="R5" s="373" t="str">
        <f t="shared" si="0"/>
        <v>Q4/2020</v>
      </c>
      <c r="S5" s="373" t="str">
        <f t="shared" si="0"/>
        <v>FY/2020</v>
      </c>
      <c r="T5" s="373" t="str">
        <f t="shared" si="0"/>
        <v>Q1/2021</v>
      </c>
      <c r="U5" s="373" t="str">
        <f t="shared" si="0"/>
        <v>Q2/2021</v>
      </c>
      <c r="V5" s="373" t="str">
        <f t="shared" si="0"/>
        <v>Q3/2021</v>
      </c>
      <c r="W5" s="373" t="str">
        <f t="shared" si="0"/>
        <v>Q4/2021</v>
      </c>
      <c r="X5" s="373" t="str">
        <f t="shared" si="0"/>
        <v>FY/2021</v>
      </c>
      <c r="Y5" s="373" t="str">
        <f t="shared" si="0"/>
        <v>Q1/2022</v>
      </c>
      <c r="Z5" s="373" t="str">
        <f t="shared" si="0"/>
        <v>Q2/2022</v>
      </c>
      <c r="AA5" s="373" t="str">
        <f t="shared" si="0"/>
        <v>Q3/2022</v>
      </c>
      <c r="AB5" s="373" t="str">
        <f t="shared" si="0"/>
        <v>Q4/2022</v>
      </c>
      <c r="AC5" s="373" t="str">
        <f t="shared" si="0"/>
        <v>FY/2022</v>
      </c>
      <c r="AD5" s="373" t="str">
        <f t="shared" si="0"/>
        <v>Q1/2023</v>
      </c>
      <c r="AE5" s="373" t="str">
        <f t="shared" si="0"/>
        <v>Q2/2023</v>
      </c>
      <c r="AF5" s="373" t="str">
        <f t="shared" si="0"/>
        <v>Q3/2023</v>
      </c>
      <c r="AG5" s="373" t="str">
        <f t="shared" si="0"/>
        <v>Q4/2023</v>
      </c>
      <c r="AH5" s="373" t="str">
        <f t="shared" si="0"/>
        <v>FY/2023</v>
      </c>
      <c r="AI5" s="373" t="str">
        <f t="shared" si="0"/>
        <v>Q1/2024</v>
      </c>
      <c r="AJ5" s="373" t="str">
        <f t="shared" si="0"/>
        <v>Q2/2024</v>
      </c>
      <c r="AK5" s="373" t="str">
        <f t="shared" si="0"/>
        <v>Q3/2024</v>
      </c>
      <c r="AL5" s="373" t="str">
        <f t="shared" si="0"/>
        <v>Q4/2024</v>
      </c>
      <c r="AM5" s="373" t="str">
        <f>AM3&amp;"/"&amp;AM4</f>
        <v>FY/2024</v>
      </c>
      <c r="AN5" s="373" t="str">
        <f t="shared" ref="AN5:AS5" si="1">AN3&amp;"/"&amp;AN4</f>
        <v>Q1/2025</v>
      </c>
      <c r="AO5" s="373" t="str">
        <f t="shared" si="1"/>
        <v>Q2/2025</v>
      </c>
      <c r="AP5" s="373" t="str">
        <f t="shared" si="1"/>
        <v>6M/2025</v>
      </c>
      <c r="AQ5" s="373" t="str">
        <f t="shared" si="1"/>
        <v>Q3/2025</v>
      </c>
      <c r="AR5" s="373" t="str">
        <f t="shared" si="1"/>
        <v>9M/2025</v>
      </c>
      <c r="AS5" s="373" t="str">
        <f t="shared" si="1"/>
        <v>Q4/2025</v>
      </c>
      <c r="AT5" s="373" t="str">
        <f>AT3&amp;"/"&amp;AT4</f>
        <v>FY/2025</v>
      </c>
    </row>
    <row r="6" spans="1:261" ht="25.35" customHeight="1">
      <c r="B6" s="177" t="s">
        <v>304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</row>
    <row r="7" spans="1:261" ht="13.9" customHeight="1">
      <c r="B7" s="201" t="s">
        <v>358</v>
      </c>
      <c r="C7" s="122"/>
      <c r="D7" s="209"/>
      <c r="E7" s="209"/>
      <c r="F7" s="209"/>
      <c r="G7" s="209"/>
      <c r="H7" s="122"/>
      <c r="I7" s="209"/>
      <c r="J7" s="209"/>
      <c r="K7" s="209"/>
      <c r="L7" s="209"/>
      <c r="M7" s="209"/>
      <c r="N7" s="122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</row>
    <row r="8" spans="1:261" ht="13.9" customHeight="1">
      <c r="B8" s="12" t="s">
        <v>298</v>
      </c>
      <c r="C8" s="213">
        <v>455</v>
      </c>
      <c r="D8" s="214">
        <v>160</v>
      </c>
      <c r="E8" s="214">
        <v>161</v>
      </c>
      <c r="F8" s="214">
        <v>159</v>
      </c>
      <c r="G8" s="210">
        <v>173</v>
      </c>
      <c r="H8" s="213">
        <v>653</v>
      </c>
      <c r="I8" s="214">
        <v>147</v>
      </c>
      <c r="J8" s="214">
        <v>148</v>
      </c>
      <c r="K8" s="214">
        <v>173</v>
      </c>
      <c r="L8" s="214">
        <v>468</v>
      </c>
      <c r="M8" s="210">
        <v>66</v>
      </c>
      <c r="N8" s="213">
        <v>534</v>
      </c>
      <c r="O8" s="214">
        <v>137</v>
      </c>
      <c r="P8" s="214">
        <v>143</v>
      </c>
      <c r="Q8" s="214">
        <v>120</v>
      </c>
      <c r="R8" s="210">
        <v>115</v>
      </c>
      <c r="S8" s="213">
        <v>515</v>
      </c>
      <c r="T8" s="214">
        <v>139</v>
      </c>
      <c r="U8" s="214">
        <v>159</v>
      </c>
      <c r="V8" s="214">
        <v>166</v>
      </c>
      <c r="W8" s="210">
        <v>155</v>
      </c>
      <c r="X8" s="213">
        <v>619</v>
      </c>
      <c r="Y8" s="61">
        <v>186</v>
      </c>
      <c r="Z8" s="61">
        <v>188</v>
      </c>
      <c r="AA8" s="61">
        <v>199</v>
      </c>
      <c r="AB8" s="19">
        <v>152</v>
      </c>
      <c r="AC8" s="213">
        <v>725</v>
      </c>
      <c r="AD8" s="61">
        <v>184</v>
      </c>
      <c r="AE8" s="61">
        <v>184</v>
      </c>
      <c r="AF8" s="61">
        <v>202</v>
      </c>
      <c r="AG8" s="19">
        <v>175</v>
      </c>
      <c r="AH8" s="213">
        <v>745</v>
      </c>
      <c r="AI8" s="61">
        <v>178</v>
      </c>
      <c r="AJ8" s="61">
        <v>189</v>
      </c>
      <c r="AK8" s="61">
        <v>187</v>
      </c>
      <c r="AL8" s="19">
        <v>187</v>
      </c>
      <c r="AM8" s="213">
        <v>741</v>
      </c>
      <c r="AN8" s="61">
        <v>184</v>
      </c>
      <c r="AO8" s="61">
        <v>184</v>
      </c>
      <c r="AP8" s="148">
        <v>368</v>
      </c>
      <c r="AQ8" s="61">
        <v>203</v>
      </c>
      <c r="AR8" s="279">
        <v>571</v>
      </c>
      <c r="AS8" s="19">
        <v>191</v>
      </c>
      <c r="AT8" s="213">
        <v>762</v>
      </c>
    </row>
    <row r="9" spans="1:261" ht="13.9" customHeight="1">
      <c r="B9" t="s">
        <v>166</v>
      </c>
      <c r="C9" s="213">
        <v>9</v>
      </c>
      <c r="D9" s="215">
        <v>0</v>
      </c>
      <c r="E9" s="214">
        <v>1</v>
      </c>
      <c r="F9" s="215">
        <v>7</v>
      </c>
      <c r="G9" s="214">
        <v>1</v>
      </c>
      <c r="H9" s="213">
        <v>9</v>
      </c>
      <c r="I9" s="215">
        <v>0</v>
      </c>
      <c r="J9" s="214">
        <v>3</v>
      </c>
      <c r="K9" s="215">
        <v>2</v>
      </c>
      <c r="L9" s="214">
        <v>5</v>
      </c>
      <c r="M9" s="214">
        <v>77</v>
      </c>
      <c r="N9" s="213">
        <v>82</v>
      </c>
      <c r="O9" s="215">
        <v>1</v>
      </c>
      <c r="P9" s="214">
        <v>-4</v>
      </c>
      <c r="Q9" s="215">
        <v>0</v>
      </c>
      <c r="R9" s="214">
        <v>21</v>
      </c>
      <c r="S9" s="213">
        <v>18</v>
      </c>
      <c r="T9" s="215">
        <v>0</v>
      </c>
      <c r="U9" s="214">
        <v>-3</v>
      </c>
      <c r="V9" s="215">
        <v>0</v>
      </c>
      <c r="W9" s="214">
        <v>12</v>
      </c>
      <c r="X9" s="213">
        <v>9</v>
      </c>
      <c r="Y9" s="61">
        <v>-1</v>
      </c>
      <c r="Z9" s="61">
        <v>-1</v>
      </c>
      <c r="AA9" s="24">
        <v>4</v>
      </c>
      <c r="AB9" s="19">
        <v>31</v>
      </c>
      <c r="AC9" s="213">
        <v>33</v>
      </c>
      <c r="AD9" s="61">
        <v>-3</v>
      </c>
      <c r="AE9" s="61">
        <v>2</v>
      </c>
      <c r="AF9" s="24">
        <v>0</v>
      </c>
      <c r="AG9" s="19">
        <v>3</v>
      </c>
      <c r="AH9" s="213">
        <v>2</v>
      </c>
      <c r="AI9" s="61">
        <v>6</v>
      </c>
      <c r="AJ9" s="24">
        <v>0</v>
      </c>
      <c r="AK9" s="24">
        <v>3</v>
      </c>
      <c r="AL9" s="19">
        <v>5</v>
      </c>
      <c r="AM9" s="213">
        <v>14</v>
      </c>
      <c r="AN9" s="61">
        <v>1</v>
      </c>
      <c r="AO9" s="24">
        <v>0</v>
      </c>
      <c r="AP9" s="148">
        <v>1</v>
      </c>
      <c r="AQ9" s="61">
        <v>-2</v>
      </c>
      <c r="AR9" s="279">
        <v>-1</v>
      </c>
      <c r="AS9" s="19">
        <v>16</v>
      </c>
      <c r="AT9" s="213">
        <v>15</v>
      </c>
    </row>
    <row r="10" spans="1:261" ht="13.9" customHeight="1">
      <c r="B10" t="s">
        <v>274</v>
      </c>
      <c r="C10" s="215">
        <v>0</v>
      </c>
      <c r="D10" s="215">
        <v>0</v>
      </c>
      <c r="E10" s="215">
        <v>0</v>
      </c>
      <c r="F10" s="215">
        <v>0</v>
      </c>
      <c r="G10" s="215">
        <v>0</v>
      </c>
      <c r="H10" s="215">
        <v>0</v>
      </c>
      <c r="I10" s="215">
        <v>0</v>
      </c>
      <c r="J10" s="215">
        <v>0</v>
      </c>
      <c r="K10" s="215">
        <v>0</v>
      </c>
      <c r="L10" s="215">
        <v>0</v>
      </c>
      <c r="M10" s="215">
        <v>0</v>
      </c>
      <c r="N10" s="215">
        <v>0</v>
      </c>
      <c r="O10" s="215">
        <v>0</v>
      </c>
      <c r="P10" s="215">
        <v>0</v>
      </c>
      <c r="Q10" s="215">
        <v>0</v>
      </c>
      <c r="R10" s="215">
        <v>0</v>
      </c>
      <c r="S10" s="215">
        <v>0</v>
      </c>
      <c r="T10" s="215">
        <v>1</v>
      </c>
      <c r="U10" s="215">
        <v>2</v>
      </c>
      <c r="V10" s="215">
        <v>1</v>
      </c>
      <c r="W10" s="215">
        <v>1</v>
      </c>
      <c r="X10" s="213">
        <v>5</v>
      </c>
      <c r="Y10" s="24">
        <v>0</v>
      </c>
      <c r="Z10" s="24">
        <v>0</v>
      </c>
      <c r="AA10" s="24">
        <v>2</v>
      </c>
      <c r="AB10" s="24">
        <v>1</v>
      </c>
      <c r="AC10" s="213">
        <v>3</v>
      </c>
      <c r="AD10" s="24">
        <v>1</v>
      </c>
      <c r="AE10" s="61">
        <v>1</v>
      </c>
      <c r="AF10" s="24">
        <v>1</v>
      </c>
      <c r="AG10" s="19">
        <v>0</v>
      </c>
      <c r="AH10" s="213">
        <v>3</v>
      </c>
      <c r="AI10" s="61">
        <v>1</v>
      </c>
      <c r="AJ10" s="61">
        <v>2</v>
      </c>
      <c r="AK10" s="24">
        <v>1</v>
      </c>
      <c r="AL10" s="19">
        <v>1</v>
      </c>
      <c r="AM10" s="213">
        <v>5</v>
      </c>
      <c r="AN10" s="61">
        <v>1</v>
      </c>
      <c r="AO10" s="61">
        <v>2</v>
      </c>
      <c r="AP10" s="148">
        <v>3</v>
      </c>
      <c r="AQ10" s="24">
        <v>1</v>
      </c>
      <c r="AR10" s="279">
        <v>4</v>
      </c>
      <c r="AS10" s="19">
        <v>1</v>
      </c>
      <c r="AT10" s="213">
        <v>5</v>
      </c>
    </row>
    <row r="11" spans="1:261" s="169" customFormat="1" ht="13.9" customHeight="1">
      <c r="A11"/>
      <c r="B11" s="318" t="s">
        <v>229</v>
      </c>
      <c r="C11" s="318">
        <v>464</v>
      </c>
      <c r="D11" s="318">
        <v>160</v>
      </c>
      <c r="E11" s="318">
        <v>162</v>
      </c>
      <c r="F11" s="318">
        <v>166</v>
      </c>
      <c r="G11" s="318">
        <v>174</v>
      </c>
      <c r="H11" s="318">
        <v>662</v>
      </c>
      <c r="I11" s="318">
        <v>147</v>
      </c>
      <c r="J11" s="318">
        <v>151</v>
      </c>
      <c r="K11" s="318">
        <v>175</v>
      </c>
      <c r="L11" s="318">
        <v>473</v>
      </c>
      <c r="M11" s="318">
        <v>143</v>
      </c>
      <c r="N11" s="318">
        <v>616</v>
      </c>
      <c r="O11" s="318">
        <v>138</v>
      </c>
      <c r="P11" s="318">
        <v>139</v>
      </c>
      <c r="Q11" s="318">
        <v>120</v>
      </c>
      <c r="R11" s="318">
        <v>136</v>
      </c>
      <c r="S11" s="318">
        <v>533</v>
      </c>
      <c r="T11" s="318">
        <v>140</v>
      </c>
      <c r="U11" s="318">
        <v>158</v>
      </c>
      <c r="V11" s="318">
        <v>167</v>
      </c>
      <c r="W11" s="318">
        <v>168</v>
      </c>
      <c r="X11" s="318">
        <v>633</v>
      </c>
      <c r="Y11" s="318">
        <v>185</v>
      </c>
      <c r="Z11" s="318">
        <v>187</v>
      </c>
      <c r="AA11" s="318">
        <v>205</v>
      </c>
      <c r="AB11" s="318">
        <v>184</v>
      </c>
      <c r="AC11" s="318">
        <v>761</v>
      </c>
      <c r="AD11" s="318">
        <v>182</v>
      </c>
      <c r="AE11" s="318">
        <v>187</v>
      </c>
      <c r="AF11" s="318">
        <v>203</v>
      </c>
      <c r="AG11" s="318">
        <v>178</v>
      </c>
      <c r="AH11" s="318">
        <v>750</v>
      </c>
      <c r="AI11" s="318">
        <v>185</v>
      </c>
      <c r="AJ11" s="318">
        <v>191</v>
      </c>
      <c r="AK11" s="318">
        <v>191</v>
      </c>
      <c r="AL11" s="318">
        <v>193</v>
      </c>
      <c r="AM11" s="318">
        <v>760</v>
      </c>
      <c r="AN11" s="318">
        <v>186</v>
      </c>
      <c r="AO11" s="318">
        <v>186</v>
      </c>
      <c r="AP11" s="318">
        <v>372</v>
      </c>
      <c r="AQ11" s="318">
        <v>202</v>
      </c>
      <c r="AR11" s="318">
        <v>574</v>
      </c>
      <c r="AS11" s="318">
        <v>208</v>
      </c>
      <c r="AT11" s="318">
        <v>782</v>
      </c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</row>
    <row r="12" spans="1:261" ht="13.9" customHeight="1">
      <c r="B12" s="20" t="s">
        <v>5</v>
      </c>
      <c r="C12" s="213"/>
      <c r="D12" s="212"/>
      <c r="E12" s="212">
        <v>1.2499999999999956E-2</v>
      </c>
      <c r="F12" s="212">
        <v>2.4691358024691468E-2</v>
      </c>
      <c r="G12" s="212">
        <v>4.8192771084337283E-2</v>
      </c>
      <c r="H12" s="213"/>
      <c r="I12" s="212">
        <v>-0.15517241379310343</v>
      </c>
      <c r="J12" s="212">
        <v>2.7210884353741527E-2</v>
      </c>
      <c r="K12" s="212">
        <v>0.1589403973509933</v>
      </c>
      <c r="L12" s="212"/>
      <c r="M12" s="212">
        <v>-0.18285714285714283</v>
      </c>
      <c r="N12" s="213"/>
      <c r="O12" s="212">
        <v>-3.4965034965035002E-2</v>
      </c>
      <c r="P12" s="212">
        <v>7.2463768115942351E-3</v>
      </c>
      <c r="Q12" s="212">
        <v>-0.13669064748201443</v>
      </c>
      <c r="R12" s="212">
        <v>0.1333333333333333</v>
      </c>
      <c r="S12" s="213"/>
      <c r="T12" s="212">
        <v>2.9411764705882248E-2</v>
      </c>
      <c r="U12" s="212">
        <v>0.12857142857142856</v>
      </c>
      <c r="V12" s="212">
        <v>5.6962025316455778E-2</v>
      </c>
      <c r="W12" s="212">
        <v>5.9880239520957446E-3</v>
      </c>
      <c r="X12" s="213"/>
      <c r="Y12" s="21">
        <v>0.10119047619047628</v>
      </c>
      <c r="Z12" s="21">
        <v>1.08108108108107E-2</v>
      </c>
      <c r="AA12" s="21">
        <v>9.625668449197855E-2</v>
      </c>
      <c r="AB12" s="21">
        <v>-0.10243902439024388</v>
      </c>
      <c r="AC12" s="213"/>
      <c r="AD12" s="21">
        <v>-1.0869565217391353E-2</v>
      </c>
      <c r="AE12" s="21">
        <v>2.7472527472527375E-2</v>
      </c>
      <c r="AF12" s="21">
        <v>8.5561497326203106E-2</v>
      </c>
      <c r="AG12" s="21">
        <v>-0.12315270935960587</v>
      </c>
      <c r="AH12" s="213"/>
      <c r="AI12" s="21">
        <v>3.9325842696629199E-2</v>
      </c>
      <c r="AJ12" s="21">
        <v>3.2432432432432323E-2</v>
      </c>
      <c r="AK12" s="21">
        <v>0</v>
      </c>
      <c r="AL12" s="21">
        <v>1.0471204188481575E-2</v>
      </c>
      <c r="AM12" s="213"/>
      <c r="AN12" s="21">
        <v>-3.6269430051813489E-2</v>
      </c>
      <c r="AO12" s="21">
        <v>0</v>
      </c>
      <c r="AP12" s="138"/>
      <c r="AQ12" s="21">
        <v>8.602150537634401E-2</v>
      </c>
      <c r="AR12" s="277"/>
      <c r="AS12" s="21">
        <v>2.9702970297029729E-2</v>
      </c>
      <c r="AT12" s="213"/>
    </row>
    <row r="13" spans="1:261" ht="13.9" customHeight="1">
      <c r="B13" s="20" t="s">
        <v>6</v>
      </c>
      <c r="C13" s="213"/>
      <c r="D13" s="211"/>
      <c r="E13" s="211"/>
      <c r="F13" s="211"/>
      <c r="G13" s="211"/>
      <c r="H13" s="211">
        <v>0.42672413793103448</v>
      </c>
      <c r="I13" s="211">
        <v>-8.1250000000000044E-2</v>
      </c>
      <c r="J13" s="211">
        <v>-6.7901234567901203E-2</v>
      </c>
      <c r="K13" s="211">
        <v>5.4216867469879526E-2</v>
      </c>
      <c r="L13" s="211"/>
      <c r="M13" s="211">
        <v>-0.17816091954022983</v>
      </c>
      <c r="N13" s="211">
        <v>-6.9486404833836835E-2</v>
      </c>
      <c r="O13" s="211">
        <v>-6.1224489795918324E-2</v>
      </c>
      <c r="P13" s="211">
        <v>-7.9470198675496651E-2</v>
      </c>
      <c r="Q13" s="211">
        <v>-0.31428571428571428</v>
      </c>
      <c r="R13" s="211">
        <v>-4.8951048951048959E-2</v>
      </c>
      <c r="S13" s="211">
        <v>-0.13474025974025972</v>
      </c>
      <c r="T13" s="211">
        <v>1.449275362318847E-2</v>
      </c>
      <c r="U13" s="211">
        <v>0.13669064748201443</v>
      </c>
      <c r="V13" s="211">
        <v>0.39166666666666661</v>
      </c>
      <c r="W13" s="211">
        <v>0.23529411764705888</v>
      </c>
      <c r="X13" s="211">
        <v>0.18761726078799246</v>
      </c>
      <c r="Y13" s="22">
        <v>0.3214285714285714</v>
      </c>
      <c r="Z13" s="22">
        <v>0.18354430379746844</v>
      </c>
      <c r="AA13" s="22">
        <v>0.22754491017964074</v>
      </c>
      <c r="AB13" s="22">
        <v>9.5238095238095344E-2</v>
      </c>
      <c r="AC13" s="211">
        <v>0.20221169036334907</v>
      </c>
      <c r="AD13" s="22">
        <v>-1.6216216216216162E-2</v>
      </c>
      <c r="AE13" s="22">
        <v>0</v>
      </c>
      <c r="AF13" s="22">
        <v>-9.7560975609756184E-3</v>
      </c>
      <c r="AG13" s="21">
        <v>-3.2608695652173947E-2</v>
      </c>
      <c r="AH13" s="211">
        <v>-1.4454664914586024E-2</v>
      </c>
      <c r="AI13" s="22">
        <v>1.6483516483516425E-2</v>
      </c>
      <c r="AJ13" s="22">
        <v>2.1390374331550888E-2</v>
      </c>
      <c r="AK13" s="22">
        <v>-5.9113300492610876E-2</v>
      </c>
      <c r="AL13" s="21">
        <v>8.4269662921348409E-2</v>
      </c>
      <c r="AM13" s="211">
        <v>1.3333333333333419E-2</v>
      </c>
      <c r="AN13" s="22">
        <v>5.4054054054053502E-3</v>
      </c>
      <c r="AO13" s="22">
        <v>-2.6178010471204161E-2</v>
      </c>
      <c r="AP13" s="139"/>
      <c r="AQ13" s="22">
        <v>5.7591623036649109E-2</v>
      </c>
      <c r="AR13" s="278"/>
      <c r="AS13" s="21">
        <v>7.7720207253886064E-2</v>
      </c>
      <c r="AT13" s="211">
        <v>2.8947368421052611E-2</v>
      </c>
    </row>
    <row r="14" spans="1:261" ht="13.9" customHeight="1">
      <c r="B14" s="2" t="s">
        <v>295</v>
      </c>
      <c r="C14" s="245">
        <v>0.18224666142969365</v>
      </c>
      <c r="D14" s="246">
        <v>0.25848142164781907</v>
      </c>
      <c r="E14" s="246">
        <v>0.26910299003322258</v>
      </c>
      <c r="F14" s="246">
        <v>0.27483443708609273</v>
      </c>
      <c r="G14" s="246">
        <v>0.28155339805825241</v>
      </c>
      <c r="H14" s="245">
        <v>0.27097830536225953</v>
      </c>
      <c r="I14" s="246">
        <v>0.25432525951557095</v>
      </c>
      <c r="J14" s="246">
        <v>0.26491228070175438</v>
      </c>
      <c r="K14" s="246">
        <v>0.28594771241830064</v>
      </c>
      <c r="L14" s="246" t="e">
        <v>#REF!</v>
      </c>
      <c r="M14" s="246">
        <v>0.23754152823920266</v>
      </c>
      <c r="N14" s="245">
        <v>0.26079593564775616</v>
      </c>
      <c r="O14" s="246">
        <v>0.24083769633507854</v>
      </c>
      <c r="P14" s="246">
        <v>0.25981308411214954</v>
      </c>
      <c r="Q14" s="246">
        <v>0.22018348623853212</v>
      </c>
      <c r="R14" s="246">
        <v>0.25515947467166977</v>
      </c>
      <c r="S14" s="245">
        <v>0.24382433668801465</v>
      </c>
      <c r="T14" s="246">
        <v>0.24561403508771928</v>
      </c>
      <c r="U14" s="246">
        <v>0.27430555555555558</v>
      </c>
      <c r="V14" s="246">
        <v>0.30868761552680224</v>
      </c>
      <c r="W14" s="246">
        <v>0.27906976744186046</v>
      </c>
      <c r="X14" s="245">
        <v>0.27653997378768019</v>
      </c>
      <c r="Y14" s="109">
        <v>0.30833333333333335</v>
      </c>
      <c r="Z14" s="109">
        <v>0.31218697829716191</v>
      </c>
      <c r="AA14" s="109">
        <v>0.33717105263157893</v>
      </c>
      <c r="AB14" s="109">
        <v>0.3108108108108108</v>
      </c>
      <c r="AC14" s="245">
        <v>0.31721550646102542</v>
      </c>
      <c r="AD14" s="109">
        <v>0.29545454545454547</v>
      </c>
      <c r="AE14" s="109">
        <v>0.31965811965811963</v>
      </c>
      <c r="AF14" s="109">
        <v>0.347008547008547</v>
      </c>
      <c r="AG14" s="109">
        <v>0.31672597864768681</v>
      </c>
      <c r="AH14" s="245">
        <v>0.3194207836456559</v>
      </c>
      <c r="AI14" s="109">
        <v>0.31732418524871353</v>
      </c>
      <c r="AJ14" s="109">
        <v>0.34046345811051693</v>
      </c>
      <c r="AK14" s="109">
        <v>0.34917733089579522</v>
      </c>
      <c r="AL14" s="109">
        <v>0.34280639431616339</v>
      </c>
      <c r="AM14" s="245">
        <v>0.33717834960070986</v>
      </c>
      <c r="AN14" s="109">
        <v>0.32862190812720848</v>
      </c>
      <c r="AO14" s="109">
        <v>0.35094339622641507</v>
      </c>
      <c r="AP14" s="154">
        <v>0.33941605839416056</v>
      </c>
      <c r="AQ14" s="109">
        <v>0.390715667311412</v>
      </c>
      <c r="AR14" s="313">
        <v>0.35585864848109111</v>
      </c>
      <c r="AS14" s="109">
        <v>0.37545126353790614</v>
      </c>
      <c r="AT14" s="245">
        <v>0.36086755883710198</v>
      </c>
    </row>
    <row r="15" spans="1:261" ht="13.9" customHeight="1">
      <c r="B15" s="12"/>
      <c r="C15" s="213"/>
      <c r="D15" s="214"/>
      <c r="E15" s="214"/>
      <c r="F15" s="214"/>
      <c r="G15" s="210"/>
      <c r="H15" s="213"/>
      <c r="I15" s="214"/>
      <c r="J15" s="214"/>
      <c r="K15" s="214"/>
      <c r="L15" s="214"/>
      <c r="M15" s="210"/>
      <c r="N15" s="213"/>
      <c r="O15" s="214"/>
      <c r="P15" s="214"/>
      <c r="Q15" s="214"/>
      <c r="R15" s="214"/>
      <c r="S15" s="213"/>
      <c r="T15" s="214"/>
      <c r="U15" s="214"/>
      <c r="V15" s="214"/>
      <c r="W15" s="214"/>
      <c r="X15" s="213"/>
      <c r="Y15" s="61"/>
      <c r="Z15" s="61"/>
      <c r="AA15" s="61"/>
      <c r="AB15" s="61"/>
      <c r="AC15" s="213"/>
      <c r="AD15" s="61"/>
      <c r="AE15" s="61"/>
      <c r="AF15" s="61"/>
      <c r="AG15" s="61"/>
      <c r="AH15" s="213"/>
      <c r="AI15" s="61"/>
      <c r="AJ15" s="61"/>
      <c r="AK15" s="61"/>
      <c r="AL15" s="61"/>
      <c r="AM15" s="213"/>
      <c r="AN15" s="61"/>
      <c r="AO15" s="61"/>
      <c r="AP15" s="148"/>
      <c r="AQ15" s="61"/>
      <c r="AR15" s="279"/>
      <c r="AS15" s="61"/>
      <c r="AT15" s="213"/>
    </row>
    <row r="16" spans="1:261" ht="13.9" customHeight="1">
      <c r="B16" s="12" t="s">
        <v>301</v>
      </c>
      <c r="C16" s="213">
        <v>95</v>
      </c>
      <c r="D16" s="214">
        <v>9</v>
      </c>
      <c r="E16" s="214">
        <v>7</v>
      </c>
      <c r="F16" s="214">
        <v>6</v>
      </c>
      <c r="G16" s="210">
        <v>2</v>
      </c>
      <c r="H16" s="213">
        <v>24</v>
      </c>
      <c r="I16" s="214">
        <v>2</v>
      </c>
      <c r="J16" s="214">
        <v>2</v>
      </c>
      <c r="K16" s="214">
        <v>18</v>
      </c>
      <c r="L16" s="214">
        <v>22</v>
      </c>
      <c r="M16" s="210">
        <v>-69</v>
      </c>
      <c r="N16" s="213">
        <v>-47</v>
      </c>
      <c r="O16" s="214">
        <v>-2</v>
      </c>
      <c r="P16" s="214">
        <v>1</v>
      </c>
      <c r="Q16" s="214">
        <v>-12</v>
      </c>
      <c r="R16" s="214">
        <v>-12</v>
      </c>
      <c r="S16" s="213">
        <v>-25</v>
      </c>
      <c r="T16" s="214">
        <v>8</v>
      </c>
      <c r="U16" s="214">
        <v>20</v>
      </c>
      <c r="V16" s="214">
        <v>23</v>
      </c>
      <c r="W16" s="214">
        <v>13</v>
      </c>
      <c r="X16" s="213">
        <v>64</v>
      </c>
      <c r="Y16" s="61">
        <v>56</v>
      </c>
      <c r="Z16" s="61">
        <v>46</v>
      </c>
      <c r="AA16" s="61">
        <v>50</v>
      </c>
      <c r="AB16" s="61">
        <v>13</v>
      </c>
      <c r="AC16" s="213">
        <v>165</v>
      </c>
      <c r="AD16" s="61">
        <v>44</v>
      </c>
      <c r="AE16" s="61">
        <v>41</v>
      </c>
      <c r="AF16" s="61">
        <v>48</v>
      </c>
      <c r="AG16" s="19">
        <v>26</v>
      </c>
      <c r="AH16" s="213">
        <v>159</v>
      </c>
      <c r="AI16" s="61">
        <v>30</v>
      </c>
      <c r="AJ16" s="61">
        <v>39</v>
      </c>
      <c r="AK16" s="61">
        <v>38</v>
      </c>
      <c r="AL16" s="19">
        <v>31</v>
      </c>
      <c r="AM16" s="213">
        <v>138</v>
      </c>
      <c r="AN16" s="61">
        <v>31</v>
      </c>
      <c r="AO16" s="61">
        <v>30</v>
      </c>
      <c r="AP16" s="148">
        <v>61</v>
      </c>
      <c r="AQ16" s="61">
        <v>38</v>
      </c>
      <c r="AR16" s="279">
        <v>99</v>
      </c>
      <c r="AS16" s="19">
        <v>47</v>
      </c>
      <c r="AT16" s="213">
        <v>146</v>
      </c>
    </row>
    <row r="17" spans="1:261" ht="13.9" customHeight="1">
      <c r="B17" t="s">
        <v>166</v>
      </c>
      <c r="C17" s="213">
        <v>6.93</v>
      </c>
      <c r="D17" s="215">
        <v>0</v>
      </c>
      <c r="E17" s="214">
        <v>0.77</v>
      </c>
      <c r="F17" s="215">
        <v>5.3900000000000006</v>
      </c>
      <c r="G17" s="214">
        <v>0.76999999999999913</v>
      </c>
      <c r="H17" s="213">
        <v>6.93</v>
      </c>
      <c r="I17" s="215">
        <v>0</v>
      </c>
      <c r="J17" s="214">
        <v>2.31</v>
      </c>
      <c r="K17" s="215">
        <v>1.54</v>
      </c>
      <c r="L17" s="214">
        <v>3.85</v>
      </c>
      <c r="M17" s="214">
        <v>59.29</v>
      </c>
      <c r="N17" s="213">
        <v>63.14</v>
      </c>
      <c r="O17" s="215">
        <v>0.77</v>
      </c>
      <c r="P17" s="214">
        <v>-3.08</v>
      </c>
      <c r="Q17" s="215">
        <v>0</v>
      </c>
      <c r="R17" s="214">
        <v>16.169999999999998</v>
      </c>
      <c r="S17" s="213">
        <v>13.86</v>
      </c>
      <c r="T17" s="215">
        <v>0</v>
      </c>
      <c r="U17" s="214">
        <v>-2.31</v>
      </c>
      <c r="V17" s="215">
        <v>0</v>
      </c>
      <c r="W17" s="214">
        <v>9.24</v>
      </c>
      <c r="X17" s="213">
        <v>6.93</v>
      </c>
      <c r="Y17" s="61">
        <v>-1</v>
      </c>
      <c r="Z17" s="61">
        <v>-1</v>
      </c>
      <c r="AA17" s="24">
        <v>3</v>
      </c>
      <c r="AB17" s="61">
        <v>24</v>
      </c>
      <c r="AC17" s="213">
        <v>25</v>
      </c>
      <c r="AD17" s="61">
        <v>-2</v>
      </c>
      <c r="AE17" s="61">
        <v>2</v>
      </c>
      <c r="AF17" s="24">
        <v>0</v>
      </c>
      <c r="AG17" s="19">
        <v>2</v>
      </c>
      <c r="AH17" s="213">
        <v>2</v>
      </c>
      <c r="AI17" s="61">
        <v>5</v>
      </c>
      <c r="AJ17" s="24">
        <v>0</v>
      </c>
      <c r="AK17" s="24">
        <v>2</v>
      </c>
      <c r="AL17" s="19">
        <v>4</v>
      </c>
      <c r="AM17" s="213">
        <v>11</v>
      </c>
      <c r="AN17" s="61">
        <v>1</v>
      </c>
      <c r="AO17" s="24">
        <v>0</v>
      </c>
      <c r="AP17" s="150">
        <v>1</v>
      </c>
      <c r="AQ17" s="61">
        <v>-2</v>
      </c>
      <c r="AR17" s="279">
        <v>-1</v>
      </c>
      <c r="AS17" s="19">
        <v>13</v>
      </c>
      <c r="AT17" s="213">
        <v>12</v>
      </c>
    </row>
    <row r="18" spans="1:261" ht="13.9" customHeight="1">
      <c r="B18" s="6" t="s">
        <v>307</v>
      </c>
      <c r="C18" s="215">
        <v>0</v>
      </c>
      <c r="D18" s="215">
        <v>0</v>
      </c>
      <c r="E18" s="215">
        <v>0</v>
      </c>
      <c r="F18" s="215">
        <v>0</v>
      </c>
      <c r="G18" s="215">
        <v>0</v>
      </c>
      <c r="H18" s="215">
        <v>0</v>
      </c>
      <c r="I18" s="215">
        <v>0</v>
      </c>
      <c r="J18" s="215">
        <v>0</v>
      </c>
      <c r="K18" s="215">
        <v>0</v>
      </c>
      <c r="L18" s="215">
        <v>0</v>
      </c>
      <c r="M18" s="215">
        <v>0</v>
      </c>
      <c r="N18" s="215">
        <v>0</v>
      </c>
      <c r="O18" s="215">
        <v>0</v>
      </c>
      <c r="P18" s="215">
        <v>0</v>
      </c>
      <c r="Q18" s="215">
        <v>0</v>
      </c>
      <c r="R18" s="215">
        <v>0</v>
      </c>
      <c r="S18" s="215">
        <v>0</v>
      </c>
      <c r="T18" s="215">
        <v>1</v>
      </c>
      <c r="U18" s="215">
        <v>2</v>
      </c>
      <c r="V18" s="215">
        <v>1</v>
      </c>
      <c r="W18" s="215">
        <v>1</v>
      </c>
      <c r="X18" s="213">
        <v>5</v>
      </c>
      <c r="Y18" s="24">
        <v>0</v>
      </c>
      <c r="Z18" s="24">
        <v>0</v>
      </c>
      <c r="AA18" s="24">
        <v>2</v>
      </c>
      <c r="AB18" s="61">
        <v>1</v>
      </c>
      <c r="AC18" s="213">
        <v>3</v>
      </c>
      <c r="AD18" s="24">
        <v>1</v>
      </c>
      <c r="AE18" s="61">
        <v>1</v>
      </c>
      <c r="AF18" s="24">
        <v>1</v>
      </c>
      <c r="AG18" s="19">
        <v>0</v>
      </c>
      <c r="AH18" s="213">
        <v>3</v>
      </c>
      <c r="AI18" s="61">
        <v>1</v>
      </c>
      <c r="AJ18" s="61">
        <v>2</v>
      </c>
      <c r="AK18" s="24">
        <v>1</v>
      </c>
      <c r="AL18" s="19">
        <v>1</v>
      </c>
      <c r="AM18" s="213">
        <v>5</v>
      </c>
      <c r="AN18" s="61">
        <v>1</v>
      </c>
      <c r="AO18" s="61">
        <v>2</v>
      </c>
      <c r="AP18" s="150">
        <v>3</v>
      </c>
      <c r="AQ18" s="24">
        <v>1</v>
      </c>
      <c r="AR18" s="279">
        <v>4</v>
      </c>
      <c r="AS18" s="19">
        <v>1</v>
      </c>
      <c r="AT18" s="213">
        <v>5</v>
      </c>
    </row>
    <row r="19" spans="1:261" s="169" customFormat="1" ht="13.9" customHeight="1">
      <c r="A19"/>
      <c r="B19" s="318" t="s">
        <v>303</v>
      </c>
      <c r="C19" s="319">
        <v>101.93</v>
      </c>
      <c r="D19" s="319">
        <v>9</v>
      </c>
      <c r="E19" s="319">
        <v>7.77</v>
      </c>
      <c r="F19" s="319">
        <v>11.39</v>
      </c>
      <c r="G19" s="319">
        <v>2.7699999999999991</v>
      </c>
      <c r="H19" s="319">
        <v>30.93</v>
      </c>
      <c r="I19" s="319">
        <v>2</v>
      </c>
      <c r="J19" s="319">
        <v>4.3100000000000005</v>
      </c>
      <c r="K19" s="319">
        <v>19.54</v>
      </c>
      <c r="L19" s="319">
        <v>25.85</v>
      </c>
      <c r="M19" s="319">
        <v>-9.7100000000000009</v>
      </c>
      <c r="N19" s="319">
        <v>16.14</v>
      </c>
      <c r="O19" s="319">
        <v>-1.23</v>
      </c>
      <c r="P19" s="319">
        <v>-2.08</v>
      </c>
      <c r="Q19" s="319">
        <v>-12</v>
      </c>
      <c r="R19" s="319">
        <v>4.1699999999999982</v>
      </c>
      <c r="S19" s="319">
        <v>-11.14</v>
      </c>
      <c r="T19" s="319">
        <v>9</v>
      </c>
      <c r="U19" s="319">
        <v>19.690000000000001</v>
      </c>
      <c r="V19" s="319">
        <v>24</v>
      </c>
      <c r="W19" s="319">
        <v>23</v>
      </c>
      <c r="X19" s="319">
        <v>75.930000000000007</v>
      </c>
      <c r="Y19" s="319">
        <v>55</v>
      </c>
      <c r="Z19" s="319">
        <v>45</v>
      </c>
      <c r="AA19" s="319">
        <v>55</v>
      </c>
      <c r="AB19" s="319">
        <v>38</v>
      </c>
      <c r="AC19" s="319">
        <v>193</v>
      </c>
      <c r="AD19" s="319">
        <v>43</v>
      </c>
      <c r="AE19" s="319">
        <v>44</v>
      </c>
      <c r="AF19" s="319">
        <v>49</v>
      </c>
      <c r="AG19" s="353">
        <v>28</v>
      </c>
      <c r="AH19" s="319">
        <v>164</v>
      </c>
      <c r="AI19" s="319">
        <v>36</v>
      </c>
      <c r="AJ19" s="319">
        <v>41</v>
      </c>
      <c r="AK19" s="319">
        <v>41</v>
      </c>
      <c r="AL19" s="318">
        <v>36</v>
      </c>
      <c r="AM19" s="319">
        <v>154</v>
      </c>
      <c r="AN19" s="319">
        <v>33</v>
      </c>
      <c r="AO19" s="319">
        <v>32</v>
      </c>
      <c r="AP19" s="319">
        <v>65</v>
      </c>
      <c r="AQ19" s="319">
        <v>37</v>
      </c>
      <c r="AR19" s="319">
        <v>102</v>
      </c>
      <c r="AS19" s="319">
        <v>61</v>
      </c>
      <c r="AT19" s="319">
        <v>163</v>
      </c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</row>
    <row r="20" spans="1:261" ht="13.9" customHeight="1">
      <c r="B20" s="20" t="s">
        <v>5</v>
      </c>
      <c r="C20" s="213"/>
      <c r="D20" s="212"/>
      <c r="E20" s="212">
        <v>-0.13666666666666671</v>
      </c>
      <c r="F20" s="212">
        <v>0.46589446589446615</v>
      </c>
      <c r="G20" s="212">
        <v>-0.7568042142230027</v>
      </c>
      <c r="H20" s="213"/>
      <c r="I20" s="212">
        <v>-0.27797833935018024</v>
      </c>
      <c r="J20" s="212">
        <v>1.1550000000000002</v>
      </c>
      <c r="K20" s="212">
        <v>3.5336426914153121</v>
      </c>
      <c r="L20" s="212"/>
      <c r="M20" s="216" t="s">
        <v>23</v>
      </c>
      <c r="N20" s="213"/>
      <c r="O20" s="212">
        <v>-0.87332646755921728</v>
      </c>
      <c r="P20" s="212">
        <v>0.69105691056910579</v>
      </c>
      <c r="Q20" s="212">
        <v>4.7692307692307692</v>
      </c>
      <c r="R20" s="216" t="s">
        <v>23</v>
      </c>
      <c r="S20" s="213"/>
      <c r="T20" s="212">
        <v>1.1582733812949648</v>
      </c>
      <c r="U20" s="212">
        <v>1.1877777777777778</v>
      </c>
      <c r="V20" s="212">
        <v>0.21889283900457079</v>
      </c>
      <c r="W20" s="216">
        <v>0</v>
      </c>
      <c r="X20" s="213"/>
      <c r="Y20" s="21">
        <v>1.3913043478260869</v>
      </c>
      <c r="Z20" s="21">
        <v>-0.18181818181818177</v>
      </c>
      <c r="AA20" s="21">
        <v>0.22222222222222232</v>
      </c>
      <c r="AB20" s="21">
        <v>-0.30909090909090908</v>
      </c>
      <c r="AC20" s="213"/>
      <c r="AD20" s="21">
        <v>0.13157894736842102</v>
      </c>
      <c r="AE20" s="21">
        <v>2.3255813953488413E-2</v>
      </c>
      <c r="AF20" s="21">
        <v>0.11363636363636354</v>
      </c>
      <c r="AG20" s="21">
        <v>-0.4285714285714286</v>
      </c>
      <c r="AH20" s="213"/>
      <c r="AI20" s="21">
        <v>0.28571428571428581</v>
      </c>
      <c r="AJ20" s="21">
        <v>0.13888888888888884</v>
      </c>
      <c r="AK20" s="21">
        <v>0</v>
      </c>
      <c r="AL20" s="21">
        <v>-0.12195121951219512</v>
      </c>
      <c r="AM20" s="213"/>
      <c r="AN20" s="21">
        <v>-8.333333333333337E-2</v>
      </c>
      <c r="AO20" s="21">
        <v>-3.0303030303030276E-2</v>
      </c>
      <c r="AP20" s="138"/>
      <c r="AQ20" s="21">
        <v>0.15625</v>
      </c>
      <c r="AR20" s="278"/>
      <c r="AS20" s="21">
        <v>0.64864864864864868</v>
      </c>
      <c r="AT20" s="213"/>
    </row>
    <row r="21" spans="1:261" ht="13.9" customHeight="1">
      <c r="B21" s="20" t="s">
        <v>6</v>
      </c>
      <c r="C21" s="213"/>
      <c r="D21" s="211"/>
      <c r="E21" s="211"/>
      <c r="F21" s="211"/>
      <c r="G21" s="211"/>
      <c r="H21" s="211">
        <v>-0.69655646031590313</v>
      </c>
      <c r="I21" s="211">
        <v>-0.77777777777777779</v>
      </c>
      <c r="J21" s="211">
        <v>-0.44530244530244523</v>
      </c>
      <c r="K21" s="211">
        <v>0.71553994732221238</v>
      </c>
      <c r="L21" s="216"/>
      <c r="M21" s="216" t="s">
        <v>23</v>
      </c>
      <c r="N21" s="211">
        <v>-0.47817652764306495</v>
      </c>
      <c r="O21" s="216" t="s">
        <v>23</v>
      </c>
      <c r="P21" s="216" t="s">
        <v>23</v>
      </c>
      <c r="Q21" s="216" t="s">
        <v>23</v>
      </c>
      <c r="R21" s="216" t="s">
        <v>23</v>
      </c>
      <c r="S21" s="217" t="s">
        <v>23</v>
      </c>
      <c r="T21" s="216" t="s">
        <v>23</v>
      </c>
      <c r="U21" s="216" t="s">
        <v>23</v>
      </c>
      <c r="V21" s="216" t="s">
        <v>23</v>
      </c>
      <c r="W21" s="216">
        <v>4.5155875299760213</v>
      </c>
      <c r="X21" s="217" t="s">
        <v>23</v>
      </c>
      <c r="Y21" s="22">
        <v>5.1109999999999998</v>
      </c>
      <c r="Z21" s="22">
        <v>1.2854240731335702</v>
      </c>
      <c r="AA21" s="22">
        <v>1.2916666666666665</v>
      </c>
      <c r="AB21" s="31">
        <v>0.65217391304347827</v>
      </c>
      <c r="AC21" s="217">
        <v>1.5418148294481759</v>
      </c>
      <c r="AD21" s="22">
        <v>-0.21818181818181814</v>
      </c>
      <c r="AE21" s="22">
        <v>-2.2222222222222254E-2</v>
      </c>
      <c r="AF21" s="22">
        <v>-0.10909090909090913</v>
      </c>
      <c r="AG21" s="21">
        <v>-0.26315789473684215</v>
      </c>
      <c r="AH21" s="211">
        <v>-0.15025906735751293</v>
      </c>
      <c r="AI21" s="22">
        <v>-0.16279069767441856</v>
      </c>
      <c r="AJ21" s="22">
        <v>-6.8181818181818232E-2</v>
      </c>
      <c r="AK21" s="22">
        <v>-0.16326530612244894</v>
      </c>
      <c r="AL21" s="21">
        <v>0.28571428571428581</v>
      </c>
      <c r="AM21" s="211">
        <v>-6.0975609756097615E-2</v>
      </c>
      <c r="AN21" s="22">
        <v>-8.333333333333337E-2</v>
      </c>
      <c r="AO21" s="22">
        <v>-0.21951219512195119</v>
      </c>
      <c r="AP21" s="139"/>
      <c r="AQ21" s="22">
        <v>-9.7560975609756073E-2</v>
      </c>
      <c r="AR21" s="278"/>
      <c r="AS21" s="21">
        <v>0.69444444444444442</v>
      </c>
      <c r="AT21" s="211">
        <v>5.8441558441558517E-2</v>
      </c>
    </row>
    <row r="22" spans="1:261" ht="13.9" customHeight="1">
      <c r="B22" s="12" t="s">
        <v>299</v>
      </c>
      <c r="C22" s="213">
        <v>291</v>
      </c>
      <c r="D22" s="214">
        <v>69</v>
      </c>
      <c r="E22" s="214">
        <v>67</v>
      </c>
      <c r="F22" s="214">
        <v>69</v>
      </c>
      <c r="G22" s="210">
        <v>66</v>
      </c>
      <c r="H22" s="213">
        <v>271</v>
      </c>
      <c r="I22" s="214">
        <v>72</v>
      </c>
      <c r="J22" s="214">
        <v>53</v>
      </c>
      <c r="K22" s="214">
        <v>7</v>
      </c>
      <c r="L22" s="214">
        <v>132</v>
      </c>
      <c r="M22" s="214">
        <v>-138</v>
      </c>
      <c r="N22" s="213">
        <v>-6</v>
      </c>
      <c r="O22" s="214">
        <v>72</v>
      </c>
      <c r="P22" s="214">
        <v>65</v>
      </c>
      <c r="Q22" s="214">
        <v>-233</v>
      </c>
      <c r="R22" s="210">
        <v>4</v>
      </c>
      <c r="S22" s="213">
        <v>-92</v>
      </c>
      <c r="T22" s="214">
        <v>41</v>
      </c>
      <c r="U22" s="214">
        <v>62</v>
      </c>
      <c r="V22" s="214">
        <v>51</v>
      </c>
      <c r="W22" s="210">
        <v>41</v>
      </c>
      <c r="X22" s="213">
        <v>195</v>
      </c>
      <c r="Y22" s="61">
        <v>34</v>
      </c>
      <c r="Z22" s="61">
        <v>46</v>
      </c>
      <c r="AA22" s="61">
        <v>49</v>
      </c>
      <c r="AB22" s="61">
        <v>-25</v>
      </c>
      <c r="AC22" s="213">
        <v>104</v>
      </c>
      <c r="AD22" s="24">
        <v>44</v>
      </c>
      <c r="AE22" s="61">
        <v>49</v>
      </c>
      <c r="AF22" s="61">
        <v>49</v>
      </c>
      <c r="AG22" s="61">
        <v>34</v>
      </c>
      <c r="AH22" s="213">
        <v>176</v>
      </c>
      <c r="AI22" s="24">
        <v>47</v>
      </c>
      <c r="AJ22" s="61">
        <v>44</v>
      </c>
      <c r="AK22" s="61">
        <v>36</v>
      </c>
      <c r="AL22" s="61">
        <v>-25</v>
      </c>
      <c r="AM22" s="213">
        <v>102</v>
      </c>
      <c r="AN22" s="24">
        <v>33</v>
      </c>
      <c r="AO22" s="61">
        <v>37</v>
      </c>
      <c r="AP22" s="148">
        <v>70</v>
      </c>
      <c r="AQ22" s="61">
        <v>40</v>
      </c>
      <c r="AR22" s="279">
        <v>110</v>
      </c>
      <c r="AS22" s="19">
        <v>36</v>
      </c>
      <c r="AT22" s="213">
        <v>146</v>
      </c>
    </row>
    <row r="23" spans="1:261" ht="13.9" customHeight="1">
      <c r="B23" t="s">
        <v>166</v>
      </c>
      <c r="C23" s="213">
        <v>3</v>
      </c>
      <c r="D23" s="215">
        <v>2</v>
      </c>
      <c r="E23" s="214">
        <v>-1</v>
      </c>
      <c r="F23" s="214">
        <v>2</v>
      </c>
      <c r="G23" s="214">
        <v>5</v>
      </c>
      <c r="H23" s="213">
        <v>8</v>
      </c>
      <c r="I23" s="215">
        <v>0</v>
      </c>
      <c r="J23" s="215">
        <v>16</v>
      </c>
      <c r="K23" s="214">
        <v>45</v>
      </c>
      <c r="L23" s="214">
        <v>61</v>
      </c>
      <c r="M23" s="214">
        <v>196</v>
      </c>
      <c r="N23" s="213">
        <v>257</v>
      </c>
      <c r="O23" s="215">
        <v>0</v>
      </c>
      <c r="P23" s="215">
        <v>0</v>
      </c>
      <c r="Q23" s="214">
        <v>282</v>
      </c>
      <c r="R23" s="214">
        <v>31</v>
      </c>
      <c r="S23" s="213">
        <v>313</v>
      </c>
      <c r="T23" s="215">
        <v>0</v>
      </c>
      <c r="U23" s="214">
        <v>-1</v>
      </c>
      <c r="V23" s="214">
        <v>-2</v>
      </c>
      <c r="W23" s="210">
        <v>9</v>
      </c>
      <c r="X23" s="213">
        <v>6</v>
      </c>
      <c r="Y23" s="24">
        <v>1</v>
      </c>
      <c r="Z23" s="24">
        <v>0</v>
      </c>
      <c r="AA23" s="61">
        <v>2</v>
      </c>
      <c r="AB23" s="61">
        <v>68</v>
      </c>
      <c r="AC23" s="213">
        <v>71</v>
      </c>
      <c r="AD23" s="24">
        <v>6</v>
      </c>
      <c r="AE23" s="24">
        <v>0</v>
      </c>
      <c r="AF23" s="24">
        <v>0</v>
      </c>
      <c r="AG23" s="61">
        <v>14</v>
      </c>
      <c r="AH23" s="213">
        <v>20</v>
      </c>
      <c r="AI23" s="61">
        <v>-4</v>
      </c>
      <c r="AJ23" s="24">
        <v>0</v>
      </c>
      <c r="AK23" s="61">
        <v>2</v>
      </c>
      <c r="AL23" s="19">
        <v>72</v>
      </c>
      <c r="AM23" s="213">
        <v>70</v>
      </c>
      <c r="AN23" s="24">
        <v>0</v>
      </c>
      <c r="AO23" s="24">
        <v>0</v>
      </c>
      <c r="AP23" s="143">
        <v>0</v>
      </c>
      <c r="AQ23" s="24">
        <v>0</v>
      </c>
      <c r="AR23" s="279">
        <v>0</v>
      </c>
      <c r="AS23" s="19">
        <v>0</v>
      </c>
      <c r="AT23" s="215">
        <v>0</v>
      </c>
    </row>
    <row r="24" spans="1:261" ht="13.9" customHeight="1">
      <c r="B24" t="s">
        <v>274</v>
      </c>
      <c r="C24" s="215">
        <v>0</v>
      </c>
      <c r="D24" s="215">
        <v>0</v>
      </c>
      <c r="E24" s="215">
        <v>0</v>
      </c>
      <c r="F24" s="215">
        <v>0</v>
      </c>
      <c r="G24" s="215">
        <v>0</v>
      </c>
      <c r="H24" s="215">
        <v>0</v>
      </c>
      <c r="I24" s="215">
        <v>0</v>
      </c>
      <c r="J24" s="215">
        <v>0</v>
      </c>
      <c r="K24" s="215">
        <v>0</v>
      </c>
      <c r="L24" s="215">
        <v>0</v>
      </c>
      <c r="M24" s="215">
        <v>0</v>
      </c>
      <c r="N24" s="215">
        <v>0</v>
      </c>
      <c r="O24" s="215">
        <v>0</v>
      </c>
      <c r="P24" s="215">
        <v>0</v>
      </c>
      <c r="Q24" s="215">
        <v>0</v>
      </c>
      <c r="R24" s="215">
        <v>0</v>
      </c>
      <c r="S24" s="215">
        <v>0</v>
      </c>
      <c r="T24" s="215">
        <v>0</v>
      </c>
      <c r="U24" s="215">
        <v>1</v>
      </c>
      <c r="V24" s="215">
        <v>1</v>
      </c>
      <c r="W24" s="215">
        <v>0</v>
      </c>
      <c r="X24" s="213">
        <v>2</v>
      </c>
      <c r="Y24" s="24">
        <v>0</v>
      </c>
      <c r="Z24" s="24">
        <v>1</v>
      </c>
      <c r="AA24" s="61">
        <v>1</v>
      </c>
      <c r="AB24" s="61">
        <v>0</v>
      </c>
      <c r="AC24" s="213">
        <v>2</v>
      </c>
      <c r="AD24" s="24">
        <v>1</v>
      </c>
      <c r="AE24" s="24">
        <v>0</v>
      </c>
      <c r="AF24" s="61">
        <v>1</v>
      </c>
      <c r="AG24" s="24">
        <v>0</v>
      </c>
      <c r="AH24" s="213">
        <v>2</v>
      </c>
      <c r="AI24" s="24">
        <v>1</v>
      </c>
      <c r="AJ24" s="24">
        <v>1</v>
      </c>
      <c r="AK24" s="61">
        <v>1</v>
      </c>
      <c r="AL24" s="19">
        <v>1</v>
      </c>
      <c r="AM24" s="213">
        <v>4</v>
      </c>
      <c r="AN24" s="24">
        <v>1</v>
      </c>
      <c r="AO24" s="24">
        <v>0</v>
      </c>
      <c r="AP24" s="148">
        <v>1</v>
      </c>
      <c r="AQ24" s="24">
        <v>0</v>
      </c>
      <c r="AR24" s="279">
        <v>1</v>
      </c>
      <c r="AS24" s="19">
        <v>1</v>
      </c>
      <c r="AT24" s="213">
        <v>2</v>
      </c>
    </row>
    <row r="25" spans="1:261" s="138" customFormat="1" ht="13.9" customHeight="1">
      <c r="A25"/>
      <c r="B25" s="145" t="s">
        <v>296</v>
      </c>
      <c r="C25" s="148">
        <v>294</v>
      </c>
      <c r="D25" s="148">
        <v>71</v>
      </c>
      <c r="E25" s="148">
        <v>66</v>
      </c>
      <c r="F25" s="148">
        <v>71</v>
      </c>
      <c r="G25" s="148">
        <v>71</v>
      </c>
      <c r="H25" s="148">
        <v>279</v>
      </c>
      <c r="I25" s="148">
        <v>72</v>
      </c>
      <c r="J25" s="148">
        <v>69</v>
      </c>
      <c r="K25" s="148">
        <v>52</v>
      </c>
      <c r="L25" s="145">
        <v>193</v>
      </c>
      <c r="M25" s="148">
        <v>58</v>
      </c>
      <c r="N25" s="148">
        <v>251</v>
      </c>
      <c r="O25" s="148">
        <v>72</v>
      </c>
      <c r="P25" s="148">
        <v>65</v>
      </c>
      <c r="Q25" s="148">
        <v>49</v>
      </c>
      <c r="R25" s="148">
        <v>35</v>
      </c>
      <c r="S25" s="148">
        <v>221</v>
      </c>
      <c r="T25" s="148">
        <v>41</v>
      </c>
      <c r="U25" s="148">
        <v>62</v>
      </c>
      <c r="V25" s="148">
        <v>50</v>
      </c>
      <c r="W25" s="148">
        <v>50</v>
      </c>
      <c r="X25" s="148">
        <v>203</v>
      </c>
      <c r="Y25" s="148">
        <v>35</v>
      </c>
      <c r="Z25" s="148">
        <v>47</v>
      </c>
      <c r="AA25" s="148">
        <v>52</v>
      </c>
      <c r="AB25" s="148">
        <v>43</v>
      </c>
      <c r="AC25" s="148">
        <v>177</v>
      </c>
      <c r="AD25" s="148">
        <v>51</v>
      </c>
      <c r="AE25" s="148">
        <v>49</v>
      </c>
      <c r="AF25" s="148">
        <v>50</v>
      </c>
      <c r="AG25" s="148">
        <v>48</v>
      </c>
      <c r="AH25" s="148">
        <v>198</v>
      </c>
      <c r="AI25" s="148">
        <v>44</v>
      </c>
      <c r="AJ25" s="148">
        <v>45</v>
      </c>
      <c r="AK25" s="148">
        <v>39</v>
      </c>
      <c r="AL25" s="148">
        <v>48</v>
      </c>
      <c r="AM25" s="148">
        <v>176</v>
      </c>
      <c r="AN25" s="148">
        <v>34</v>
      </c>
      <c r="AO25" s="148">
        <v>37</v>
      </c>
      <c r="AP25" s="148">
        <v>71</v>
      </c>
      <c r="AQ25" s="148">
        <v>40</v>
      </c>
      <c r="AR25" s="148">
        <v>111</v>
      </c>
      <c r="AS25" s="148">
        <v>37</v>
      </c>
      <c r="AT25" s="148">
        <v>148</v>
      </c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</row>
    <row r="26" spans="1:261" ht="13.9" customHeight="1">
      <c r="B26" s="20" t="s">
        <v>5</v>
      </c>
      <c r="C26" s="213"/>
      <c r="D26" s="212"/>
      <c r="E26" s="212">
        <v>-7.0422535211267623E-2</v>
      </c>
      <c r="F26" s="212">
        <v>7.575757575757569E-2</v>
      </c>
      <c r="G26" s="212">
        <v>0</v>
      </c>
      <c r="H26" s="213"/>
      <c r="I26" s="212">
        <v>1.4084507042253502E-2</v>
      </c>
      <c r="J26" s="212">
        <v>-4.166666666666663E-2</v>
      </c>
      <c r="K26" s="212">
        <v>-0.24637681159420288</v>
      </c>
      <c r="L26" s="212"/>
      <c r="M26" s="212">
        <v>0.11538461538461542</v>
      </c>
      <c r="N26" s="213"/>
      <c r="O26" s="212">
        <v>0.24137931034482762</v>
      </c>
      <c r="P26" s="212">
        <v>-9.722222222222221E-2</v>
      </c>
      <c r="Q26" s="212">
        <v>-0.24615384615384617</v>
      </c>
      <c r="R26" s="212">
        <v>-0.2857142857142857</v>
      </c>
      <c r="S26" s="213"/>
      <c r="T26" s="212">
        <v>0.17142857142857149</v>
      </c>
      <c r="U26" s="212">
        <v>0.51219512195121952</v>
      </c>
      <c r="V26" s="212">
        <v>-0.19354838709677424</v>
      </c>
      <c r="W26" s="212">
        <v>0</v>
      </c>
      <c r="X26" s="213"/>
      <c r="Y26" s="21">
        <v>-0.30000000000000004</v>
      </c>
      <c r="Z26" s="21">
        <v>0.34285714285714275</v>
      </c>
      <c r="AA26" s="21">
        <v>0.1063829787234043</v>
      </c>
      <c r="AB26" s="21">
        <v>-0.17307692307692313</v>
      </c>
      <c r="AC26" s="213"/>
      <c r="AD26" s="21">
        <v>0.18604651162790709</v>
      </c>
      <c r="AE26" s="21">
        <v>-3.9215686274509776E-2</v>
      </c>
      <c r="AF26" s="21">
        <v>2.0408163265306145E-2</v>
      </c>
      <c r="AG26" s="21">
        <v>-4.0000000000000036E-2</v>
      </c>
      <c r="AH26" s="213"/>
      <c r="AI26" s="21">
        <v>-8.333333333333337E-2</v>
      </c>
      <c r="AJ26" s="21">
        <v>2.2727272727272707E-2</v>
      </c>
      <c r="AK26" s="21">
        <v>-0.1333333333333333</v>
      </c>
      <c r="AL26" s="21">
        <v>0.23076923076923084</v>
      </c>
      <c r="AM26" s="213"/>
      <c r="AN26" s="21">
        <v>-0.29166666666666663</v>
      </c>
      <c r="AO26" s="21">
        <v>8.8235294117646967E-2</v>
      </c>
      <c r="AP26" s="138"/>
      <c r="AQ26" s="21">
        <v>8.1081081081081141E-2</v>
      </c>
      <c r="AR26" s="277"/>
      <c r="AS26" s="21">
        <v>-7.4999999999999956E-2</v>
      </c>
      <c r="AT26" s="213"/>
    </row>
    <row r="27" spans="1:261" ht="13.9" customHeight="1">
      <c r="B27" s="20" t="s">
        <v>6</v>
      </c>
      <c r="C27" s="213"/>
      <c r="D27" s="211"/>
      <c r="E27" s="211"/>
      <c r="F27" s="211"/>
      <c r="G27" s="211"/>
      <c r="H27" s="211">
        <v>-5.1020408163265252E-2</v>
      </c>
      <c r="I27" s="211">
        <v>1.4084507042253502E-2</v>
      </c>
      <c r="J27" s="211">
        <v>4.5454545454545414E-2</v>
      </c>
      <c r="K27" s="211">
        <v>-0.26760563380281688</v>
      </c>
      <c r="L27" s="211"/>
      <c r="M27" s="211">
        <v>-0.18309859154929575</v>
      </c>
      <c r="N27" s="211">
        <v>-0.10035842293906805</v>
      </c>
      <c r="O27" s="211">
        <v>0</v>
      </c>
      <c r="P27" s="211">
        <v>-5.7971014492753659E-2</v>
      </c>
      <c r="Q27" s="211">
        <v>-5.7692307692307709E-2</v>
      </c>
      <c r="R27" s="211">
        <v>-0.39655172413793105</v>
      </c>
      <c r="S27" s="211">
        <v>-0.11952191235059761</v>
      </c>
      <c r="T27" s="211">
        <v>-0.43055555555555558</v>
      </c>
      <c r="U27" s="211">
        <v>-4.6153846153846101E-2</v>
      </c>
      <c r="V27" s="211">
        <v>2.0408163265306145E-2</v>
      </c>
      <c r="W27" s="211">
        <v>0.4285714285714286</v>
      </c>
      <c r="X27" s="211">
        <v>-8.1447963800905021E-2</v>
      </c>
      <c r="Y27" s="22">
        <v>-0.14634146341463417</v>
      </c>
      <c r="Z27" s="22">
        <v>-0.24193548387096775</v>
      </c>
      <c r="AA27" s="22">
        <v>4.0000000000000036E-2</v>
      </c>
      <c r="AB27" s="22">
        <v>-0.14000000000000001</v>
      </c>
      <c r="AC27" s="211">
        <v>-0.1280788177339901</v>
      </c>
      <c r="AD27" s="22">
        <v>0.45714285714285707</v>
      </c>
      <c r="AE27" s="22">
        <v>4.2553191489361764E-2</v>
      </c>
      <c r="AF27" s="22">
        <v>-3.8461538461538436E-2</v>
      </c>
      <c r="AG27" s="21">
        <v>0.11627906976744184</v>
      </c>
      <c r="AH27" s="211">
        <v>0.11864406779661008</v>
      </c>
      <c r="AI27" s="22">
        <v>-0.13725490196078427</v>
      </c>
      <c r="AJ27" s="22">
        <v>-8.1632653061224469E-2</v>
      </c>
      <c r="AK27" s="22">
        <v>-0.21999999999999997</v>
      </c>
      <c r="AL27" s="21">
        <v>0</v>
      </c>
      <c r="AM27" s="211">
        <v>-0.11111111111111116</v>
      </c>
      <c r="AN27" s="22">
        <v>-0.22727272727272729</v>
      </c>
      <c r="AO27" s="22">
        <v>-0.17777777777777781</v>
      </c>
      <c r="AP27" s="139"/>
      <c r="AQ27" s="22">
        <v>2.564102564102555E-2</v>
      </c>
      <c r="AR27" s="278"/>
      <c r="AS27" s="21">
        <v>-0.22916666666666663</v>
      </c>
      <c r="AT27" s="211">
        <v>-0.15909090909090906</v>
      </c>
    </row>
    <row r="28" spans="1:261" ht="13.9" customHeight="1">
      <c r="B28" s="2" t="s">
        <v>297</v>
      </c>
      <c r="C28" s="245">
        <v>0.19128171763175017</v>
      </c>
      <c r="D28" s="246">
        <v>0.20170454545454544</v>
      </c>
      <c r="E28" s="246">
        <v>0.19642857142857142</v>
      </c>
      <c r="F28" s="246">
        <v>0.21321321321321321</v>
      </c>
      <c r="G28" s="246">
        <v>0.1918918918918919</v>
      </c>
      <c r="H28" s="245">
        <v>0.20057512580877068</v>
      </c>
      <c r="I28" s="246">
        <v>0.21114369501466276</v>
      </c>
      <c r="J28" s="246">
        <v>0.20353982300884957</v>
      </c>
      <c r="K28" s="246">
        <v>0.1580547112462006</v>
      </c>
      <c r="L28" s="246" t="e">
        <v>#REF!</v>
      </c>
      <c r="M28" s="246">
        <v>0.17575757575757575</v>
      </c>
      <c r="N28" s="245">
        <v>0.18745332337565349</v>
      </c>
      <c r="O28" s="246">
        <v>0.22712933753943218</v>
      </c>
      <c r="P28" s="246">
        <v>0.2070063694267516</v>
      </c>
      <c r="Q28" s="246">
        <v>0.15555555555555556</v>
      </c>
      <c r="R28" s="246">
        <v>0.1076923076923077</v>
      </c>
      <c r="S28" s="245">
        <v>0.17387883556254918</v>
      </c>
      <c r="T28" s="246">
        <v>0.13141025641025642</v>
      </c>
      <c r="U28" s="246">
        <v>0.2</v>
      </c>
      <c r="V28" s="246">
        <v>0.17421602787456447</v>
      </c>
      <c r="W28" s="246">
        <v>0.1524390243902439</v>
      </c>
      <c r="X28" s="245">
        <v>0.16410670978173</v>
      </c>
      <c r="Y28" s="109">
        <v>0.11400651465798045</v>
      </c>
      <c r="Z28" s="109">
        <v>0.15562913907284767</v>
      </c>
      <c r="AA28" s="109">
        <v>0.16720257234726688</v>
      </c>
      <c r="AB28" s="109">
        <v>0.13479623824451412</v>
      </c>
      <c r="AC28" s="245">
        <v>0.14285714285714285</v>
      </c>
      <c r="AD28" s="109">
        <v>0.16346153846153846</v>
      </c>
      <c r="AE28" s="109">
        <v>0.16723549488054607</v>
      </c>
      <c r="AF28" s="109">
        <v>0.16501650165016502</v>
      </c>
      <c r="AG28" s="109">
        <v>0.15789473684210525</v>
      </c>
      <c r="AH28" s="245">
        <v>0.16336633663366337</v>
      </c>
      <c r="AI28" s="109">
        <v>0.15224913494809689</v>
      </c>
      <c r="AJ28" s="109">
        <v>0.17241379310344829</v>
      </c>
      <c r="AK28" s="109">
        <v>0.14444444444444443</v>
      </c>
      <c r="AL28" s="109">
        <v>0.16842105263157894</v>
      </c>
      <c r="AM28" s="245">
        <v>0.1592760180995475</v>
      </c>
      <c r="AN28" s="109">
        <v>0.12454212454212454</v>
      </c>
      <c r="AO28" s="109">
        <v>0.14068441064638784</v>
      </c>
      <c r="AP28" s="154">
        <v>0.13246268656716417</v>
      </c>
      <c r="AQ28" s="109">
        <v>0.14234875444839859</v>
      </c>
      <c r="AR28" s="313">
        <v>0.13586291309669524</v>
      </c>
      <c r="AS28" s="109">
        <v>0.14068441064638784</v>
      </c>
      <c r="AT28" s="245">
        <v>0.13703703703703704</v>
      </c>
    </row>
    <row r="29" spans="1:261" ht="13.9" customHeight="1">
      <c r="C29" s="245"/>
      <c r="D29" s="246"/>
      <c r="E29" s="246"/>
      <c r="F29" s="246"/>
      <c r="G29" s="246"/>
      <c r="H29" s="245"/>
      <c r="I29" s="246"/>
      <c r="J29" s="246"/>
      <c r="K29" s="246"/>
      <c r="L29" s="246"/>
      <c r="M29" s="246"/>
      <c r="N29" s="245"/>
      <c r="O29" s="246"/>
      <c r="P29" s="246"/>
      <c r="Q29" s="246"/>
      <c r="R29" s="246"/>
      <c r="S29" s="245"/>
      <c r="T29" s="246"/>
      <c r="U29" s="246"/>
      <c r="V29" s="246"/>
      <c r="W29" s="246"/>
      <c r="X29" s="245"/>
      <c r="Y29" s="109"/>
      <c r="Z29" s="109"/>
      <c r="AA29" s="109"/>
      <c r="AB29" s="109"/>
      <c r="AC29" s="245"/>
      <c r="AD29" s="109"/>
      <c r="AE29" s="109"/>
      <c r="AF29" s="109"/>
      <c r="AG29" s="109"/>
      <c r="AH29" s="245"/>
      <c r="AI29" s="109"/>
      <c r="AJ29" s="109"/>
      <c r="AK29" s="109"/>
      <c r="AL29" s="109"/>
      <c r="AM29" s="245"/>
      <c r="AN29" s="109"/>
      <c r="AO29" s="109"/>
      <c r="AP29" s="154"/>
      <c r="AQ29" s="109"/>
      <c r="AR29" s="313"/>
      <c r="AS29" s="109"/>
      <c r="AT29" s="245"/>
    </row>
    <row r="30" spans="1:261" ht="13.9" customHeight="1">
      <c r="B30" s="12" t="s">
        <v>300</v>
      </c>
      <c r="C30" s="213">
        <v>115</v>
      </c>
      <c r="D30" s="214">
        <v>18</v>
      </c>
      <c r="E30" s="214">
        <v>14</v>
      </c>
      <c r="F30" s="214">
        <v>14</v>
      </c>
      <c r="G30" s="210">
        <v>5</v>
      </c>
      <c r="H30" s="213">
        <v>51</v>
      </c>
      <c r="I30" s="214">
        <v>20</v>
      </c>
      <c r="J30" s="214">
        <v>4</v>
      </c>
      <c r="K30" s="214">
        <v>-32</v>
      </c>
      <c r="L30" s="214">
        <v>-8</v>
      </c>
      <c r="M30" s="210">
        <v>-149</v>
      </c>
      <c r="N30" s="213">
        <v>-157</v>
      </c>
      <c r="O30" s="214">
        <v>22</v>
      </c>
      <c r="P30" s="214">
        <v>21</v>
      </c>
      <c r="Q30" s="214">
        <v>-305</v>
      </c>
      <c r="R30" s="214">
        <v>-13</v>
      </c>
      <c r="S30" s="213">
        <v>-275</v>
      </c>
      <c r="T30" s="214">
        <v>-8</v>
      </c>
      <c r="U30" s="214">
        <v>11</v>
      </c>
      <c r="V30" s="214">
        <v>10</v>
      </c>
      <c r="W30" s="214">
        <v>-5</v>
      </c>
      <c r="X30" s="213">
        <v>8</v>
      </c>
      <c r="Y30" s="61">
        <v>-5</v>
      </c>
      <c r="Z30" s="61">
        <v>15</v>
      </c>
      <c r="AA30" s="61">
        <v>16</v>
      </c>
      <c r="AB30" s="61">
        <v>-58</v>
      </c>
      <c r="AC30" s="213">
        <v>-32</v>
      </c>
      <c r="AD30" s="24">
        <v>13</v>
      </c>
      <c r="AE30" s="61">
        <v>13</v>
      </c>
      <c r="AF30" s="61">
        <v>17</v>
      </c>
      <c r="AG30" s="61">
        <v>-14</v>
      </c>
      <c r="AH30" s="213">
        <v>29</v>
      </c>
      <c r="AI30" s="24">
        <v>18</v>
      </c>
      <c r="AJ30" s="61">
        <v>18</v>
      </c>
      <c r="AK30" s="61">
        <v>11</v>
      </c>
      <c r="AL30" s="61">
        <v>-69</v>
      </c>
      <c r="AM30" s="213">
        <v>-22</v>
      </c>
      <c r="AN30" s="24">
        <v>11</v>
      </c>
      <c r="AO30" s="61">
        <v>6</v>
      </c>
      <c r="AP30" s="148">
        <v>17</v>
      </c>
      <c r="AQ30" s="61">
        <v>16</v>
      </c>
      <c r="AR30" s="279">
        <v>33</v>
      </c>
      <c r="AS30" s="19">
        <v>3</v>
      </c>
      <c r="AT30" s="213">
        <v>36</v>
      </c>
    </row>
    <row r="31" spans="1:261" ht="13.9" customHeight="1">
      <c r="B31" t="s">
        <v>166</v>
      </c>
      <c r="C31" s="213">
        <v>2.31</v>
      </c>
      <c r="D31" s="215">
        <v>1.54</v>
      </c>
      <c r="E31" s="214">
        <v>-0.77</v>
      </c>
      <c r="F31" s="214">
        <v>1.54</v>
      </c>
      <c r="G31" s="214">
        <v>3.8500000000000005</v>
      </c>
      <c r="H31" s="213">
        <v>6.16</v>
      </c>
      <c r="I31" s="215">
        <v>0</v>
      </c>
      <c r="J31" s="215">
        <v>12.32</v>
      </c>
      <c r="K31" s="214">
        <v>34.65</v>
      </c>
      <c r="L31" s="214">
        <v>46.97</v>
      </c>
      <c r="M31" s="214">
        <v>150.92000000000002</v>
      </c>
      <c r="N31" s="213">
        <v>197.89000000000001</v>
      </c>
      <c r="O31" s="215">
        <v>0</v>
      </c>
      <c r="P31" s="215">
        <v>0</v>
      </c>
      <c r="Q31" s="214">
        <v>282</v>
      </c>
      <c r="R31" s="214">
        <v>31</v>
      </c>
      <c r="S31" s="213">
        <v>313</v>
      </c>
      <c r="T31" s="215">
        <v>0</v>
      </c>
      <c r="U31" s="214">
        <v>-1</v>
      </c>
      <c r="V31" s="214">
        <v>-2</v>
      </c>
      <c r="W31" s="214">
        <v>9</v>
      </c>
      <c r="X31" s="213">
        <v>6</v>
      </c>
      <c r="Y31" s="24">
        <v>1</v>
      </c>
      <c r="Z31" s="24">
        <v>0</v>
      </c>
      <c r="AA31" s="61">
        <v>2</v>
      </c>
      <c r="AB31" s="61">
        <v>68</v>
      </c>
      <c r="AC31" s="213">
        <v>71</v>
      </c>
      <c r="AD31" s="24">
        <v>6</v>
      </c>
      <c r="AE31" s="24">
        <v>0</v>
      </c>
      <c r="AF31" s="24">
        <v>0</v>
      </c>
      <c r="AG31" s="61">
        <v>14</v>
      </c>
      <c r="AH31" s="213">
        <v>20</v>
      </c>
      <c r="AI31" s="61">
        <v>-4</v>
      </c>
      <c r="AJ31" s="24">
        <v>0</v>
      </c>
      <c r="AK31" s="61">
        <v>2</v>
      </c>
      <c r="AL31" s="19">
        <v>72</v>
      </c>
      <c r="AM31" s="213">
        <v>70</v>
      </c>
      <c r="AN31" s="24">
        <v>0</v>
      </c>
      <c r="AO31" s="24">
        <v>0</v>
      </c>
      <c r="AP31" s="143">
        <v>0</v>
      </c>
      <c r="AQ31" s="24">
        <v>0</v>
      </c>
      <c r="AR31" s="279">
        <v>0</v>
      </c>
      <c r="AS31" s="19">
        <v>0</v>
      </c>
      <c r="AT31" s="215">
        <v>0</v>
      </c>
    </row>
    <row r="32" spans="1:261" ht="13.9" customHeight="1">
      <c r="B32" s="6" t="s">
        <v>307</v>
      </c>
      <c r="C32" s="215">
        <v>0</v>
      </c>
      <c r="D32" s="215">
        <v>0</v>
      </c>
      <c r="E32" s="215">
        <v>0</v>
      </c>
      <c r="F32" s="215">
        <v>0</v>
      </c>
      <c r="G32" s="215">
        <v>0</v>
      </c>
      <c r="H32" s="215">
        <v>0</v>
      </c>
      <c r="I32" s="215">
        <v>0</v>
      </c>
      <c r="J32" s="215">
        <v>0</v>
      </c>
      <c r="K32" s="215">
        <v>0</v>
      </c>
      <c r="L32" s="215">
        <v>0</v>
      </c>
      <c r="M32" s="215">
        <v>0</v>
      </c>
      <c r="N32" s="215">
        <v>0</v>
      </c>
      <c r="O32" s="215">
        <v>0</v>
      </c>
      <c r="P32" s="215">
        <v>0</v>
      </c>
      <c r="Q32" s="215">
        <v>0</v>
      </c>
      <c r="R32" s="215">
        <v>0</v>
      </c>
      <c r="S32" s="215">
        <v>0</v>
      </c>
      <c r="T32" s="215">
        <v>0</v>
      </c>
      <c r="U32" s="215">
        <v>1</v>
      </c>
      <c r="V32" s="215">
        <v>1</v>
      </c>
      <c r="W32" s="215">
        <v>0</v>
      </c>
      <c r="X32" s="213">
        <v>2</v>
      </c>
      <c r="Y32" s="24">
        <v>0</v>
      </c>
      <c r="Z32" s="24">
        <v>1</v>
      </c>
      <c r="AA32" s="61">
        <v>1</v>
      </c>
      <c r="AB32" s="61">
        <v>0</v>
      </c>
      <c r="AC32" s="213">
        <v>2</v>
      </c>
      <c r="AD32" s="24">
        <v>1</v>
      </c>
      <c r="AE32" s="24">
        <v>0</v>
      </c>
      <c r="AF32" s="61">
        <v>1</v>
      </c>
      <c r="AG32" s="19">
        <v>0</v>
      </c>
      <c r="AH32" s="213">
        <v>2</v>
      </c>
      <c r="AI32" s="24">
        <v>1</v>
      </c>
      <c r="AJ32" s="24">
        <v>1</v>
      </c>
      <c r="AK32" s="61">
        <v>1</v>
      </c>
      <c r="AL32" s="19">
        <v>1</v>
      </c>
      <c r="AM32" s="213">
        <v>4</v>
      </c>
      <c r="AN32" s="24">
        <v>1</v>
      </c>
      <c r="AO32" s="24">
        <v>0</v>
      </c>
      <c r="AP32" s="148">
        <v>1</v>
      </c>
      <c r="AQ32" s="24">
        <v>0</v>
      </c>
      <c r="AR32" s="279">
        <v>1</v>
      </c>
      <c r="AS32" s="19">
        <v>1</v>
      </c>
      <c r="AT32" s="213">
        <v>2</v>
      </c>
    </row>
    <row r="33" spans="1:261" s="138" customFormat="1" ht="13.9" customHeight="1">
      <c r="A33"/>
      <c r="B33" s="145" t="s">
        <v>302</v>
      </c>
      <c r="C33" s="148">
        <v>117.31</v>
      </c>
      <c r="D33" s="148">
        <v>19.54</v>
      </c>
      <c r="E33" s="148">
        <v>13.23</v>
      </c>
      <c r="F33" s="148">
        <v>15.54</v>
      </c>
      <c r="G33" s="148">
        <v>8.8499999999999979</v>
      </c>
      <c r="H33" s="148">
        <v>57.16</v>
      </c>
      <c r="I33" s="148">
        <v>20</v>
      </c>
      <c r="J33" s="148">
        <v>16.32</v>
      </c>
      <c r="K33" s="148">
        <v>2.6499999999999986</v>
      </c>
      <c r="L33" s="148">
        <v>38.97</v>
      </c>
      <c r="M33" s="148">
        <v>1.9200000000000159</v>
      </c>
      <c r="N33" s="148">
        <v>40.890000000000015</v>
      </c>
      <c r="O33" s="148">
        <v>22</v>
      </c>
      <c r="P33" s="148">
        <v>21</v>
      </c>
      <c r="Q33" s="148">
        <v>-23</v>
      </c>
      <c r="R33" s="148">
        <v>18</v>
      </c>
      <c r="S33" s="148">
        <v>38</v>
      </c>
      <c r="T33" s="148">
        <v>-8</v>
      </c>
      <c r="U33" s="148">
        <v>11</v>
      </c>
      <c r="V33" s="148">
        <v>9</v>
      </c>
      <c r="W33" s="148">
        <v>4</v>
      </c>
      <c r="X33" s="148">
        <v>16</v>
      </c>
      <c r="Y33" s="148">
        <v>-4</v>
      </c>
      <c r="Z33" s="148">
        <v>16</v>
      </c>
      <c r="AA33" s="148">
        <v>19</v>
      </c>
      <c r="AB33" s="148">
        <v>10</v>
      </c>
      <c r="AC33" s="148">
        <v>41</v>
      </c>
      <c r="AD33" s="148">
        <v>20</v>
      </c>
      <c r="AE33" s="148">
        <v>13</v>
      </c>
      <c r="AF33" s="148">
        <v>18</v>
      </c>
      <c r="AG33" s="148">
        <v>0</v>
      </c>
      <c r="AH33" s="148">
        <v>51</v>
      </c>
      <c r="AI33" s="148">
        <v>15</v>
      </c>
      <c r="AJ33" s="148">
        <v>19</v>
      </c>
      <c r="AK33" s="148">
        <v>14</v>
      </c>
      <c r="AL33" s="148">
        <v>4</v>
      </c>
      <c r="AM33" s="148">
        <v>52</v>
      </c>
      <c r="AN33" s="148">
        <v>12</v>
      </c>
      <c r="AO33" s="148">
        <v>6</v>
      </c>
      <c r="AP33" s="148">
        <v>18</v>
      </c>
      <c r="AQ33" s="148">
        <v>16</v>
      </c>
      <c r="AR33" s="148">
        <v>34</v>
      </c>
      <c r="AS33" s="148">
        <v>4</v>
      </c>
      <c r="AT33" s="148">
        <v>38</v>
      </c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</row>
    <row r="34" spans="1:261" ht="13.9" customHeight="1">
      <c r="B34" s="20" t="s">
        <v>5</v>
      </c>
      <c r="C34" s="213"/>
      <c r="D34" s="212"/>
      <c r="E34" s="212">
        <v>-0.3229273285568065</v>
      </c>
      <c r="F34" s="212">
        <v>0.17460317460317443</v>
      </c>
      <c r="G34" s="212">
        <v>-0.43050193050193064</v>
      </c>
      <c r="H34" s="213"/>
      <c r="I34" s="212">
        <v>1.259887005649718</v>
      </c>
      <c r="J34" s="212">
        <v>-0.18399999999999994</v>
      </c>
      <c r="K34" s="212">
        <v>-0.83762254901960786</v>
      </c>
      <c r="L34" s="212"/>
      <c r="M34" s="212">
        <v>-0.27547169811320116</v>
      </c>
      <c r="N34" s="213"/>
      <c r="O34" s="212">
        <v>10.458333333333238</v>
      </c>
      <c r="P34" s="212">
        <v>-4.5454545454545414E-2</v>
      </c>
      <c r="Q34" s="216" t="s">
        <v>23</v>
      </c>
      <c r="R34" s="216" t="s">
        <v>23</v>
      </c>
      <c r="S34" s="213"/>
      <c r="T34" s="212">
        <v>-1.4444444444444444</v>
      </c>
      <c r="U34" s="212">
        <v>-2.375</v>
      </c>
      <c r="V34" s="212">
        <v>-0.18181818181818177</v>
      </c>
      <c r="W34" s="216" t="s">
        <v>23</v>
      </c>
      <c r="X34" s="213"/>
      <c r="Y34" s="21">
        <v>-2</v>
      </c>
      <c r="Z34" s="31" t="s">
        <v>23</v>
      </c>
      <c r="AA34" s="21">
        <v>0.1875</v>
      </c>
      <c r="AB34" s="31" t="s">
        <v>23</v>
      </c>
      <c r="AC34" s="213"/>
      <c r="AD34" s="21">
        <v>1</v>
      </c>
      <c r="AE34" s="21">
        <v>-0.35</v>
      </c>
      <c r="AF34" s="21">
        <v>0.38461538461538458</v>
      </c>
      <c r="AG34" s="29" t="s">
        <v>23</v>
      </c>
      <c r="AH34" s="213"/>
      <c r="AI34" s="29" t="s">
        <v>23</v>
      </c>
      <c r="AJ34" s="21">
        <v>0.26666666666666661</v>
      </c>
      <c r="AK34" s="21">
        <v>-0.26315789473684215</v>
      </c>
      <c r="AL34" s="21">
        <v>-0.7142857142857143</v>
      </c>
      <c r="AM34" s="213"/>
      <c r="AN34" s="21">
        <v>2</v>
      </c>
      <c r="AO34" s="21">
        <v>-0.5</v>
      </c>
      <c r="AP34" s="138"/>
      <c r="AQ34" s="21">
        <v>1.6666666666666665</v>
      </c>
      <c r="AR34" s="277"/>
      <c r="AS34" s="21">
        <v>-0.75</v>
      </c>
      <c r="AT34" s="213"/>
    </row>
    <row r="35" spans="1:261" ht="13.9" customHeight="1">
      <c r="B35" s="20" t="s">
        <v>6</v>
      </c>
      <c r="C35" s="213"/>
      <c r="D35" s="211"/>
      <c r="E35" s="211"/>
      <c r="F35" s="211"/>
      <c r="G35" s="211"/>
      <c r="H35" s="211">
        <v>-0.51274401159321459</v>
      </c>
      <c r="I35" s="211">
        <v>2.3541453428863823E-2</v>
      </c>
      <c r="J35" s="211">
        <v>0.23356009070294781</v>
      </c>
      <c r="K35" s="211">
        <v>-0.82947232947232952</v>
      </c>
      <c r="L35" s="211"/>
      <c r="M35" s="211">
        <v>-0.78305084745762521</v>
      </c>
      <c r="N35" s="211">
        <v>-0.28463960811756439</v>
      </c>
      <c r="O35" s="211">
        <v>0.10000000000000009</v>
      </c>
      <c r="P35" s="211">
        <v>0.28676470588235281</v>
      </c>
      <c r="Q35" s="216" t="s">
        <v>23</v>
      </c>
      <c r="R35" s="211">
        <v>8.3749999999999218</v>
      </c>
      <c r="S35" s="211">
        <v>-7.0677427243825197E-2</v>
      </c>
      <c r="T35" s="211">
        <v>-1.3636363636363638</v>
      </c>
      <c r="U35" s="211">
        <v>-0.47619047619047616</v>
      </c>
      <c r="V35" s="216" t="s">
        <v>23</v>
      </c>
      <c r="W35" s="211">
        <v>-0.77777777777777779</v>
      </c>
      <c r="X35" s="211">
        <v>-0.57894736842105265</v>
      </c>
      <c r="Y35" s="22">
        <v>-0.5</v>
      </c>
      <c r="Z35" s="22">
        <v>0.45454545454545459</v>
      </c>
      <c r="AA35" s="22">
        <v>1.1111111111111112</v>
      </c>
      <c r="AB35" s="22">
        <v>1.5</v>
      </c>
      <c r="AC35" s="211">
        <v>1.5625</v>
      </c>
      <c r="AD35" s="31" t="s">
        <v>23</v>
      </c>
      <c r="AE35" s="22">
        <v>-0.1875</v>
      </c>
      <c r="AF35" s="22">
        <v>-5.2631578947368474E-2</v>
      </c>
      <c r="AG35" s="29" t="s">
        <v>23</v>
      </c>
      <c r="AH35" s="211">
        <v>0.24390243902439024</v>
      </c>
      <c r="AI35" s="22">
        <v>-0.25</v>
      </c>
      <c r="AJ35" s="22">
        <v>0.46153846153846145</v>
      </c>
      <c r="AK35" s="22">
        <v>-0.22222222222222221</v>
      </c>
      <c r="AL35" s="29" t="s">
        <v>23</v>
      </c>
      <c r="AM35" s="211">
        <v>1.9607843137254832E-2</v>
      </c>
      <c r="AN35" s="22">
        <v>-0.19999999999999996</v>
      </c>
      <c r="AO35" s="22">
        <v>-0.68421052631578949</v>
      </c>
      <c r="AP35" s="139"/>
      <c r="AQ35" s="22">
        <v>0.14285714285714279</v>
      </c>
      <c r="AR35" s="278"/>
      <c r="AS35" s="21">
        <v>0</v>
      </c>
      <c r="AT35" s="211">
        <v>-0.26923076923076927</v>
      </c>
    </row>
    <row r="36" spans="1:261" ht="13.9" customHeight="1">
      <c r="B36" s="12" t="s">
        <v>359</v>
      </c>
      <c r="C36" s="213"/>
      <c r="D36" s="214"/>
      <c r="E36" s="214"/>
      <c r="F36" s="214"/>
      <c r="G36" s="210"/>
      <c r="H36" s="213"/>
      <c r="I36" s="214"/>
      <c r="J36" s="214"/>
      <c r="K36" s="214"/>
      <c r="L36" s="214"/>
      <c r="M36" s="210"/>
      <c r="N36" s="213"/>
      <c r="O36" s="214"/>
      <c r="P36" s="214"/>
      <c r="Q36" s="214"/>
      <c r="R36" s="210"/>
      <c r="S36" s="213"/>
      <c r="T36" s="214"/>
      <c r="U36" s="214"/>
      <c r="V36" s="214"/>
      <c r="W36" s="210"/>
      <c r="X36" s="213"/>
      <c r="Y36" s="61"/>
      <c r="Z36" s="61"/>
      <c r="AA36" s="61"/>
      <c r="AB36" s="19"/>
      <c r="AC36" s="213"/>
      <c r="AD36" s="61"/>
      <c r="AE36" s="61"/>
      <c r="AF36" s="61"/>
      <c r="AG36" s="19"/>
      <c r="AH36" s="213"/>
      <c r="AI36" s="61"/>
      <c r="AJ36" s="61"/>
      <c r="AK36" s="61"/>
      <c r="AL36" s="19"/>
      <c r="AM36" s="213"/>
      <c r="AN36" s="61"/>
      <c r="AO36" s="61"/>
      <c r="AP36" s="148"/>
      <c r="AQ36" s="61"/>
      <c r="AR36" s="279"/>
      <c r="AS36" s="19"/>
      <c r="AT36" s="213"/>
    </row>
    <row r="37" spans="1:261" ht="13.9" customHeight="1">
      <c r="B37" s="12" t="s">
        <v>306</v>
      </c>
      <c r="C37" s="213">
        <v>448</v>
      </c>
      <c r="D37" s="214">
        <v>78</v>
      </c>
      <c r="E37" s="214">
        <v>62</v>
      </c>
      <c r="F37" s="214">
        <v>82</v>
      </c>
      <c r="G37" s="210">
        <v>45</v>
      </c>
      <c r="H37" s="213">
        <v>267</v>
      </c>
      <c r="I37" s="214">
        <v>19</v>
      </c>
      <c r="J37" s="214">
        <v>73</v>
      </c>
      <c r="K37" s="214">
        <v>64</v>
      </c>
      <c r="L37" s="214">
        <v>156</v>
      </c>
      <c r="M37" s="210">
        <v>43</v>
      </c>
      <c r="N37" s="213">
        <v>199</v>
      </c>
      <c r="O37" s="214">
        <v>65</v>
      </c>
      <c r="P37" s="214">
        <v>72</v>
      </c>
      <c r="Q37" s="214">
        <v>60</v>
      </c>
      <c r="R37" s="210">
        <v>71</v>
      </c>
      <c r="S37" s="213">
        <v>268</v>
      </c>
      <c r="T37" s="214">
        <v>57</v>
      </c>
      <c r="U37" s="214">
        <v>72</v>
      </c>
      <c r="V37" s="214">
        <v>66</v>
      </c>
      <c r="W37" s="210">
        <v>56</v>
      </c>
      <c r="X37" s="213">
        <v>251</v>
      </c>
      <c r="Y37" s="61">
        <v>59</v>
      </c>
      <c r="Z37" s="61">
        <v>61</v>
      </c>
      <c r="AA37" s="61">
        <v>47</v>
      </c>
      <c r="AB37" s="19">
        <v>59</v>
      </c>
      <c r="AC37" s="213">
        <v>226</v>
      </c>
      <c r="AD37" s="61">
        <v>55</v>
      </c>
      <c r="AE37" s="61">
        <v>72</v>
      </c>
      <c r="AF37" s="61">
        <v>56</v>
      </c>
      <c r="AG37" s="19">
        <v>57</v>
      </c>
      <c r="AH37" s="213">
        <v>240</v>
      </c>
      <c r="AI37" s="61">
        <v>43</v>
      </c>
      <c r="AJ37" s="61">
        <v>38</v>
      </c>
      <c r="AK37" s="61">
        <v>35</v>
      </c>
      <c r="AL37" s="19">
        <v>46</v>
      </c>
      <c r="AM37" s="213">
        <v>162</v>
      </c>
      <c r="AN37" s="24">
        <v>40</v>
      </c>
      <c r="AO37" s="61">
        <v>55</v>
      </c>
      <c r="AP37" s="148">
        <v>95</v>
      </c>
      <c r="AQ37" s="61">
        <v>58</v>
      </c>
      <c r="AR37" s="279">
        <v>153</v>
      </c>
      <c r="AS37" s="19">
        <v>49</v>
      </c>
      <c r="AT37" s="213">
        <v>202</v>
      </c>
    </row>
    <row r="38" spans="1:261" ht="13.9" customHeight="1">
      <c r="B38" t="s">
        <v>166</v>
      </c>
      <c r="C38" s="215">
        <v>0</v>
      </c>
      <c r="D38" s="214">
        <v>2</v>
      </c>
      <c r="E38" s="214">
        <v>7</v>
      </c>
      <c r="F38" s="215">
        <v>0</v>
      </c>
      <c r="G38" s="214">
        <v>8</v>
      </c>
      <c r="H38" s="213">
        <v>17</v>
      </c>
      <c r="I38" s="214">
        <v>43</v>
      </c>
      <c r="J38" s="214">
        <v>-9</v>
      </c>
      <c r="K38" s="214">
        <v>1</v>
      </c>
      <c r="L38" s="214">
        <v>35</v>
      </c>
      <c r="M38" s="214">
        <v>7</v>
      </c>
      <c r="N38" s="213">
        <v>42</v>
      </c>
      <c r="O38" s="215">
        <v>0</v>
      </c>
      <c r="P38" s="214">
        <v>-12</v>
      </c>
      <c r="Q38" s="214">
        <v>1</v>
      </c>
      <c r="R38" s="214">
        <v>-3</v>
      </c>
      <c r="S38" s="213">
        <v>-14</v>
      </c>
      <c r="T38" s="214">
        <v>-2</v>
      </c>
      <c r="U38" s="215">
        <v>0</v>
      </c>
      <c r="V38" s="214">
        <v>1</v>
      </c>
      <c r="W38" s="214">
        <v>13</v>
      </c>
      <c r="X38" s="213">
        <v>12</v>
      </c>
      <c r="Y38" s="24">
        <v>0</v>
      </c>
      <c r="Z38" s="24">
        <v>2</v>
      </c>
      <c r="AA38" s="24">
        <v>0</v>
      </c>
      <c r="AB38" s="61">
        <v>1</v>
      </c>
      <c r="AC38" s="213">
        <v>3</v>
      </c>
      <c r="AD38" s="61">
        <v>-1</v>
      </c>
      <c r="AE38" s="24">
        <v>0</v>
      </c>
      <c r="AF38" s="61">
        <v>1</v>
      </c>
      <c r="AG38" s="61">
        <v>-3</v>
      </c>
      <c r="AH38" s="213">
        <v>-3</v>
      </c>
      <c r="AI38" s="24">
        <v>0</v>
      </c>
      <c r="AJ38" s="61">
        <v>4</v>
      </c>
      <c r="AK38" s="61">
        <v>-1</v>
      </c>
      <c r="AL38" s="19">
        <v>5</v>
      </c>
      <c r="AM38" s="213">
        <v>8</v>
      </c>
      <c r="AN38" s="24">
        <v>8</v>
      </c>
      <c r="AO38" s="61">
        <v>-1</v>
      </c>
      <c r="AP38" s="148">
        <v>7</v>
      </c>
      <c r="AQ38" s="19">
        <v>0</v>
      </c>
      <c r="AR38" s="279">
        <v>7</v>
      </c>
      <c r="AS38" s="19">
        <v>5</v>
      </c>
      <c r="AT38" s="213">
        <v>12</v>
      </c>
    </row>
    <row r="39" spans="1:261" ht="13.9" customHeight="1">
      <c r="B39" s="6" t="s">
        <v>307</v>
      </c>
      <c r="C39" s="215">
        <v>0</v>
      </c>
      <c r="D39" s="215">
        <v>0</v>
      </c>
      <c r="E39" s="215">
        <v>0</v>
      </c>
      <c r="F39" s="215">
        <v>0</v>
      </c>
      <c r="G39" s="215">
        <v>0</v>
      </c>
      <c r="H39" s="215">
        <v>0</v>
      </c>
      <c r="I39" s="215">
        <v>0</v>
      </c>
      <c r="J39" s="215">
        <v>0</v>
      </c>
      <c r="K39" s="215">
        <v>0</v>
      </c>
      <c r="L39" s="215">
        <v>0</v>
      </c>
      <c r="M39" s="215">
        <v>0</v>
      </c>
      <c r="N39" s="215">
        <v>0</v>
      </c>
      <c r="O39" s="215">
        <v>0</v>
      </c>
      <c r="P39" s="215">
        <v>0</v>
      </c>
      <c r="Q39" s="215">
        <v>0</v>
      </c>
      <c r="R39" s="215">
        <v>0</v>
      </c>
      <c r="S39" s="215">
        <v>0</v>
      </c>
      <c r="T39" s="215">
        <v>1</v>
      </c>
      <c r="U39" s="215">
        <v>1</v>
      </c>
      <c r="V39" s="214">
        <v>1</v>
      </c>
      <c r="W39" s="215">
        <v>0</v>
      </c>
      <c r="X39" s="213">
        <v>3</v>
      </c>
      <c r="Y39" s="24">
        <v>0</v>
      </c>
      <c r="Z39" s="24">
        <v>0</v>
      </c>
      <c r="AA39" s="61">
        <v>1</v>
      </c>
      <c r="AB39" s="24">
        <v>1</v>
      </c>
      <c r="AC39" s="213">
        <v>2</v>
      </c>
      <c r="AD39" s="24">
        <v>1</v>
      </c>
      <c r="AE39" s="24">
        <v>0</v>
      </c>
      <c r="AF39" s="61">
        <v>1</v>
      </c>
      <c r="AG39" s="19">
        <v>0</v>
      </c>
      <c r="AH39" s="213">
        <v>2</v>
      </c>
      <c r="AI39" s="24">
        <v>1</v>
      </c>
      <c r="AJ39" s="61">
        <v>1</v>
      </c>
      <c r="AK39" s="61">
        <v>1</v>
      </c>
      <c r="AL39" s="19">
        <v>0</v>
      </c>
      <c r="AM39" s="213">
        <v>3</v>
      </c>
      <c r="AN39" s="24">
        <v>1</v>
      </c>
      <c r="AO39" s="61">
        <v>2</v>
      </c>
      <c r="AP39" s="148">
        <v>3</v>
      </c>
      <c r="AQ39" s="61">
        <v>1</v>
      </c>
      <c r="AR39" s="279">
        <v>4</v>
      </c>
      <c r="AS39" s="19">
        <v>0</v>
      </c>
      <c r="AT39" s="213">
        <v>4</v>
      </c>
    </row>
    <row r="40" spans="1:261" s="170" customFormat="1" ht="13.9" customHeight="1">
      <c r="A40"/>
      <c r="B40" s="316" t="s">
        <v>395</v>
      </c>
      <c r="C40" s="317">
        <v>448</v>
      </c>
      <c r="D40" s="317">
        <v>80</v>
      </c>
      <c r="E40" s="317">
        <v>69</v>
      </c>
      <c r="F40" s="317">
        <v>82</v>
      </c>
      <c r="G40" s="317">
        <v>53</v>
      </c>
      <c r="H40" s="317">
        <v>284</v>
      </c>
      <c r="I40" s="317">
        <v>62</v>
      </c>
      <c r="J40" s="317">
        <v>64</v>
      </c>
      <c r="K40" s="317">
        <v>65</v>
      </c>
      <c r="L40" s="316">
        <v>191</v>
      </c>
      <c r="M40" s="317">
        <v>50</v>
      </c>
      <c r="N40" s="317">
        <v>241</v>
      </c>
      <c r="O40" s="317">
        <v>65</v>
      </c>
      <c r="P40" s="317">
        <v>60</v>
      </c>
      <c r="Q40" s="317">
        <v>61</v>
      </c>
      <c r="R40" s="317">
        <v>68</v>
      </c>
      <c r="S40" s="317">
        <v>254</v>
      </c>
      <c r="T40" s="317">
        <v>56</v>
      </c>
      <c r="U40" s="317">
        <v>73</v>
      </c>
      <c r="V40" s="317">
        <v>68</v>
      </c>
      <c r="W40" s="317">
        <v>69</v>
      </c>
      <c r="X40" s="317">
        <v>266</v>
      </c>
      <c r="Y40" s="317">
        <v>59</v>
      </c>
      <c r="Z40" s="317">
        <v>63</v>
      </c>
      <c r="AA40" s="317">
        <v>48</v>
      </c>
      <c r="AB40" s="317">
        <v>61</v>
      </c>
      <c r="AC40" s="317">
        <v>231</v>
      </c>
      <c r="AD40" s="317">
        <v>55</v>
      </c>
      <c r="AE40" s="317">
        <v>72</v>
      </c>
      <c r="AF40" s="317">
        <v>58</v>
      </c>
      <c r="AG40" s="317">
        <v>54</v>
      </c>
      <c r="AH40" s="317">
        <v>239</v>
      </c>
      <c r="AI40" s="317">
        <v>44</v>
      </c>
      <c r="AJ40" s="317">
        <v>43</v>
      </c>
      <c r="AK40" s="317">
        <v>35</v>
      </c>
      <c r="AL40" s="317">
        <v>51</v>
      </c>
      <c r="AM40" s="317">
        <v>173</v>
      </c>
      <c r="AN40" s="317">
        <v>49</v>
      </c>
      <c r="AO40" s="317">
        <v>56</v>
      </c>
      <c r="AP40" s="317">
        <v>105</v>
      </c>
      <c r="AQ40" s="317">
        <v>59</v>
      </c>
      <c r="AR40" s="317">
        <v>164</v>
      </c>
      <c r="AS40" s="317">
        <v>54</v>
      </c>
      <c r="AT40" s="317">
        <v>218</v>
      </c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</row>
    <row r="41" spans="1:261" ht="13.9" customHeight="1">
      <c r="B41" s="20" t="s">
        <v>5</v>
      </c>
      <c r="C41" s="213"/>
      <c r="D41" s="212"/>
      <c r="E41" s="212">
        <v>-0.13749999999999996</v>
      </c>
      <c r="F41" s="212">
        <v>0.18840579710144922</v>
      </c>
      <c r="G41" s="212">
        <v>-0.35365853658536583</v>
      </c>
      <c r="H41" s="213"/>
      <c r="I41" s="212">
        <v>0.16981132075471694</v>
      </c>
      <c r="J41" s="212">
        <v>3.2258064516129004E-2</v>
      </c>
      <c r="K41" s="212">
        <v>1.5625E-2</v>
      </c>
      <c r="L41" s="212"/>
      <c r="M41" s="212">
        <v>-0.23076923076923073</v>
      </c>
      <c r="N41" s="213"/>
      <c r="O41" s="212">
        <v>0.30000000000000004</v>
      </c>
      <c r="P41" s="212">
        <v>-7.6923076923076872E-2</v>
      </c>
      <c r="Q41" s="212">
        <v>1.6666666666666607E-2</v>
      </c>
      <c r="R41" s="212">
        <v>0.11475409836065564</v>
      </c>
      <c r="S41" s="213"/>
      <c r="T41" s="212">
        <v>-0.17647058823529416</v>
      </c>
      <c r="U41" s="212">
        <v>0.3035714285714286</v>
      </c>
      <c r="V41" s="212">
        <v>-6.8493150684931559E-2</v>
      </c>
      <c r="W41" s="212">
        <v>1.4705882352941124E-2</v>
      </c>
      <c r="X41" s="213"/>
      <c r="Y41" s="21">
        <v>-0.14492753623188404</v>
      </c>
      <c r="Z41" s="21">
        <v>6.7796610169491567E-2</v>
      </c>
      <c r="AA41" s="21">
        <v>-0.23809523809523814</v>
      </c>
      <c r="AB41" s="21">
        <v>0.27083333333333326</v>
      </c>
      <c r="AC41" s="213"/>
      <c r="AD41" s="21">
        <v>-9.8360655737704916E-2</v>
      </c>
      <c r="AE41" s="21">
        <v>0.30909090909090908</v>
      </c>
      <c r="AF41" s="21">
        <v>-0.19444444444444442</v>
      </c>
      <c r="AG41" s="21">
        <v>-6.8965517241379337E-2</v>
      </c>
      <c r="AH41" s="213"/>
      <c r="AI41" s="21">
        <v>-0.18518518518518523</v>
      </c>
      <c r="AJ41" s="21">
        <v>-2.2727272727272707E-2</v>
      </c>
      <c r="AK41" s="21">
        <v>-0.18604651162790697</v>
      </c>
      <c r="AL41" s="21">
        <v>0.45714285714285707</v>
      </c>
      <c r="AM41" s="213"/>
      <c r="AN41" s="21">
        <v>-3.9215686274509776E-2</v>
      </c>
      <c r="AO41" s="21">
        <v>0.14285714285714279</v>
      </c>
      <c r="AP41" s="138"/>
      <c r="AQ41" s="21">
        <v>5.3571428571428603E-2</v>
      </c>
      <c r="AR41" s="277"/>
      <c r="AS41" s="21">
        <v>-8.4745762711864403E-2</v>
      </c>
      <c r="AT41" s="213"/>
    </row>
    <row r="42" spans="1:261" ht="13.9" customHeight="1">
      <c r="B42" s="20" t="s">
        <v>6</v>
      </c>
      <c r="C42" s="213"/>
      <c r="D42" s="211"/>
      <c r="E42" s="211"/>
      <c r="F42" s="211"/>
      <c r="G42" s="211"/>
      <c r="H42" s="211">
        <v>-0.3660714285714286</v>
      </c>
      <c r="I42" s="211">
        <v>-0.22499999999999998</v>
      </c>
      <c r="J42" s="211">
        <v>-7.2463768115942018E-2</v>
      </c>
      <c r="K42" s="211">
        <v>-0.20731707317073167</v>
      </c>
      <c r="L42" s="211"/>
      <c r="M42" s="211">
        <v>-5.6603773584905648E-2</v>
      </c>
      <c r="N42" s="211">
        <v>-0.15140845070422537</v>
      </c>
      <c r="O42" s="211">
        <v>4.8387096774193505E-2</v>
      </c>
      <c r="P42" s="211">
        <v>-6.25E-2</v>
      </c>
      <c r="Q42" s="211">
        <v>-6.1538461538461542E-2</v>
      </c>
      <c r="R42" s="211">
        <v>0.3600000000000001</v>
      </c>
      <c r="S42" s="211">
        <v>5.3941908713692976E-2</v>
      </c>
      <c r="T42" s="211">
        <v>-0.13846153846153841</v>
      </c>
      <c r="U42" s="211">
        <v>0.21666666666666656</v>
      </c>
      <c r="V42" s="211">
        <v>0.11475409836065564</v>
      </c>
      <c r="W42" s="211">
        <v>1.4705882352941124E-2</v>
      </c>
      <c r="X42" s="211">
        <v>4.7244094488188892E-2</v>
      </c>
      <c r="Y42" s="22">
        <v>5.3571428571428603E-2</v>
      </c>
      <c r="Z42" s="22">
        <v>-0.13698630136986301</v>
      </c>
      <c r="AA42" s="22">
        <v>-0.29411764705882348</v>
      </c>
      <c r="AB42" s="22">
        <v>-0.11594202898550721</v>
      </c>
      <c r="AC42" s="211">
        <v>-0.13157894736842102</v>
      </c>
      <c r="AD42" s="22">
        <v>-6.7796610169491567E-2</v>
      </c>
      <c r="AE42" s="22">
        <v>0.14285714285714279</v>
      </c>
      <c r="AF42" s="22">
        <v>0.20833333333333326</v>
      </c>
      <c r="AG42" s="21">
        <v>-0.11475409836065575</v>
      </c>
      <c r="AH42" s="211">
        <v>3.463203463203457E-2</v>
      </c>
      <c r="AI42" s="22">
        <v>-0.19999999999999996</v>
      </c>
      <c r="AJ42" s="22">
        <v>-0.40277777777777779</v>
      </c>
      <c r="AK42" s="22">
        <v>-0.39655172413793105</v>
      </c>
      <c r="AL42" s="21">
        <v>-5.555555555555558E-2</v>
      </c>
      <c r="AM42" s="211">
        <v>-0.27615062761506282</v>
      </c>
      <c r="AN42" s="22">
        <v>0.11363636363636354</v>
      </c>
      <c r="AO42" s="22">
        <v>0.30232558139534893</v>
      </c>
      <c r="AP42" s="139"/>
      <c r="AQ42" s="22">
        <v>0.68571428571428572</v>
      </c>
      <c r="AR42" s="278"/>
      <c r="AS42" s="21">
        <v>5.8823529411764719E-2</v>
      </c>
      <c r="AT42" s="211">
        <v>0.26011560693641611</v>
      </c>
    </row>
    <row r="43" spans="1:261" ht="13.9" customHeight="1">
      <c r="B43" t="s">
        <v>365</v>
      </c>
      <c r="C43" s="245">
        <v>0.27151515151515154</v>
      </c>
      <c r="D43" s="246">
        <v>0.21333333333333335</v>
      </c>
      <c r="E43" s="246">
        <v>0.184</v>
      </c>
      <c r="F43" s="246">
        <v>0.22343324250681199</v>
      </c>
      <c r="G43" s="246">
        <v>0.14887640449438203</v>
      </c>
      <c r="H43" s="245">
        <v>0.19280380176510523</v>
      </c>
      <c r="I43" s="246">
        <v>0.18075801749271136</v>
      </c>
      <c r="J43" s="246">
        <v>0.18991097922848665</v>
      </c>
      <c r="K43" s="246">
        <v>0.19461077844311378</v>
      </c>
      <c r="L43" s="246" t="e">
        <v>#REF!</v>
      </c>
      <c r="M43" s="246">
        <v>0.15105740181268881</v>
      </c>
      <c r="N43" s="245">
        <v>0.17918215613382898</v>
      </c>
      <c r="O43" s="246">
        <v>0.19230769230769232</v>
      </c>
      <c r="P43" s="246">
        <v>0.18808777429467086</v>
      </c>
      <c r="Q43" s="246">
        <v>0.19488817891373802</v>
      </c>
      <c r="R43" s="246">
        <v>0.21451104100946372</v>
      </c>
      <c r="S43" s="245">
        <v>0.19735819735819735</v>
      </c>
      <c r="T43" s="246">
        <v>0.17777777777777778</v>
      </c>
      <c r="U43" s="246">
        <v>0.23174603174603176</v>
      </c>
      <c r="V43" s="246">
        <v>0.21383647798742139</v>
      </c>
      <c r="W43" s="246">
        <v>0.21428571428571427</v>
      </c>
      <c r="X43" s="245">
        <v>0.20944881889763781</v>
      </c>
      <c r="Y43" s="109">
        <v>0.18670886075949367</v>
      </c>
      <c r="Z43" s="109">
        <v>0.19936708860759494</v>
      </c>
      <c r="AA43" s="109">
        <v>0.15238095238095239</v>
      </c>
      <c r="AB43" s="109">
        <v>0.18484848484848485</v>
      </c>
      <c r="AC43" s="245">
        <v>0.18089271730618636</v>
      </c>
      <c r="AD43" s="109">
        <v>0.16717325227963525</v>
      </c>
      <c r="AE43" s="109">
        <v>0.21428571428571427</v>
      </c>
      <c r="AF43" s="109">
        <v>0.17682926829268292</v>
      </c>
      <c r="AG43" s="109">
        <v>0.17088607594936708</v>
      </c>
      <c r="AH43" s="245">
        <v>0.18258212375859434</v>
      </c>
      <c r="AI43" s="109">
        <v>0.13968253968253969</v>
      </c>
      <c r="AJ43" s="109">
        <v>0.13607594936708861</v>
      </c>
      <c r="AK43" s="109">
        <v>0.11041009463722397</v>
      </c>
      <c r="AL43" s="109">
        <v>0.16088328075709779</v>
      </c>
      <c r="AM43" s="245">
        <v>0.1367588932806324</v>
      </c>
      <c r="AN43" s="109">
        <v>0.15360501567398119</v>
      </c>
      <c r="AO43" s="109">
        <v>0.17499999999999999</v>
      </c>
      <c r="AP43" s="154">
        <v>0.16431924882629109</v>
      </c>
      <c r="AQ43" s="109">
        <v>0.18380062305295949</v>
      </c>
      <c r="AR43" s="313">
        <v>0.17083333333333334</v>
      </c>
      <c r="AS43" s="109">
        <v>0.1588235294117647</v>
      </c>
      <c r="AT43" s="245">
        <v>0.1676923076923077</v>
      </c>
    </row>
    <row r="44" spans="1:261" ht="13.9" customHeight="1">
      <c r="C44" s="245"/>
      <c r="D44" s="246"/>
      <c r="E44" s="246"/>
      <c r="F44" s="246"/>
      <c r="G44" s="246"/>
      <c r="H44" s="245"/>
      <c r="I44" s="246"/>
      <c r="J44" s="246"/>
      <c r="K44" s="246"/>
      <c r="L44" s="246"/>
      <c r="M44" s="246"/>
      <c r="N44" s="245"/>
      <c r="O44" s="246"/>
      <c r="P44" s="246"/>
      <c r="Q44" s="246"/>
      <c r="R44" s="246"/>
      <c r="S44" s="245"/>
      <c r="T44" s="246"/>
      <c r="U44" s="246"/>
      <c r="V44" s="246"/>
      <c r="W44" s="246"/>
      <c r="X44" s="245"/>
      <c r="Y44" s="109"/>
      <c r="Z44" s="109"/>
      <c r="AA44" s="109"/>
      <c r="AB44" s="109"/>
      <c r="AC44" s="245"/>
      <c r="AD44" s="109"/>
      <c r="AE44" s="109"/>
      <c r="AF44" s="109"/>
      <c r="AG44" s="109"/>
      <c r="AH44" s="245"/>
      <c r="AI44" s="109"/>
      <c r="AJ44" s="109"/>
      <c r="AK44" s="109"/>
      <c r="AL44" s="109"/>
      <c r="AM44" s="245"/>
      <c r="AN44" s="109"/>
      <c r="AO44" s="109"/>
      <c r="AP44" s="154"/>
      <c r="AQ44" s="109"/>
      <c r="AR44" s="313"/>
      <c r="AS44" s="109"/>
      <c r="AT44" s="245"/>
    </row>
    <row r="45" spans="1:261" ht="13.9" customHeight="1">
      <c r="B45" s="12" t="s">
        <v>319</v>
      </c>
      <c r="C45" s="213">
        <v>-244</v>
      </c>
      <c r="D45" s="214">
        <v>1</v>
      </c>
      <c r="E45" s="214">
        <v>-10</v>
      </c>
      <c r="F45" s="214">
        <v>-2</v>
      </c>
      <c r="G45" s="214">
        <v>-37</v>
      </c>
      <c r="H45" s="213">
        <v>-48</v>
      </c>
      <c r="I45" s="214">
        <v>-64</v>
      </c>
      <c r="J45" s="214">
        <v>-11</v>
      </c>
      <c r="K45" s="214">
        <v>-34</v>
      </c>
      <c r="L45" s="214">
        <v>-109</v>
      </c>
      <c r="M45" s="214">
        <v>-40</v>
      </c>
      <c r="N45" s="213">
        <v>-149</v>
      </c>
      <c r="O45" s="214">
        <v>-6</v>
      </c>
      <c r="P45" s="214">
        <v>-11</v>
      </c>
      <c r="Q45" s="214">
        <v>-18</v>
      </c>
      <c r="R45" s="214">
        <v>-22</v>
      </c>
      <c r="S45" s="213">
        <v>-57</v>
      </c>
      <c r="T45" s="214">
        <v>-12</v>
      </c>
      <c r="U45" s="214">
        <v>-7</v>
      </c>
      <c r="V45" s="214">
        <v>-12</v>
      </c>
      <c r="W45" s="214">
        <v>-12</v>
      </c>
      <c r="X45" s="213">
        <v>-43</v>
      </c>
      <c r="Y45" s="61">
        <v>-7</v>
      </c>
      <c r="Z45" s="61">
        <v>-3</v>
      </c>
      <c r="AA45" s="61">
        <v>-22</v>
      </c>
      <c r="AB45" s="61">
        <v>-11</v>
      </c>
      <c r="AC45" s="213">
        <v>-43</v>
      </c>
      <c r="AD45" s="24">
        <v>0</v>
      </c>
      <c r="AE45" s="61">
        <v>17</v>
      </c>
      <c r="AF45" s="61">
        <v>-1</v>
      </c>
      <c r="AG45" s="61">
        <v>-12</v>
      </c>
      <c r="AH45" s="213">
        <v>4</v>
      </c>
      <c r="AI45" s="61">
        <v>-14</v>
      </c>
      <c r="AJ45" s="61">
        <v>-18</v>
      </c>
      <c r="AK45" s="61">
        <v>-30</v>
      </c>
      <c r="AL45" s="19">
        <v>-21</v>
      </c>
      <c r="AM45" s="213">
        <v>-83</v>
      </c>
      <c r="AN45" s="61">
        <v>-14</v>
      </c>
      <c r="AO45" s="61">
        <v>-23</v>
      </c>
      <c r="AP45" s="148">
        <v>-37</v>
      </c>
      <c r="AQ45" s="61">
        <v>-2</v>
      </c>
      <c r="AR45" s="279">
        <v>-39</v>
      </c>
      <c r="AS45" s="61">
        <v>-19</v>
      </c>
      <c r="AT45" s="213">
        <v>-58</v>
      </c>
    </row>
    <row r="46" spans="1:261" ht="13.9" customHeight="1">
      <c r="B46" t="s">
        <v>166</v>
      </c>
      <c r="C46" s="215">
        <v>0</v>
      </c>
      <c r="D46" s="214">
        <v>2</v>
      </c>
      <c r="E46" s="214">
        <v>7</v>
      </c>
      <c r="F46" s="215">
        <v>0</v>
      </c>
      <c r="G46" s="214">
        <v>8</v>
      </c>
      <c r="H46" s="213">
        <v>17</v>
      </c>
      <c r="I46" s="214">
        <v>43</v>
      </c>
      <c r="J46" s="214">
        <v>-9</v>
      </c>
      <c r="K46" s="214">
        <v>1</v>
      </c>
      <c r="L46" s="214">
        <v>35</v>
      </c>
      <c r="M46" s="214">
        <v>7</v>
      </c>
      <c r="N46" s="213">
        <v>42</v>
      </c>
      <c r="O46" s="215">
        <v>0</v>
      </c>
      <c r="P46" s="214">
        <v>-12</v>
      </c>
      <c r="Q46" s="214">
        <v>1</v>
      </c>
      <c r="R46" s="214">
        <v>-3</v>
      </c>
      <c r="S46" s="213">
        <v>-14</v>
      </c>
      <c r="T46" s="214">
        <v>-2</v>
      </c>
      <c r="U46" s="215">
        <v>0</v>
      </c>
      <c r="V46" s="215">
        <v>1</v>
      </c>
      <c r="W46" s="214">
        <v>13</v>
      </c>
      <c r="X46" s="213">
        <v>12</v>
      </c>
      <c r="Y46" s="24">
        <v>0</v>
      </c>
      <c r="Z46" s="24">
        <v>2</v>
      </c>
      <c r="AA46" s="24">
        <v>0</v>
      </c>
      <c r="AB46" s="24">
        <v>1</v>
      </c>
      <c r="AC46" s="213">
        <v>3</v>
      </c>
      <c r="AD46" s="61">
        <v>-1</v>
      </c>
      <c r="AE46" s="24">
        <v>0</v>
      </c>
      <c r="AF46" s="61">
        <v>1</v>
      </c>
      <c r="AG46" s="61">
        <v>-3</v>
      </c>
      <c r="AH46" s="213">
        <v>-3</v>
      </c>
      <c r="AI46" s="24">
        <v>0</v>
      </c>
      <c r="AJ46" s="24">
        <v>4</v>
      </c>
      <c r="AK46" s="61">
        <v>-1</v>
      </c>
      <c r="AL46" s="19">
        <v>5</v>
      </c>
      <c r="AM46" s="213">
        <v>8</v>
      </c>
      <c r="AN46" s="24">
        <v>8</v>
      </c>
      <c r="AO46" s="61">
        <v>-1</v>
      </c>
      <c r="AP46" s="148">
        <v>7</v>
      </c>
      <c r="AQ46" s="19">
        <v>0</v>
      </c>
      <c r="AR46" s="279">
        <v>7</v>
      </c>
      <c r="AS46" s="19">
        <v>5</v>
      </c>
      <c r="AT46" s="213">
        <v>12</v>
      </c>
    </row>
    <row r="47" spans="1:261" ht="13.9" customHeight="1">
      <c r="B47" s="6" t="s">
        <v>307</v>
      </c>
      <c r="C47" s="215">
        <v>0</v>
      </c>
      <c r="D47" s="215">
        <v>0</v>
      </c>
      <c r="E47" s="215">
        <v>0</v>
      </c>
      <c r="F47" s="215">
        <v>0</v>
      </c>
      <c r="G47" s="215">
        <v>0</v>
      </c>
      <c r="H47" s="215">
        <v>0</v>
      </c>
      <c r="I47" s="215">
        <v>0</v>
      </c>
      <c r="J47" s="215">
        <v>0</v>
      </c>
      <c r="K47" s="215">
        <v>0</v>
      </c>
      <c r="L47" s="215">
        <v>0</v>
      </c>
      <c r="M47" s="215">
        <v>0</v>
      </c>
      <c r="N47" s="215">
        <v>0</v>
      </c>
      <c r="O47" s="215">
        <v>0</v>
      </c>
      <c r="P47" s="215">
        <v>0</v>
      </c>
      <c r="Q47" s="215">
        <v>0</v>
      </c>
      <c r="R47" s="215">
        <v>0</v>
      </c>
      <c r="S47" s="215">
        <v>0</v>
      </c>
      <c r="T47" s="215">
        <v>1</v>
      </c>
      <c r="U47" s="215">
        <v>1</v>
      </c>
      <c r="V47" s="215">
        <v>1</v>
      </c>
      <c r="W47" s="215">
        <v>0</v>
      </c>
      <c r="X47" s="213">
        <v>3</v>
      </c>
      <c r="Y47" s="24">
        <v>0</v>
      </c>
      <c r="Z47" s="24">
        <v>0</v>
      </c>
      <c r="AA47" s="24">
        <v>1</v>
      </c>
      <c r="AB47" s="24">
        <v>1</v>
      </c>
      <c r="AC47" s="213">
        <v>2</v>
      </c>
      <c r="AD47" s="24">
        <v>1</v>
      </c>
      <c r="AE47" s="24">
        <v>0</v>
      </c>
      <c r="AF47" s="61">
        <v>1</v>
      </c>
      <c r="AG47" s="19">
        <v>0</v>
      </c>
      <c r="AH47" s="213">
        <v>2</v>
      </c>
      <c r="AI47" s="24">
        <v>1</v>
      </c>
      <c r="AJ47" s="24">
        <v>1</v>
      </c>
      <c r="AK47" s="61">
        <v>1</v>
      </c>
      <c r="AL47" s="19">
        <v>0</v>
      </c>
      <c r="AM47" s="213">
        <v>3</v>
      </c>
      <c r="AN47" s="24">
        <v>1</v>
      </c>
      <c r="AO47" s="24">
        <v>2</v>
      </c>
      <c r="AP47" s="148">
        <v>3</v>
      </c>
      <c r="AQ47" s="61">
        <v>1</v>
      </c>
      <c r="AR47" s="279">
        <v>4</v>
      </c>
      <c r="AS47" s="19">
        <v>0</v>
      </c>
      <c r="AT47" s="213">
        <v>4</v>
      </c>
    </row>
    <row r="48" spans="1:261" s="170" customFormat="1" ht="13.9" customHeight="1">
      <c r="A48"/>
      <c r="B48" s="316" t="s">
        <v>396</v>
      </c>
      <c r="C48" s="317">
        <v>-244</v>
      </c>
      <c r="D48" s="317">
        <v>3</v>
      </c>
      <c r="E48" s="317">
        <v>-3</v>
      </c>
      <c r="F48" s="317">
        <v>-2</v>
      </c>
      <c r="G48" s="317">
        <v>-29</v>
      </c>
      <c r="H48" s="317">
        <v>-31</v>
      </c>
      <c r="I48" s="317">
        <v>-21</v>
      </c>
      <c r="J48" s="317">
        <v>-20</v>
      </c>
      <c r="K48" s="317">
        <v>-33</v>
      </c>
      <c r="L48" s="317">
        <v>-74</v>
      </c>
      <c r="M48" s="317">
        <v>-33</v>
      </c>
      <c r="N48" s="317">
        <v>-107</v>
      </c>
      <c r="O48" s="317">
        <v>-6</v>
      </c>
      <c r="P48" s="317">
        <v>-23</v>
      </c>
      <c r="Q48" s="317">
        <v>-17</v>
      </c>
      <c r="R48" s="317">
        <v>-25</v>
      </c>
      <c r="S48" s="317">
        <v>-71</v>
      </c>
      <c r="T48" s="317">
        <v>-13</v>
      </c>
      <c r="U48" s="317">
        <v>-6</v>
      </c>
      <c r="V48" s="317">
        <v>-10</v>
      </c>
      <c r="W48" s="317">
        <v>1</v>
      </c>
      <c r="X48" s="317">
        <v>-28</v>
      </c>
      <c r="Y48" s="317">
        <v>-7</v>
      </c>
      <c r="Z48" s="317">
        <v>-1</v>
      </c>
      <c r="AA48" s="317">
        <v>-21</v>
      </c>
      <c r="AB48" s="317">
        <v>-9</v>
      </c>
      <c r="AC48" s="317">
        <v>-38</v>
      </c>
      <c r="AD48" s="317">
        <v>0</v>
      </c>
      <c r="AE48" s="317">
        <v>17</v>
      </c>
      <c r="AF48" s="317">
        <v>1</v>
      </c>
      <c r="AG48" s="317">
        <v>-15</v>
      </c>
      <c r="AH48" s="317">
        <v>3</v>
      </c>
      <c r="AI48" s="317">
        <v>-13</v>
      </c>
      <c r="AJ48" s="317">
        <v>-13</v>
      </c>
      <c r="AK48" s="317">
        <v>-30</v>
      </c>
      <c r="AL48" s="317">
        <v>-16</v>
      </c>
      <c r="AM48" s="317">
        <v>-72</v>
      </c>
      <c r="AN48" s="317">
        <v>-5</v>
      </c>
      <c r="AO48" s="317">
        <v>-22</v>
      </c>
      <c r="AP48" s="317">
        <v>-27</v>
      </c>
      <c r="AQ48" s="317">
        <v>-1</v>
      </c>
      <c r="AR48" s="317">
        <v>-28</v>
      </c>
      <c r="AS48" s="317">
        <v>-14</v>
      </c>
      <c r="AT48" s="317">
        <v>-42</v>
      </c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</row>
    <row r="49" spans="1:188" ht="13.9" customHeight="1">
      <c r="B49" s="20" t="s">
        <v>5</v>
      </c>
      <c r="C49" s="213"/>
      <c r="D49" s="212"/>
      <c r="E49" s="216" t="s">
        <v>23</v>
      </c>
      <c r="F49" s="212">
        <v>-0.33333333333333337</v>
      </c>
      <c r="G49" s="212">
        <v>13.5</v>
      </c>
      <c r="H49" s="213"/>
      <c r="I49" s="212">
        <v>-0.27586206896551724</v>
      </c>
      <c r="J49" s="212">
        <v>-4.7619047619047672E-2</v>
      </c>
      <c r="K49" s="212">
        <v>0.64999999999999991</v>
      </c>
      <c r="L49" s="212"/>
      <c r="M49" s="212">
        <v>0</v>
      </c>
      <c r="N49" s="213"/>
      <c r="O49" s="212">
        <v>-0.81818181818181812</v>
      </c>
      <c r="P49" s="212">
        <v>2.8333333333333335</v>
      </c>
      <c r="Q49" s="212">
        <v>-0.26086956521739135</v>
      </c>
      <c r="R49" s="212">
        <v>0.47058823529411775</v>
      </c>
      <c r="S49" s="213"/>
      <c r="T49" s="212">
        <v>-0.48</v>
      </c>
      <c r="U49" s="212">
        <v>-0.53846153846153844</v>
      </c>
      <c r="V49" s="212">
        <v>0.66666666666666674</v>
      </c>
      <c r="W49" s="212">
        <v>-1.1000000000000001</v>
      </c>
      <c r="X49" s="213"/>
      <c r="Y49" s="29" t="s">
        <v>23</v>
      </c>
      <c r="Z49" s="21">
        <v>-0.85714285714285721</v>
      </c>
      <c r="AA49" s="21">
        <v>20</v>
      </c>
      <c r="AB49" s="21">
        <v>-0.5714285714285714</v>
      </c>
      <c r="AC49" s="213"/>
      <c r="AD49" s="29" t="s">
        <v>23</v>
      </c>
      <c r="AE49" s="29" t="s">
        <v>23</v>
      </c>
      <c r="AF49" s="21">
        <v>-0.94117647058823528</v>
      </c>
      <c r="AG49" s="29" t="s">
        <v>23</v>
      </c>
      <c r="AH49" s="213"/>
      <c r="AI49" s="21">
        <v>-0.1333333333333333</v>
      </c>
      <c r="AJ49" s="21">
        <v>0</v>
      </c>
      <c r="AK49" s="21">
        <v>1.3076923076923075</v>
      </c>
      <c r="AL49" s="21">
        <v>-0.46666666666666667</v>
      </c>
      <c r="AM49" s="213"/>
      <c r="AN49" s="21">
        <v>-0.6875</v>
      </c>
      <c r="AO49" s="21">
        <v>3.4000000000000004</v>
      </c>
      <c r="AP49" s="138"/>
      <c r="AQ49" s="21">
        <v>-0.95454545454545459</v>
      </c>
      <c r="AR49" s="277"/>
      <c r="AS49" s="21">
        <v>13</v>
      </c>
      <c r="AT49" s="213"/>
    </row>
    <row r="50" spans="1:188" ht="13.9" customHeight="1">
      <c r="B50" s="20" t="s">
        <v>6</v>
      </c>
      <c r="C50" s="213"/>
      <c r="D50" s="211"/>
      <c r="E50" s="211"/>
      <c r="F50" s="211"/>
      <c r="G50" s="211"/>
      <c r="H50" s="211">
        <v>-0.87295081967213117</v>
      </c>
      <c r="I50" s="211">
        <v>-8</v>
      </c>
      <c r="J50" s="211">
        <v>5.666666666666667</v>
      </c>
      <c r="K50" s="211">
        <v>15.5</v>
      </c>
      <c r="L50" s="211"/>
      <c r="M50" s="211">
        <v>0.13793103448275867</v>
      </c>
      <c r="N50" s="211">
        <v>2.4516129032258065</v>
      </c>
      <c r="O50" s="211">
        <v>-0.7142857142857143</v>
      </c>
      <c r="P50" s="211">
        <v>0.14999999999999991</v>
      </c>
      <c r="Q50" s="211">
        <v>-0.48484848484848486</v>
      </c>
      <c r="R50" s="211">
        <v>-0.24242424242424243</v>
      </c>
      <c r="S50" s="211">
        <v>-0.33644859813084116</v>
      </c>
      <c r="T50" s="211">
        <v>1.1666666666666665</v>
      </c>
      <c r="U50" s="211">
        <v>-0.73913043478260865</v>
      </c>
      <c r="V50" s="211">
        <v>-0.41176470588235292</v>
      </c>
      <c r="W50" s="211">
        <v>-1.04</v>
      </c>
      <c r="X50" s="211">
        <v>-0.60563380281690149</v>
      </c>
      <c r="Y50" s="22">
        <v>-0.46153846153846156</v>
      </c>
      <c r="Z50" s="22">
        <v>-0.83333333333333337</v>
      </c>
      <c r="AA50" s="22">
        <v>1.1000000000000001</v>
      </c>
      <c r="AB50" s="29" t="s">
        <v>23</v>
      </c>
      <c r="AC50" s="211">
        <v>0.35714285714285721</v>
      </c>
      <c r="AD50" s="29" t="s">
        <v>23</v>
      </c>
      <c r="AE50" s="29" t="s">
        <v>23</v>
      </c>
      <c r="AF50" s="29" t="s">
        <v>23</v>
      </c>
      <c r="AG50" s="21">
        <v>0.66666666666666674</v>
      </c>
      <c r="AH50" s="217" t="s">
        <v>23</v>
      </c>
      <c r="AI50" s="29" t="s">
        <v>23</v>
      </c>
      <c r="AJ50" s="22">
        <v>-1.7647058823529411</v>
      </c>
      <c r="AK50" s="22">
        <v>-31</v>
      </c>
      <c r="AL50" s="21">
        <v>6.6666666666666652E-2</v>
      </c>
      <c r="AM50" s="217" t="s">
        <v>23</v>
      </c>
      <c r="AN50" s="22">
        <v>-0.61538461538461542</v>
      </c>
      <c r="AO50" s="22">
        <v>0.69230769230769229</v>
      </c>
      <c r="AP50" s="139"/>
      <c r="AQ50" s="22">
        <v>-0.96666666666666667</v>
      </c>
      <c r="AR50" s="278"/>
      <c r="AS50" s="21">
        <v>-0.125</v>
      </c>
      <c r="AT50" s="211">
        <v>-0.41666666666666663</v>
      </c>
    </row>
    <row r="51" spans="1:188" ht="13.9" customHeight="1">
      <c r="B51" s="12" t="s">
        <v>360</v>
      </c>
      <c r="C51" s="213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2"/>
      <c r="Z51" s="22"/>
      <c r="AA51" s="22"/>
      <c r="AB51" s="22"/>
      <c r="AC51" s="211"/>
      <c r="AD51" s="22"/>
      <c r="AE51" s="22"/>
      <c r="AF51" s="22"/>
      <c r="AG51" s="22"/>
      <c r="AH51" s="211"/>
      <c r="AI51" s="22"/>
      <c r="AJ51" s="22"/>
      <c r="AK51" s="22"/>
      <c r="AL51" s="22"/>
      <c r="AM51" s="211"/>
      <c r="AN51" s="22"/>
      <c r="AO51" s="22"/>
      <c r="AP51" s="139"/>
      <c r="AQ51" s="22"/>
      <c r="AR51" s="278"/>
      <c r="AS51" s="22"/>
      <c r="AT51" s="211"/>
    </row>
    <row r="52" spans="1:188" ht="13.9" customHeight="1">
      <c r="B52" s="12" t="s">
        <v>364</v>
      </c>
      <c r="C52" s="213">
        <v>448</v>
      </c>
      <c r="D52" s="214">
        <v>78</v>
      </c>
      <c r="E52" s="214">
        <v>62</v>
      </c>
      <c r="F52" s="214">
        <v>82</v>
      </c>
      <c r="G52" s="214">
        <v>-1055</v>
      </c>
      <c r="H52" s="213">
        <v>-833</v>
      </c>
      <c r="I52" s="214">
        <v>10</v>
      </c>
      <c r="J52" s="214">
        <v>44</v>
      </c>
      <c r="K52" s="214">
        <v>70</v>
      </c>
      <c r="L52" s="214" t="e">
        <v>#REF!</v>
      </c>
      <c r="M52" s="214">
        <v>40</v>
      </c>
      <c r="N52" s="213">
        <v>164</v>
      </c>
      <c r="O52" s="214">
        <v>53</v>
      </c>
      <c r="P52" s="214">
        <v>73</v>
      </c>
      <c r="Q52" s="214">
        <v>68</v>
      </c>
      <c r="R52" s="214">
        <v>48</v>
      </c>
      <c r="S52" s="213">
        <v>242</v>
      </c>
      <c r="T52" s="214">
        <v>55</v>
      </c>
      <c r="U52" s="214">
        <v>67</v>
      </c>
      <c r="V52" s="214">
        <v>75</v>
      </c>
      <c r="W52" s="214">
        <v>38</v>
      </c>
      <c r="X52" s="213">
        <v>235</v>
      </c>
      <c r="Y52" s="61">
        <v>60</v>
      </c>
      <c r="Z52" s="61">
        <v>44</v>
      </c>
      <c r="AA52" s="61">
        <v>46</v>
      </c>
      <c r="AB52" s="61">
        <v>57</v>
      </c>
      <c r="AC52" s="213">
        <v>207</v>
      </c>
      <c r="AD52" s="61">
        <v>50</v>
      </c>
      <c r="AE52" s="61">
        <v>72</v>
      </c>
      <c r="AF52" s="61">
        <v>76</v>
      </c>
      <c r="AG52" s="19">
        <v>62</v>
      </c>
      <c r="AH52" s="213">
        <v>260</v>
      </c>
      <c r="AI52" s="61">
        <v>40</v>
      </c>
      <c r="AJ52" s="61">
        <v>36</v>
      </c>
      <c r="AK52" s="61">
        <v>43</v>
      </c>
      <c r="AL52" s="19">
        <v>76</v>
      </c>
      <c r="AM52" s="213">
        <v>195</v>
      </c>
      <c r="AN52" s="61">
        <v>37</v>
      </c>
      <c r="AO52" s="61">
        <v>147</v>
      </c>
      <c r="AP52" s="145">
        <v>184</v>
      </c>
      <c r="AQ52" s="61">
        <v>160</v>
      </c>
      <c r="AR52" s="279">
        <v>344</v>
      </c>
      <c r="AS52" s="19">
        <v>123</v>
      </c>
      <c r="AT52" s="213">
        <v>467</v>
      </c>
    </row>
    <row r="53" spans="1:188" ht="13.9" customHeight="1">
      <c r="B53" t="s">
        <v>166</v>
      </c>
      <c r="C53" s="215">
        <v>0</v>
      </c>
      <c r="D53" s="214">
        <v>2</v>
      </c>
      <c r="E53" s="214">
        <v>7</v>
      </c>
      <c r="F53" s="215">
        <v>0</v>
      </c>
      <c r="G53" s="214">
        <v>1108</v>
      </c>
      <c r="H53" s="215">
        <v>1117</v>
      </c>
      <c r="I53" s="214">
        <v>43</v>
      </c>
      <c r="J53" s="214">
        <v>-9</v>
      </c>
      <c r="K53" s="215">
        <v>1</v>
      </c>
      <c r="L53" s="214" t="e">
        <v>#REF!</v>
      </c>
      <c r="M53" s="215">
        <v>7</v>
      </c>
      <c r="N53" s="215">
        <v>42</v>
      </c>
      <c r="O53" s="215">
        <v>0</v>
      </c>
      <c r="P53" s="214">
        <v>-12</v>
      </c>
      <c r="Q53" s="215">
        <v>0</v>
      </c>
      <c r="R53" s="214">
        <v>-3</v>
      </c>
      <c r="S53" s="213">
        <v>-15</v>
      </c>
      <c r="T53" s="214">
        <v>-2</v>
      </c>
      <c r="U53" s="214">
        <v>0</v>
      </c>
      <c r="V53" s="215">
        <v>1</v>
      </c>
      <c r="W53" s="214">
        <v>13</v>
      </c>
      <c r="X53" s="213">
        <v>12</v>
      </c>
      <c r="Y53" s="24">
        <v>0</v>
      </c>
      <c r="Z53" s="61">
        <v>2</v>
      </c>
      <c r="AA53" s="24">
        <v>0</v>
      </c>
      <c r="AB53" s="61">
        <v>1</v>
      </c>
      <c r="AC53" s="213">
        <v>3</v>
      </c>
      <c r="AD53" s="61">
        <v>-1</v>
      </c>
      <c r="AE53" s="24">
        <v>0</v>
      </c>
      <c r="AF53" s="61">
        <v>-1</v>
      </c>
      <c r="AG53" s="61">
        <v>-3</v>
      </c>
      <c r="AH53" s="213">
        <v>-5</v>
      </c>
      <c r="AI53" s="24">
        <v>0</v>
      </c>
      <c r="AJ53" s="24">
        <v>4</v>
      </c>
      <c r="AK53" s="61">
        <v>-1</v>
      </c>
      <c r="AL53" s="19">
        <v>5</v>
      </c>
      <c r="AM53" s="213">
        <v>8</v>
      </c>
      <c r="AN53" s="24">
        <v>8</v>
      </c>
      <c r="AO53" s="61">
        <v>-1</v>
      </c>
      <c r="AP53" s="148">
        <v>7</v>
      </c>
      <c r="AQ53" s="19">
        <v>0</v>
      </c>
      <c r="AR53" s="279">
        <v>7</v>
      </c>
      <c r="AS53" s="19">
        <v>5</v>
      </c>
      <c r="AT53" s="213">
        <v>12</v>
      </c>
    </row>
    <row r="54" spans="1:188" ht="13.9" customHeight="1">
      <c r="B54" s="6" t="s">
        <v>307</v>
      </c>
      <c r="C54" s="215">
        <v>0</v>
      </c>
      <c r="D54" s="215">
        <v>0</v>
      </c>
      <c r="E54" s="215">
        <v>0</v>
      </c>
      <c r="F54" s="215">
        <v>0</v>
      </c>
      <c r="G54" s="215">
        <v>0</v>
      </c>
      <c r="H54" s="215">
        <v>0</v>
      </c>
      <c r="I54" s="215">
        <v>0</v>
      </c>
      <c r="J54" s="215">
        <v>0</v>
      </c>
      <c r="K54" s="215">
        <v>0</v>
      </c>
      <c r="L54" s="215">
        <v>0</v>
      </c>
      <c r="M54" s="215">
        <v>0</v>
      </c>
      <c r="N54" s="215">
        <v>0</v>
      </c>
      <c r="O54" s="215">
        <v>0</v>
      </c>
      <c r="P54" s="215">
        <v>0</v>
      </c>
      <c r="Q54" s="215">
        <v>0</v>
      </c>
      <c r="R54" s="215">
        <v>0</v>
      </c>
      <c r="S54" s="215">
        <v>0</v>
      </c>
      <c r="T54" s="215">
        <v>1</v>
      </c>
      <c r="U54" s="215">
        <v>1</v>
      </c>
      <c r="V54" s="215">
        <v>1</v>
      </c>
      <c r="W54" s="215">
        <v>0</v>
      </c>
      <c r="X54" s="213">
        <v>3</v>
      </c>
      <c r="Y54" s="24">
        <v>0</v>
      </c>
      <c r="Z54" s="24">
        <v>0</v>
      </c>
      <c r="AA54" s="24">
        <v>1</v>
      </c>
      <c r="AB54" s="61">
        <v>1</v>
      </c>
      <c r="AC54" s="213">
        <v>2</v>
      </c>
      <c r="AD54" s="24">
        <v>1</v>
      </c>
      <c r="AE54" s="24">
        <v>0</v>
      </c>
      <c r="AF54" s="24">
        <v>1</v>
      </c>
      <c r="AG54" s="19">
        <v>0</v>
      </c>
      <c r="AH54" s="213">
        <v>2</v>
      </c>
      <c r="AI54" s="24">
        <v>1</v>
      </c>
      <c r="AJ54" s="24">
        <v>1</v>
      </c>
      <c r="AK54" s="24">
        <v>1</v>
      </c>
      <c r="AL54" s="19">
        <v>0</v>
      </c>
      <c r="AM54" s="213">
        <v>3</v>
      </c>
      <c r="AN54" s="24">
        <v>1</v>
      </c>
      <c r="AO54" s="24">
        <v>2</v>
      </c>
      <c r="AP54" s="148">
        <v>3</v>
      </c>
      <c r="AQ54" s="24">
        <v>1</v>
      </c>
      <c r="AR54" s="279">
        <v>4</v>
      </c>
      <c r="AS54" s="19">
        <v>0</v>
      </c>
      <c r="AT54" s="213">
        <v>4</v>
      </c>
    </row>
    <row r="55" spans="1:188" s="171" customFormat="1" ht="13.9" customHeight="1">
      <c r="A55"/>
      <c r="B55" s="314" t="s">
        <v>361</v>
      </c>
      <c r="C55" s="314">
        <v>448</v>
      </c>
      <c r="D55" s="314">
        <v>80</v>
      </c>
      <c r="E55" s="314">
        <v>69</v>
      </c>
      <c r="F55" s="314">
        <v>82</v>
      </c>
      <c r="G55" s="314">
        <v>53</v>
      </c>
      <c r="H55" s="314">
        <v>284</v>
      </c>
      <c r="I55" s="314">
        <v>53</v>
      </c>
      <c r="J55" s="314">
        <v>35</v>
      </c>
      <c r="K55" s="314">
        <v>71</v>
      </c>
      <c r="L55" s="314" t="e">
        <v>#REF!</v>
      </c>
      <c r="M55" s="314">
        <v>47</v>
      </c>
      <c r="N55" s="314">
        <v>206</v>
      </c>
      <c r="O55" s="314">
        <v>53</v>
      </c>
      <c r="P55" s="314">
        <v>61</v>
      </c>
      <c r="Q55" s="314">
        <v>68</v>
      </c>
      <c r="R55" s="314">
        <v>45</v>
      </c>
      <c r="S55" s="314">
        <v>227</v>
      </c>
      <c r="T55" s="314">
        <v>54</v>
      </c>
      <c r="U55" s="314">
        <v>68</v>
      </c>
      <c r="V55" s="314">
        <v>77</v>
      </c>
      <c r="W55" s="314">
        <v>51</v>
      </c>
      <c r="X55" s="314">
        <v>250</v>
      </c>
      <c r="Y55" s="314">
        <v>60</v>
      </c>
      <c r="Z55" s="314">
        <v>46</v>
      </c>
      <c r="AA55" s="314">
        <v>47</v>
      </c>
      <c r="AB55" s="314">
        <v>59</v>
      </c>
      <c r="AC55" s="314">
        <v>212</v>
      </c>
      <c r="AD55" s="314">
        <v>50</v>
      </c>
      <c r="AE55" s="314">
        <v>72</v>
      </c>
      <c r="AF55" s="314">
        <v>76</v>
      </c>
      <c r="AG55" s="314">
        <v>59</v>
      </c>
      <c r="AH55" s="314">
        <v>257</v>
      </c>
      <c r="AI55" s="314">
        <v>41</v>
      </c>
      <c r="AJ55" s="314">
        <v>41</v>
      </c>
      <c r="AK55" s="314">
        <v>43</v>
      </c>
      <c r="AL55" s="314">
        <v>81</v>
      </c>
      <c r="AM55" s="314">
        <v>206</v>
      </c>
      <c r="AN55" s="314">
        <v>46</v>
      </c>
      <c r="AO55" s="314">
        <v>148</v>
      </c>
      <c r="AP55" s="314">
        <v>194</v>
      </c>
      <c r="AQ55" s="314">
        <v>161</v>
      </c>
      <c r="AR55" s="314">
        <v>355</v>
      </c>
      <c r="AS55" s="314">
        <v>128</v>
      </c>
      <c r="AT55" s="314">
        <v>483</v>
      </c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</row>
    <row r="56" spans="1:188" ht="13.9" customHeight="1">
      <c r="B56" s="20" t="s">
        <v>5</v>
      </c>
      <c r="C56" s="213"/>
      <c r="D56" s="212"/>
      <c r="E56" s="212">
        <v>-0.13749999999999996</v>
      </c>
      <c r="F56" s="212">
        <v>0.18840579710144922</v>
      </c>
      <c r="G56" s="212">
        <v>-0.35365853658536583</v>
      </c>
      <c r="H56" s="213"/>
      <c r="I56" s="212">
        <v>0</v>
      </c>
      <c r="J56" s="212">
        <v>-0.339622641509434</v>
      </c>
      <c r="K56" s="212">
        <v>1.0285714285714285</v>
      </c>
      <c r="L56" s="212"/>
      <c r="M56" s="212">
        <v>-0.3380281690140845</v>
      </c>
      <c r="N56" s="213"/>
      <c r="O56" s="212">
        <v>0.12765957446808507</v>
      </c>
      <c r="P56" s="212">
        <v>0.15094339622641506</v>
      </c>
      <c r="Q56" s="212">
        <v>0.11475409836065564</v>
      </c>
      <c r="R56" s="212">
        <v>-0.33823529411764708</v>
      </c>
      <c r="S56" s="213"/>
      <c r="T56" s="212">
        <v>0.19999999999999996</v>
      </c>
      <c r="U56" s="212">
        <v>0.2592592592592593</v>
      </c>
      <c r="V56" s="212">
        <v>0.13235294117647056</v>
      </c>
      <c r="W56" s="212">
        <v>-0.33766233766233766</v>
      </c>
      <c r="X56" s="213"/>
      <c r="Y56" s="21">
        <v>0.17647058823529416</v>
      </c>
      <c r="Z56" s="21">
        <v>-0.23333333333333328</v>
      </c>
      <c r="AA56" s="21">
        <v>2.1739130434782705E-2</v>
      </c>
      <c r="AB56" s="21">
        <v>0.25531914893617014</v>
      </c>
      <c r="AC56" s="213"/>
      <c r="AD56" s="21">
        <v>-0.15254237288135597</v>
      </c>
      <c r="AE56" s="21">
        <v>0.43999999999999995</v>
      </c>
      <c r="AF56" s="21">
        <v>5.555555555555558E-2</v>
      </c>
      <c r="AG56" s="21">
        <v>-0.22368421052631582</v>
      </c>
      <c r="AH56" s="213"/>
      <c r="AI56" s="21">
        <v>-0.30508474576271183</v>
      </c>
      <c r="AJ56" s="21">
        <v>0</v>
      </c>
      <c r="AK56" s="21">
        <v>4.8780487804878092E-2</v>
      </c>
      <c r="AL56" s="21">
        <v>0.88372093023255816</v>
      </c>
      <c r="AM56" s="213"/>
      <c r="AN56" s="21">
        <v>-0.4320987654320988</v>
      </c>
      <c r="AO56" s="21">
        <v>2.2173913043478262</v>
      </c>
      <c r="AP56" s="138"/>
      <c r="AQ56" s="21">
        <v>8.783783783783794E-2</v>
      </c>
      <c r="AR56" s="277"/>
      <c r="AS56" s="21">
        <v>-0.20496894409937894</v>
      </c>
      <c r="AT56" s="213"/>
    </row>
    <row r="57" spans="1:188" ht="13.9" customHeight="1">
      <c r="B57" s="20" t="s">
        <v>6</v>
      </c>
      <c r="C57" s="213"/>
      <c r="D57" s="211"/>
      <c r="E57" s="211"/>
      <c r="F57" s="211"/>
      <c r="G57" s="211"/>
      <c r="H57" s="211">
        <v>-0.3660714285714286</v>
      </c>
      <c r="I57" s="211">
        <v>-0.33750000000000002</v>
      </c>
      <c r="J57" s="211">
        <v>-0.49275362318840576</v>
      </c>
      <c r="K57" s="211">
        <v>-0.13414634146341464</v>
      </c>
      <c r="L57" s="211"/>
      <c r="M57" s="211">
        <v>-0.1132075471698113</v>
      </c>
      <c r="N57" s="211">
        <v>-0.27464788732394363</v>
      </c>
      <c r="O57" s="211">
        <v>0</v>
      </c>
      <c r="P57" s="211">
        <v>0.74285714285714288</v>
      </c>
      <c r="Q57" s="211">
        <v>-4.2253521126760618E-2</v>
      </c>
      <c r="R57" s="211">
        <v>-4.2553191489361653E-2</v>
      </c>
      <c r="S57" s="211">
        <v>0.10194174757281549</v>
      </c>
      <c r="T57" s="211">
        <v>1.8867924528301883E-2</v>
      </c>
      <c r="U57" s="211">
        <v>0.11475409836065564</v>
      </c>
      <c r="V57" s="211">
        <v>0.13235294117647056</v>
      </c>
      <c r="W57" s="211">
        <v>0.1333333333333333</v>
      </c>
      <c r="X57" s="211">
        <v>0.1013215859030836</v>
      </c>
      <c r="Y57" s="22">
        <v>0.11111111111111116</v>
      </c>
      <c r="Z57" s="22">
        <v>-0.32352941176470584</v>
      </c>
      <c r="AA57" s="22">
        <v>-0.38961038961038963</v>
      </c>
      <c r="AB57" s="22">
        <v>0.15686274509803932</v>
      </c>
      <c r="AC57" s="211">
        <v>-0.15200000000000002</v>
      </c>
      <c r="AD57" s="22">
        <v>-0.16666666666666663</v>
      </c>
      <c r="AE57" s="22">
        <v>0.56521739130434789</v>
      </c>
      <c r="AF57" s="22">
        <v>0.61702127659574457</v>
      </c>
      <c r="AG57" s="21">
        <v>0</v>
      </c>
      <c r="AH57" s="211">
        <v>0.21226415094339623</v>
      </c>
      <c r="AI57" s="22">
        <v>-0.18000000000000005</v>
      </c>
      <c r="AJ57" s="22">
        <v>-0.43055555555555558</v>
      </c>
      <c r="AK57" s="22">
        <v>-0.43421052631578949</v>
      </c>
      <c r="AL57" s="21">
        <v>0.37288135593220328</v>
      </c>
      <c r="AM57" s="211">
        <v>-0.19844357976653693</v>
      </c>
      <c r="AN57" s="22">
        <v>0.12195121951219523</v>
      </c>
      <c r="AO57" s="22">
        <v>2.6097560975609757</v>
      </c>
      <c r="AP57" s="139"/>
      <c r="AQ57" s="22">
        <v>2.7441860465116279</v>
      </c>
      <c r="AR57" s="278"/>
      <c r="AS57" s="21">
        <v>0.58024691358024683</v>
      </c>
      <c r="AT57" s="211">
        <v>1.3446601941747574</v>
      </c>
    </row>
    <row r="58" spans="1:188" ht="13.9" customHeight="1">
      <c r="B58" t="s">
        <v>366</v>
      </c>
      <c r="C58" s="245">
        <v>0.27151515151515154</v>
      </c>
      <c r="D58" s="246">
        <v>0.21333333333333335</v>
      </c>
      <c r="E58" s="246">
        <v>0.184</v>
      </c>
      <c r="F58" s="246">
        <v>0.22343324250681199</v>
      </c>
      <c r="G58" s="246">
        <v>0.14887640449438203</v>
      </c>
      <c r="H58" s="245">
        <v>0.19280380176510523</v>
      </c>
      <c r="I58" s="246">
        <v>0.15451895043731778</v>
      </c>
      <c r="J58" s="246">
        <v>0.10385756676557864</v>
      </c>
      <c r="K58" s="246">
        <v>0.21257485029940121</v>
      </c>
      <c r="L58" s="246" t="e">
        <v>#REF!</v>
      </c>
      <c r="M58" s="246">
        <v>0.1419939577039275</v>
      </c>
      <c r="N58" s="245">
        <v>0.15315985130111523</v>
      </c>
      <c r="O58" s="246">
        <v>0.15680473372781065</v>
      </c>
      <c r="P58" s="246">
        <v>0.19122257053291536</v>
      </c>
      <c r="Q58" s="246">
        <v>0.21725239616613418</v>
      </c>
      <c r="R58" s="246">
        <v>0.14195583596214512</v>
      </c>
      <c r="S58" s="245">
        <v>0.17637917637917638</v>
      </c>
      <c r="T58" s="246">
        <v>0.17142857142857143</v>
      </c>
      <c r="U58" s="246">
        <v>0.21587301587301588</v>
      </c>
      <c r="V58" s="246">
        <v>0.24213836477987422</v>
      </c>
      <c r="W58" s="246">
        <v>0.15838509316770186</v>
      </c>
      <c r="X58" s="245">
        <v>0.19685039370078741</v>
      </c>
      <c r="Y58" s="109">
        <v>0.189873417721519</v>
      </c>
      <c r="Z58" s="109">
        <v>0.14556962025316456</v>
      </c>
      <c r="AA58" s="109">
        <v>0.1492063492063492</v>
      </c>
      <c r="AB58" s="109">
        <v>0.1787878787878788</v>
      </c>
      <c r="AC58" s="245">
        <v>0.16601409553641347</v>
      </c>
      <c r="AD58" s="109">
        <v>0.1519756838905775</v>
      </c>
      <c r="AE58" s="109">
        <v>0.21428571428571427</v>
      </c>
      <c r="AF58" s="109">
        <v>0.23170731707317074</v>
      </c>
      <c r="AG58" s="109">
        <v>0.18670886075949367</v>
      </c>
      <c r="AH58" s="245">
        <v>0.19633307868601987</v>
      </c>
      <c r="AI58" s="109">
        <v>0.13015873015873017</v>
      </c>
      <c r="AJ58" s="109">
        <v>0.12974683544303797</v>
      </c>
      <c r="AK58" s="109">
        <v>0.13564668769716087</v>
      </c>
      <c r="AL58" s="109">
        <v>0.25552050473186122</v>
      </c>
      <c r="AM58" s="245">
        <v>0.16284584980237155</v>
      </c>
      <c r="AN58" s="109">
        <v>0.14420062695924765</v>
      </c>
      <c r="AO58" s="109">
        <v>0.46250000000000002</v>
      </c>
      <c r="AP58" s="154">
        <v>0.30359937402190923</v>
      </c>
      <c r="AQ58" s="109">
        <v>0.50155763239875384</v>
      </c>
      <c r="AR58" s="313">
        <v>0.36979166666666669</v>
      </c>
      <c r="AS58" s="109">
        <v>0.37647058823529411</v>
      </c>
      <c r="AT58" s="245">
        <v>0.37153846153846154</v>
      </c>
    </row>
    <row r="59" spans="1:188" ht="13.9" customHeight="1">
      <c r="C59" s="213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2"/>
      <c r="Z59" s="22"/>
      <c r="AA59" s="22"/>
      <c r="AB59" s="22"/>
      <c r="AC59" s="211"/>
      <c r="AD59" s="22"/>
      <c r="AE59" s="22"/>
      <c r="AF59" s="22"/>
      <c r="AG59" s="22"/>
      <c r="AH59" s="211"/>
      <c r="AI59" s="22"/>
      <c r="AJ59" s="22"/>
      <c r="AK59" s="22"/>
      <c r="AL59" s="22"/>
      <c r="AM59" s="211"/>
      <c r="AN59" s="22"/>
      <c r="AO59" s="22"/>
      <c r="AP59" s="139"/>
      <c r="AQ59" s="22"/>
      <c r="AR59" s="278"/>
      <c r="AS59" s="22"/>
      <c r="AT59" s="211"/>
    </row>
    <row r="60" spans="1:188" ht="13.9" customHeight="1">
      <c r="B60" s="12" t="s">
        <v>363</v>
      </c>
      <c r="C60" s="213">
        <v>-244</v>
      </c>
      <c r="D60" s="214">
        <v>1</v>
      </c>
      <c r="E60" s="214">
        <v>-10</v>
      </c>
      <c r="F60" s="214">
        <v>-2</v>
      </c>
      <c r="G60" s="214">
        <v>-1137</v>
      </c>
      <c r="H60" s="213">
        <v>-1148</v>
      </c>
      <c r="I60" s="214">
        <v>-50</v>
      </c>
      <c r="J60" s="214">
        <v>-27</v>
      </c>
      <c r="K60" s="214">
        <v>15</v>
      </c>
      <c r="L60" s="214" t="e">
        <v>#REF!</v>
      </c>
      <c r="M60" s="214">
        <v>-7</v>
      </c>
      <c r="N60" s="213">
        <v>-69</v>
      </c>
      <c r="O60" s="214">
        <v>14</v>
      </c>
      <c r="P60" s="214">
        <v>18</v>
      </c>
      <c r="Q60" s="214">
        <v>16</v>
      </c>
      <c r="R60" s="214">
        <v>-24</v>
      </c>
      <c r="S60" s="213">
        <v>24</v>
      </c>
      <c r="T60" s="215">
        <v>0</v>
      </c>
      <c r="U60" s="214">
        <v>18</v>
      </c>
      <c r="V60" s="214">
        <v>29</v>
      </c>
      <c r="W60" s="214">
        <v>-17</v>
      </c>
      <c r="X60" s="213">
        <v>30</v>
      </c>
      <c r="Y60" s="24">
        <v>10</v>
      </c>
      <c r="Z60" s="61">
        <v>2</v>
      </c>
      <c r="AA60" s="24">
        <v>0</v>
      </c>
      <c r="AB60" s="61">
        <v>1</v>
      </c>
      <c r="AC60" s="213">
        <v>13</v>
      </c>
      <c r="AD60" s="24">
        <v>5</v>
      </c>
      <c r="AE60" s="61">
        <v>30</v>
      </c>
      <c r="AF60" s="61">
        <v>40</v>
      </c>
      <c r="AG60" s="19">
        <v>27</v>
      </c>
      <c r="AH60" s="213">
        <v>102</v>
      </c>
      <c r="AI60" s="61">
        <v>-13</v>
      </c>
      <c r="AJ60" s="61">
        <v>-5</v>
      </c>
      <c r="AK60" s="61">
        <v>12</v>
      </c>
      <c r="AL60" s="19">
        <v>55</v>
      </c>
      <c r="AM60" s="213">
        <v>49</v>
      </c>
      <c r="AN60" s="61">
        <v>3</v>
      </c>
      <c r="AO60" s="61">
        <v>172</v>
      </c>
      <c r="AP60" s="148">
        <v>175</v>
      </c>
      <c r="AQ60" s="61">
        <v>213</v>
      </c>
      <c r="AR60" s="279">
        <v>388</v>
      </c>
      <c r="AS60" s="19">
        <v>97</v>
      </c>
      <c r="AT60" s="213">
        <v>485</v>
      </c>
    </row>
    <row r="61" spans="1:188" ht="13.9" customHeight="1">
      <c r="B61" t="s">
        <v>166</v>
      </c>
      <c r="C61" s="215">
        <v>0</v>
      </c>
      <c r="D61" s="214">
        <v>2</v>
      </c>
      <c r="E61" s="214">
        <v>7</v>
      </c>
      <c r="F61" s="215">
        <v>0</v>
      </c>
      <c r="G61" s="214">
        <v>1108</v>
      </c>
      <c r="H61" s="215">
        <v>1117</v>
      </c>
      <c r="I61" s="214">
        <v>43</v>
      </c>
      <c r="J61" s="214">
        <v>-9</v>
      </c>
      <c r="K61" s="215">
        <v>1</v>
      </c>
      <c r="L61" s="214">
        <v>35</v>
      </c>
      <c r="M61" s="214">
        <v>7</v>
      </c>
      <c r="N61" s="215">
        <v>42</v>
      </c>
      <c r="O61" s="215">
        <v>0</v>
      </c>
      <c r="P61" s="214">
        <v>-12</v>
      </c>
      <c r="Q61" s="215">
        <v>0</v>
      </c>
      <c r="R61" s="214">
        <v>-3</v>
      </c>
      <c r="S61" s="213">
        <v>-15</v>
      </c>
      <c r="T61" s="214">
        <v>-2</v>
      </c>
      <c r="U61" s="214">
        <v>0</v>
      </c>
      <c r="V61" s="215">
        <v>1</v>
      </c>
      <c r="W61" s="214">
        <v>13</v>
      </c>
      <c r="X61" s="213">
        <v>12</v>
      </c>
      <c r="Y61" s="24">
        <v>0</v>
      </c>
      <c r="Z61" s="61">
        <v>2</v>
      </c>
      <c r="AA61" s="24">
        <v>0</v>
      </c>
      <c r="AB61" s="61">
        <v>1</v>
      </c>
      <c r="AC61" s="213">
        <v>3</v>
      </c>
      <c r="AD61" s="61">
        <v>-1</v>
      </c>
      <c r="AE61" s="24">
        <v>0</v>
      </c>
      <c r="AF61" s="61">
        <v>-1</v>
      </c>
      <c r="AG61" s="61">
        <v>-3</v>
      </c>
      <c r="AH61" s="213">
        <v>-5</v>
      </c>
      <c r="AI61" s="24">
        <v>0</v>
      </c>
      <c r="AJ61" s="24">
        <v>4</v>
      </c>
      <c r="AK61" s="61">
        <v>-1</v>
      </c>
      <c r="AL61" s="19">
        <v>5</v>
      </c>
      <c r="AM61" s="213">
        <v>8</v>
      </c>
      <c r="AN61" s="61">
        <v>8</v>
      </c>
      <c r="AO61" s="61">
        <v>-1</v>
      </c>
      <c r="AP61" s="148">
        <v>7</v>
      </c>
      <c r="AQ61" s="19">
        <v>0</v>
      </c>
      <c r="AR61" s="279">
        <v>7</v>
      </c>
      <c r="AS61" s="19">
        <v>5</v>
      </c>
      <c r="AT61" s="213">
        <v>12</v>
      </c>
    </row>
    <row r="62" spans="1:188" ht="13.9" customHeight="1">
      <c r="B62" s="6" t="s">
        <v>307</v>
      </c>
      <c r="C62" s="215">
        <v>0</v>
      </c>
      <c r="D62" s="215">
        <v>0</v>
      </c>
      <c r="E62" s="215">
        <v>0</v>
      </c>
      <c r="F62" s="215">
        <v>0</v>
      </c>
      <c r="G62" s="215">
        <v>0</v>
      </c>
      <c r="H62" s="215">
        <v>0</v>
      </c>
      <c r="I62" s="215">
        <v>0</v>
      </c>
      <c r="J62" s="215">
        <v>0</v>
      </c>
      <c r="K62" s="215">
        <v>0</v>
      </c>
      <c r="L62" s="215">
        <v>0</v>
      </c>
      <c r="M62" s="215">
        <v>0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1</v>
      </c>
      <c r="U62" s="215">
        <v>1</v>
      </c>
      <c r="V62" s="215">
        <v>1</v>
      </c>
      <c r="W62" s="215">
        <v>0</v>
      </c>
      <c r="X62" s="215">
        <v>3</v>
      </c>
      <c r="Y62" s="24">
        <v>0</v>
      </c>
      <c r="Z62" s="24">
        <v>0</v>
      </c>
      <c r="AA62" s="24">
        <v>1</v>
      </c>
      <c r="AB62" s="61">
        <v>1</v>
      </c>
      <c r="AC62" s="213">
        <v>2</v>
      </c>
      <c r="AD62" s="24">
        <v>1</v>
      </c>
      <c r="AE62" s="24">
        <v>0</v>
      </c>
      <c r="AF62" s="24">
        <v>1</v>
      </c>
      <c r="AG62" s="19">
        <v>0</v>
      </c>
      <c r="AH62" s="213">
        <v>2</v>
      </c>
      <c r="AI62" s="24">
        <v>1</v>
      </c>
      <c r="AJ62" s="24">
        <v>1</v>
      </c>
      <c r="AK62" s="24">
        <v>1</v>
      </c>
      <c r="AL62" s="19">
        <v>0</v>
      </c>
      <c r="AM62" s="213">
        <v>3</v>
      </c>
      <c r="AN62" s="61">
        <v>1</v>
      </c>
      <c r="AO62" s="24">
        <v>2</v>
      </c>
      <c r="AP62" s="145">
        <v>3</v>
      </c>
      <c r="AQ62" s="24">
        <v>1</v>
      </c>
      <c r="AR62" s="279">
        <v>4</v>
      </c>
      <c r="AS62" s="19">
        <v>0</v>
      </c>
      <c r="AT62" s="213">
        <v>4</v>
      </c>
    </row>
    <row r="63" spans="1:188" s="171" customFormat="1" ht="13.9" customHeight="1">
      <c r="A63"/>
      <c r="B63" s="314" t="s">
        <v>362</v>
      </c>
      <c r="C63" s="315">
        <v>-244</v>
      </c>
      <c r="D63" s="315">
        <v>3</v>
      </c>
      <c r="E63" s="315">
        <v>-3</v>
      </c>
      <c r="F63" s="315">
        <v>-2</v>
      </c>
      <c r="G63" s="315">
        <v>-29</v>
      </c>
      <c r="H63" s="315">
        <v>-31</v>
      </c>
      <c r="I63" s="315">
        <v>-7</v>
      </c>
      <c r="J63" s="315">
        <v>-36</v>
      </c>
      <c r="K63" s="315">
        <v>16</v>
      </c>
      <c r="L63" s="315" t="e">
        <v>#REF!</v>
      </c>
      <c r="M63" s="315">
        <v>0</v>
      </c>
      <c r="N63" s="315">
        <v>-27</v>
      </c>
      <c r="O63" s="315">
        <v>14</v>
      </c>
      <c r="P63" s="315">
        <v>6</v>
      </c>
      <c r="Q63" s="315">
        <v>16</v>
      </c>
      <c r="R63" s="315">
        <v>-27</v>
      </c>
      <c r="S63" s="315">
        <v>9</v>
      </c>
      <c r="T63" s="315">
        <v>-1</v>
      </c>
      <c r="U63" s="315">
        <v>19</v>
      </c>
      <c r="V63" s="315">
        <v>31</v>
      </c>
      <c r="W63" s="315">
        <v>-4</v>
      </c>
      <c r="X63" s="315">
        <v>45</v>
      </c>
      <c r="Y63" s="315">
        <v>10</v>
      </c>
      <c r="Z63" s="315">
        <v>4</v>
      </c>
      <c r="AA63" s="315">
        <v>1</v>
      </c>
      <c r="AB63" s="315">
        <v>3</v>
      </c>
      <c r="AC63" s="315">
        <v>18</v>
      </c>
      <c r="AD63" s="315">
        <v>5</v>
      </c>
      <c r="AE63" s="315">
        <v>30</v>
      </c>
      <c r="AF63" s="315">
        <v>40</v>
      </c>
      <c r="AG63" s="314">
        <v>24</v>
      </c>
      <c r="AH63" s="315">
        <v>99</v>
      </c>
      <c r="AI63" s="315">
        <v>-12</v>
      </c>
      <c r="AJ63" s="315">
        <v>0</v>
      </c>
      <c r="AK63" s="315">
        <v>12</v>
      </c>
      <c r="AL63" s="314">
        <v>60</v>
      </c>
      <c r="AM63" s="315">
        <v>60</v>
      </c>
      <c r="AN63" s="315">
        <v>12</v>
      </c>
      <c r="AO63" s="315">
        <v>173</v>
      </c>
      <c r="AP63" s="315">
        <v>185</v>
      </c>
      <c r="AQ63" s="315">
        <v>214</v>
      </c>
      <c r="AR63" s="315">
        <v>399</v>
      </c>
      <c r="AS63" s="314">
        <v>102</v>
      </c>
      <c r="AT63" s="315">
        <v>501</v>
      </c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</row>
    <row r="64" spans="1:188" ht="13.9" customHeight="1">
      <c r="B64" s="20" t="s">
        <v>5</v>
      </c>
      <c r="C64" s="213"/>
      <c r="D64" s="212"/>
      <c r="E64" s="216" t="s">
        <v>23</v>
      </c>
      <c r="F64" s="212">
        <v>-0.33333333333333337</v>
      </c>
      <c r="G64" s="212">
        <v>13.5</v>
      </c>
      <c r="H64" s="213"/>
      <c r="I64" s="212">
        <v>-0.75862068965517238</v>
      </c>
      <c r="J64" s="212">
        <v>4.1428571428571432</v>
      </c>
      <c r="K64" s="216" t="s">
        <v>23</v>
      </c>
      <c r="L64" s="212"/>
      <c r="M64" s="216" t="s">
        <v>23</v>
      </c>
      <c r="N64" s="213"/>
      <c r="O64" s="216" t="s">
        <v>23</v>
      </c>
      <c r="P64" s="212">
        <v>-0.5714285714285714</v>
      </c>
      <c r="Q64" s="212">
        <v>1.6666666666666665</v>
      </c>
      <c r="R64" s="216" t="s">
        <v>23</v>
      </c>
      <c r="S64" s="213"/>
      <c r="T64" s="216" t="s">
        <v>23</v>
      </c>
      <c r="U64" s="216" t="s">
        <v>23</v>
      </c>
      <c r="V64" s="212">
        <v>0.63157894736842102</v>
      </c>
      <c r="W64" s="216" t="s">
        <v>23</v>
      </c>
      <c r="X64" s="213"/>
      <c r="Y64" s="31" t="s">
        <v>23</v>
      </c>
      <c r="Z64" s="21">
        <v>-0.6</v>
      </c>
      <c r="AA64" s="21">
        <v>-0.75</v>
      </c>
      <c r="AB64" s="21">
        <v>2</v>
      </c>
      <c r="AC64" s="213"/>
      <c r="AD64" s="21">
        <v>0.66666666666666674</v>
      </c>
      <c r="AE64" s="21">
        <v>5</v>
      </c>
      <c r="AF64" s="21">
        <v>0.33333333333333326</v>
      </c>
      <c r="AG64" s="21">
        <v>-0.4</v>
      </c>
      <c r="AH64" s="213"/>
      <c r="AI64" s="29" t="s">
        <v>23</v>
      </c>
      <c r="AJ64" s="21">
        <v>-1</v>
      </c>
      <c r="AK64" s="31" t="s">
        <v>23</v>
      </c>
      <c r="AL64" s="21">
        <v>4</v>
      </c>
      <c r="AM64" s="213"/>
      <c r="AN64" s="21">
        <v>-0.8</v>
      </c>
      <c r="AO64" s="21">
        <v>13.416666666666666</v>
      </c>
      <c r="AP64" s="138"/>
      <c r="AQ64" s="21">
        <v>0.23699421965317913</v>
      </c>
      <c r="AR64" s="308"/>
      <c r="AS64" s="21">
        <v>-0.52336448598130847</v>
      </c>
      <c r="AT64" s="213"/>
    </row>
    <row r="65" spans="2:46" ht="13.9" customHeight="1">
      <c r="B65" s="20" t="s">
        <v>6</v>
      </c>
      <c r="C65" s="213"/>
      <c r="D65" s="211"/>
      <c r="E65" s="211"/>
      <c r="F65" s="211"/>
      <c r="G65" s="211"/>
      <c r="H65" s="211">
        <v>-0.87295081967213117</v>
      </c>
      <c r="I65" s="216" t="s">
        <v>23</v>
      </c>
      <c r="J65" s="211">
        <v>11</v>
      </c>
      <c r="K65" s="216" t="s">
        <v>23</v>
      </c>
      <c r="L65" s="211"/>
      <c r="M65" s="216" t="s">
        <v>23</v>
      </c>
      <c r="N65" s="211">
        <v>-0.12903225806451613</v>
      </c>
      <c r="O65" s="216" t="s">
        <v>23</v>
      </c>
      <c r="P65" s="216" t="s">
        <v>23</v>
      </c>
      <c r="Q65" s="211">
        <v>0</v>
      </c>
      <c r="R65" s="216" t="s">
        <v>23</v>
      </c>
      <c r="S65" s="247" t="s">
        <v>23</v>
      </c>
      <c r="T65" s="216" t="s">
        <v>23</v>
      </c>
      <c r="U65" s="211">
        <v>2.1666666666666665</v>
      </c>
      <c r="V65" s="211">
        <v>0.9375</v>
      </c>
      <c r="W65" s="211">
        <v>-0.85185185185185186</v>
      </c>
      <c r="X65" s="211">
        <v>4</v>
      </c>
      <c r="Y65" s="31" t="s">
        <v>23</v>
      </c>
      <c r="Z65" s="22">
        <v>-0.78947368421052633</v>
      </c>
      <c r="AA65" s="22">
        <v>-0.967741935483871</v>
      </c>
      <c r="AB65" s="22">
        <v>-1.75</v>
      </c>
      <c r="AC65" s="211">
        <v>-0.6</v>
      </c>
      <c r="AD65" s="22">
        <v>-0.5</v>
      </c>
      <c r="AE65" s="22">
        <v>6.5</v>
      </c>
      <c r="AF65" s="22">
        <v>39</v>
      </c>
      <c r="AG65" s="21">
        <v>7</v>
      </c>
      <c r="AH65" s="211">
        <v>4.5</v>
      </c>
      <c r="AI65" s="29" t="s">
        <v>23</v>
      </c>
      <c r="AJ65" s="22">
        <v>-1</v>
      </c>
      <c r="AK65" s="22">
        <v>-0.7</v>
      </c>
      <c r="AL65" s="21">
        <v>1.5</v>
      </c>
      <c r="AM65" s="211">
        <v>-0.39393939393939392</v>
      </c>
      <c r="AN65" s="22">
        <v>-2</v>
      </c>
      <c r="AO65" s="31" t="s">
        <v>23</v>
      </c>
      <c r="AP65" s="159"/>
      <c r="AQ65" s="22">
        <v>16.833333333333332</v>
      </c>
      <c r="AR65" s="31" t="s">
        <v>23</v>
      </c>
      <c r="AS65" s="21">
        <v>0.7</v>
      </c>
      <c r="AT65" s="211">
        <v>7.35</v>
      </c>
    </row>
    <row r="66" spans="2:46" ht="3" customHeight="1">
      <c r="B66" s="372"/>
      <c r="C66" s="372"/>
      <c r="D66" s="372"/>
      <c r="E66" s="372"/>
      <c r="F66" s="372"/>
      <c r="G66" s="372"/>
      <c r="H66" s="372"/>
      <c r="I66" s="372"/>
      <c r="J66" s="372"/>
      <c r="K66" s="372"/>
      <c r="L66" s="372"/>
      <c r="M66" s="372"/>
      <c r="N66" s="372"/>
      <c r="O66" s="372"/>
      <c r="P66" s="372"/>
      <c r="Q66" s="372"/>
      <c r="R66" s="372"/>
      <c r="S66" s="372"/>
      <c r="T66" s="372"/>
      <c r="U66" s="372"/>
      <c r="V66" s="372"/>
      <c r="W66" s="372"/>
      <c r="X66" s="372"/>
      <c r="Y66" s="372"/>
      <c r="Z66" s="372"/>
      <c r="AA66" s="372"/>
      <c r="AB66" s="372"/>
      <c r="AC66" s="372"/>
      <c r="AD66" s="372"/>
      <c r="AE66" s="372"/>
      <c r="AF66" s="372"/>
      <c r="AG66" s="372"/>
      <c r="AH66" s="372"/>
      <c r="AI66" s="372"/>
      <c r="AJ66" s="372"/>
      <c r="AK66" s="372"/>
      <c r="AL66" s="372"/>
      <c r="AM66" s="372"/>
      <c r="AN66" s="372"/>
      <c r="AO66" s="372"/>
      <c r="AP66" s="372"/>
      <c r="AQ66" s="372"/>
      <c r="AR66" s="372"/>
      <c r="AS66" s="372"/>
      <c r="AT66" s="372"/>
    </row>
    <row r="67" spans="2:46">
      <c r="B67" s="12" t="s">
        <v>448</v>
      </c>
      <c r="X67" s="2">
        <v>277</v>
      </c>
      <c r="Y67" s="2"/>
      <c r="Z67" s="2"/>
      <c r="AA67" s="2"/>
      <c r="AB67" s="2"/>
      <c r="AC67" s="2">
        <v>193</v>
      </c>
      <c r="AD67" s="2">
        <v>45</v>
      </c>
      <c r="AE67" s="2">
        <v>46</v>
      </c>
      <c r="AF67" s="2">
        <v>52</v>
      </c>
      <c r="AG67" s="2">
        <v>49</v>
      </c>
      <c r="AH67" s="2">
        <v>192</v>
      </c>
      <c r="AI67" s="2">
        <v>51</v>
      </c>
      <c r="AJ67" s="2">
        <v>50</v>
      </c>
      <c r="AK67" s="2">
        <v>58</v>
      </c>
      <c r="AL67" s="2">
        <v>48</v>
      </c>
      <c r="AM67" s="2">
        <v>207</v>
      </c>
      <c r="AN67" s="2">
        <v>54</v>
      </c>
      <c r="AO67" s="2">
        <v>0</v>
      </c>
      <c r="AP67" s="2">
        <v>54</v>
      </c>
      <c r="AQ67" s="2">
        <v>0</v>
      </c>
      <c r="AR67" s="2">
        <v>54</v>
      </c>
      <c r="AS67" s="2">
        <v>0</v>
      </c>
      <c r="AT67" s="2">
        <v>54</v>
      </c>
    </row>
    <row r="68" spans="2:46" ht="4.5" customHeight="1"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</row>
  </sheetData>
  <pageMargins left="0.39370078740157483" right="0.39370078740157483" top="0.15748031496062992" bottom="0" header="0.19685039370078741" footer="0.31496062992125984"/>
  <pageSetup paperSize="9" scale="62" orientation="landscape" r:id="rId1"/>
  <headerFooter>
    <oddHeader>&amp;CBezeq - The Israeli Telecommunications Corp., Ltd.</oddHeader>
    <oddFooter xml:space="preserve">&amp;R&amp;P of &amp;N
Total subs 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1A6D-39BA-4B86-9BAC-ED13259CCE1D}">
  <sheetPr codeName="Sheet4">
    <tabColor rgb="FF00B050"/>
  </sheetPr>
  <dimension ref="A1:GU475"/>
  <sheetViews>
    <sheetView showGridLines="0" tabSelected="1" workbookViewId="0">
      <pane xSplit="37" ySplit="4" topLeftCell="AL5" activePane="bottomRight" state="frozen"/>
      <selection activeCell="AI81" sqref="AI81"/>
      <selection pane="topRight" activeCell="AI81" sqref="AI81"/>
      <selection pane="bottomLeft" activeCell="AI81" sqref="AI81"/>
      <selection pane="bottomRight" activeCell="AI81" sqref="AI81"/>
    </sheetView>
  </sheetViews>
  <sheetFormatPr defaultColWidth="8.7109375" defaultRowHeight="12.75"/>
  <cols>
    <col min="1" max="1" width="1.7109375" customWidth="1"/>
    <col min="2" max="2" width="52.7109375" customWidth="1"/>
    <col min="3" max="8" width="10.42578125" hidden="1" customWidth="1"/>
    <col min="9" max="11" width="9.42578125" hidden="1" customWidth="1"/>
    <col min="12" max="12" width="8.7109375" hidden="1" customWidth="1"/>
    <col min="13" max="13" width="8.28515625" hidden="1" customWidth="1"/>
    <col min="14" max="16" width="8.7109375" hidden="1" customWidth="1"/>
    <col min="17" max="17" width="8.28515625" hidden="1" customWidth="1"/>
    <col min="18" max="19" width="8.7109375" hidden="1" customWidth="1"/>
    <col min="20" max="22" width="8.42578125" hidden="1" customWidth="1"/>
    <col min="23" max="23" width="9.28515625" hidden="1" customWidth="1"/>
    <col min="24" max="24" width="8.42578125" hidden="1" customWidth="1"/>
    <col min="25" max="25" width="8.7109375" hidden="1" customWidth="1"/>
    <col min="26" max="26" width="9.28515625" hidden="1" customWidth="1"/>
    <col min="27" max="27" width="8.7109375" hidden="1" customWidth="1"/>
    <col min="28" max="38" width="9.28515625" hidden="1" customWidth="1"/>
    <col min="39" max="42" width="8.7109375" hidden="1" customWidth="1"/>
    <col min="43" max="43" width="9.28515625" hidden="1" customWidth="1"/>
    <col min="44" max="47" width="8.7109375" hidden="1" customWidth="1"/>
    <col min="48" max="48" width="9.28515625" hidden="1" customWidth="1"/>
    <col min="49" max="52" width="8.7109375" hidden="1" customWidth="1"/>
    <col min="53" max="53" width="9.28515625" customWidth="1"/>
    <col min="54" max="57" width="8.7109375" hidden="1" customWidth="1"/>
    <col min="58" max="58" width="9.28515625" customWidth="1"/>
    <col min="59" max="62" width="8.7109375" hidden="1" customWidth="1"/>
    <col min="63" max="63" width="9.28515625" customWidth="1"/>
    <col min="64" max="67" width="8.7109375" hidden="1" customWidth="1"/>
    <col min="68" max="68" width="9.28515625" customWidth="1"/>
    <col min="69" max="69" width="9.5703125" customWidth="1"/>
    <col min="70" max="72" width="8.7109375" customWidth="1"/>
    <col min="73" max="73" width="9.28515625" customWidth="1"/>
    <col min="74" max="77" width="9.28515625" hidden="1" customWidth="1"/>
    <col min="78" max="78" width="9.28515625" customWidth="1"/>
    <col min="79" max="81" width="9.28515625" hidden="1" customWidth="1"/>
    <col min="82" max="82" width="8.7109375" hidden="1" customWidth="1"/>
  </cols>
  <sheetData>
    <row r="1" spans="1:203" ht="13.9" customHeight="1">
      <c r="B1" s="6"/>
      <c r="C1" s="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6"/>
      <c r="P1" s="6"/>
    </row>
    <row r="2" spans="1:203" ht="13.9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3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2</v>
      </c>
      <c r="AQ3" s="7" t="s">
        <v>4</v>
      </c>
      <c r="AR3" s="7" t="s">
        <v>49</v>
      </c>
      <c r="AS3" s="7" t="s">
        <v>0</v>
      </c>
      <c r="AT3" s="7" t="s">
        <v>1</v>
      </c>
      <c r="AU3" s="7" t="s">
        <v>2</v>
      </c>
      <c r="AV3" s="7" t="s">
        <v>4</v>
      </c>
      <c r="AW3" s="7" t="s">
        <v>49</v>
      </c>
      <c r="AX3" s="7" t="s">
        <v>0</v>
      </c>
      <c r="AY3" s="7" t="s">
        <v>1</v>
      </c>
      <c r="AZ3" s="7" t="s">
        <v>2</v>
      </c>
      <c r="BA3" s="7" t="s">
        <v>4</v>
      </c>
      <c r="BB3" s="7" t="s">
        <v>49</v>
      </c>
      <c r="BC3" s="7" t="s">
        <v>0</v>
      </c>
      <c r="BD3" s="7" t="s">
        <v>1</v>
      </c>
      <c r="BE3" s="7" t="s">
        <v>2</v>
      </c>
      <c r="BF3" s="7" t="s">
        <v>4</v>
      </c>
      <c r="BG3" s="7" t="s">
        <v>49</v>
      </c>
      <c r="BH3" s="7" t="s">
        <v>0</v>
      </c>
      <c r="BI3" s="7" t="s">
        <v>1</v>
      </c>
      <c r="BJ3" s="7" t="s">
        <v>2</v>
      </c>
      <c r="BK3" s="7" t="s">
        <v>4</v>
      </c>
      <c r="BL3" s="7" t="s">
        <v>49</v>
      </c>
      <c r="BM3" s="7" t="s">
        <v>0</v>
      </c>
      <c r="BN3" s="7" t="s">
        <v>1</v>
      </c>
      <c r="BO3" s="7" t="s">
        <v>2</v>
      </c>
      <c r="BP3" s="7" t="s">
        <v>4</v>
      </c>
      <c r="BQ3" s="7" t="s">
        <v>49</v>
      </c>
      <c r="BR3" s="7" t="s">
        <v>0</v>
      </c>
      <c r="BS3" s="7" t="s">
        <v>1</v>
      </c>
      <c r="BT3" s="7" t="s">
        <v>2</v>
      </c>
      <c r="BU3" s="7" t="s">
        <v>4</v>
      </c>
      <c r="BV3" s="7" t="s">
        <v>49</v>
      </c>
      <c r="BW3" s="7" t="s">
        <v>0</v>
      </c>
      <c r="BX3" s="7" t="s">
        <v>1</v>
      </c>
      <c r="BY3" s="7" t="s">
        <v>2</v>
      </c>
      <c r="BZ3" s="7" t="s">
        <v>4</v>
      </c>
      <c r="CA3" s="7" t="s">
        <v>49</v>
      </c>
      <c r="CB3" s="7" t="s">
        <v>0</v>
      </c>
      <c r="CC3" s="7" t="s">
        <v>1</v>
      </c>
      <c r="CD3" s="7" t="s">
        <v>2</v>
      </c>
      <c r="CE3" s="7" t="s">
        <v>4</v>
      </c>
      <c r="CF3" s="7" t="s">
        <v>49</v>
      </c>
      <c r="CG3" s="7" t="s">
        <v>0</v>
      </c>
      <c r="CH3" s="7" t="s">
        <v>1</v>
      </c>
      <c r="CI3" s="7" t="s">
        <v>2</v>
      </c>
      <c r="CJ3" s="7" t="s">
        <v>4</v>
      </c>
      <c r="CK3" s="7" t="s">
        <v>49</v>
      </c>
      <c r="CL3" s="7" t="s">
        <v>0</v>
      </c>
      <c r="CM3" s="7" t="s">
        <v>1</v>
      </c>
      <c r="CN3" s="7" t="s">
        <v>2</v>
      </c>
      <c r="CO3" s="7" t="s">
        <v>4</v>
      </c>
    </row>
    <row r="4" spans="1:203" ht="13.9" customHeight="1">
      <c r="B4" s="12"/>
      <c r="C4" s="7">
        <v>2007</v>
      </c>
      <c r="D4" s="7">
        <v>2008</v>
      </c>
      <c r="E4" s="7">
        <v>2008</v>
      </c>
      <c r="F4" s="7">
        <v>2008</v>
      </c>
      <c r="G4" s="7">
        <v>2008</v>
      </c>
      <c r="H4" s="7">
        <v>2008</v>
      </c>
      <c r="I4" s="7">
        <v>2009</v>
      </c>
      <c r="J4" s="7">
        <v>2009</v>
      </c>
      <c r="K4" s="7">
        <v>2009</v>
      </c>
      <c r="L4" s="7">
        <v>2009</v>
      </c>
      <c r="M4" s="7">
        <v>2009</v>
      </c>
      <c r="N4" s="7">
        <v>2010</v>
      </c>
      <c r="O4" s="7">
        <v>2010</v>
      </c>
      <c r="P4" s="7">
        <v>2010</v>
      </c>
      <c r="Q4" s="7">
        <v>2010</v>
      </c>
      <c r="R4" s="7">
        <v>2010</v>
      </c>
      <c r="S4" s="7">
        <v>2011</v>
      </c>
      <c r="T4" s="7">
        <v>2011</v>
      </c>
      <c r="U4" s="7">
        <v>2011</v>
      </c>
      <c r="V4" s="7">
        <v>2011</v>
      </c>
      <c r="W4" s="7">
        <v>2011</v>
      </c>
      <c r="X4" s="7">
        <v>2012</v>
      </c>
      <c r="Y4" s="7">
        <v>2012</v>
      </c>
      <c r="Z4" s="7">
        <v>2012</v>
      </c>
      <c r="AA4" s="7">
        <v>2012</v>
      </c>
      <c r="AB4" s="7">
        <v>2012</v>
      </c>
      <c r="AC4" s="7">
        <v>2013</v>
      </c>
      <c r="AD4" s="7">
        <v>2013</v>
      </c>
      <c r="AE4" s="7">
        <v>2013</v>
      </c>
      <c r="AF4" s="7">
        <v>2013</v>
      </c>
      <c r="AG4" s="7">
        <v>2013</v>
      </c>
      <c r="AH4" s="7">
        <v>2014</v>
      </c>
      <c r="AI4" s="7">
        <v>2014</v>
      </c>
      <c r="AJ4" s="7">
        <v>2014</v>
      </c>
      <c r="AK4" s="7">
        <v>2014</v>
      </c>
      <c r="AL4" s="7">
        <v>2014</v>
      </c>
      <c r="AM4" s="7">
        <v>2015</v>
      </c>
      <c r="AN4" s="7">
        <v>2015</v>
      </c>
      <c r="AO4" s="7">
        <v>2015</v>
      </c>
      <c r="AP4" s="7">
        <v>2015</v>
      </c>
      <c r="AQ4" s="7">
        <v>2015</v>
      </c>
      <c r="AR4" s="7">
        <v>2016</v>
      </c>
      <c r="AS4" s="7">
        <v>2016</v>
      </c>
      <c r="AT4" s="7">
        <v>2016</v>
      </c>
      <c r="AU4" s="7">
        <v>2016</v>
      </c>
      <c r="AV4" s="7">
        <v>2016</v>
      </c>
      <c r="AW4" s="7">
        <v>2017</v>
      </c>
      <c r="AX4" s="7">
        <v>2017</v>
      </c>
      <c r="AY4" s="7">
        <v>2017</v>
      </c>
      <c r="AZ4" s="7">
        <v>2017</v>
      </c>
      <c r="BA4" s="7">
        <v>2017</v>
      </c>
      <c r="BB4" s="7">
        <v>2018</v>
      </c>
      <c r="BC4" s="7">
        <v>2018</v>
      </c>
      <c r="BD4" s="7">
        <v>2018</v>
      </c>
      <c r="BE4" s="7">
        <v>2018</v>
      </c>
      <c r="BF4" s="7">
        <v>2018</v>
      </c>
      <c r="BG4" s="7">
        <v>2019</v>
      </c>
      <c r="BH4" s="7">
        <v>2019</v>
      </c>
      <c r="BI4" s="7">
        <v>2019</v>
      </c>
      <c r="BJ4" s="7">
        <v>2019</v>
      </c>
      <c r="BK4" s="7">
        <v>2019</v>
      </c>
      <c r="BL4" s="7">
        <v>2020</v>
      </c>
      <c r="BM4" s="7">
        <v>2020</v>
      </c>
      <c r="BN4" s="7">
        <v>2020</v>
      </c>
      <c r="BO4" s="7">
        <v>2020</v>
      </c>
      <c r="BP4" s="7">
        <v>2020</v>
      </c>
      <c r="BQ4" s="7">
        <v>2021</v>
      </c>
      <c r="BR4" s="7">
        <v>2021</v>
      </c>
      <c r="BS4" s="7">
        <v>2021</v>
      </c>
      <c r="BT4" s="7">
        <v>2021</v>
      </c>
      <c r="BU4" s="7">
        <v>2021</v>
      </c>
      <c r="BV4" s="7">
        <v>2022</v>
      </c>
      <c r="BW4" s="7">
        <v>2022</v>
      </c>
      <c r="BX4" s="7">
        <v>2022</v>
      </c>
      <c r="BY4" s="7">
        <v>2022</v>
      </c>
      <c r="BZ4" s="7">
        <v>2022</v>
      </c>
      <c r="CA4" s="7">
        <v>2023</v>
      </c>
      <c r="CB4" s="7">
        <v>2023</v>
      </c>
      <c r="CC4" s="7">
        <v>2023</v>
      </c>
      <c r="CD4" s="7">
        <v>2023</v>
      </c>
      <c r="CE4" s="7">
        <v>2023</v>
      </c>
      <c r="CF4" s="7">
        <v>2024</v>
      </c>
      <c r="CG4" s="7">
        <v>2024</v>
      </c>
      <c r="CH4" s="7">
        <v>2024</v>
      </c>
      <c r="CI4" s="7">
        <v>2024</v>
      </c>
      <c r="CJ4" s="7">
        <v>2024</v>
      </c>
      <c r="CK4" s="7">
        <v>2025</v>
      </c>
      <c r="CL4" s="7">
        <v>2025</v>
      </c>
      <c r="CM4" s="7">
        <v>2025</v>
      </c>
      <c r="CN4" s="7">
        <v>2025</v>
      </c>
      <c r="CO4" s="7">
        <v>2025</v>
      </c>
    </row>
    <row r="5" spans="1:203" s="11" customFormat="1" ht="4.1500000000000004" customHeight="1">
      <c r="A5" s="1"/>
      <c r="B5" s="373" t="str">
        <f t="shared" ref="B5:AK5" si="0">B3&amp;"/"&amp;B4</f>
        <v>/</v>
      </c>
      <c r="C5" s="373" t="str">
        <f t="shared" si="0"/>
        <v>FY/2007</v>
      </c>
      <c r="D5" s="373" t="str">
        <f t="shared" si="0"/>
        <v>Q1/2008</v>
      </c>
      <c r="E5" s="373" t="str">
        <f t="shared" si="0"/>
        <v>Q2/2008</v>
      </c>
      <c r="F5" s="373" t="str">
        <f t="shared" si="0"/>
        <v>Q3/2008</v>
      </c>
      <c r="G5" s="373" t="str">
        <f t="shared" si="0"/>
        <v>Q4/2008</v>
      </c>
      <c r="H5" s="373" t="str">
        <f t="shared" si="0"/>
        <v>FY/2008</v>
      </c>
      <c r="I5" s="373" t="str">
        <f t="shared" si="0"/>
        <v>Q1/2009</v>
      </c>
      <c r="J5" s="373" t="str">
        <f t="shared" si="0"/>
        <v>Q2/2009</v>
      </c>
      <c r="K5" s="373" t="str">
        <f t="shared" si="0"/>
        <v>Q3/2009</v>
      </c>
      <c r="L5" s="373" t="str">
        <f t="shared" si="0"/>
        <v>Q4/2009</v>
      </c>
      <c r="M5" s="373" t="str">
        <f t="shared" si="0"/>
        <v>FY/2009</v>
      </c>
      <c r="N5" s="373" t="str">
        <f t="shared" si="0"/>
        <v>Q1/2010</v>
      </c>
      <c r="O5" s="373" t="str">
        <f t="shared" si="0"/>
        <v>Q2/2010</v>
      </c>
      <c r="P5" s="373" t="str">
        <f t="shared" si="0"/>
        <v>Q3/2010</v>
      </c>
      <c r="Q5" s="373" t="str">
        <f t="shared" si="0"/>
        <v>Q4/2010</v>
      </c>
      <c r="R5" s="373" t="str">
        <f t="shared" si="0"/>
        <v>FY/2010</v>
      </c>
      <c r="S5" s="373" t="str">
        <f t="shared" si="0"/>
        <v>Q1/2011</v>
      </c>
      <c r="T5" s="373" t="str">
        <f t="shared" si="0"/>
        <v>Q2/2011</v>
      </c>
      <c r="U5" s="373" t="str">
        <f t="shared" si="0"/>
        <v>Q3/2011</v>
      </c>
      <c r="V5" s="373" t="str">
        <f t="shared" si="0"/>
        <v>Q4/2011</v>
      </c>
      <c r="W5" s="373" t="str">
        <f t="shared" si="0"/>
        <v>FY/2011</v>
      </c>
      <c r="X5" s="373" t="str">
        <f t="shared" si="0"/>
        <v>Q1/2012</v>
      </c>
      <c r="Y5" s="373" t="str">
        <f t="shared" si="0"/>
        <v>Q2/2012</v>
      </c>
      <c r="Z5" s="373" t="str">
        <f t="shared" si="0"/>
        <v>Q3/2012</v>
      </c>
      <c r="AA5" s="373" t="str">
        <f t="shared" si="0"/>
        <v>Q4/2012</v>
      </c>
      <c r="AB5" s="373" t="str">
        <f t="shared" si="0"/>
        <v>FY/2012</v>
      </c>
      <c r="AC5" s="373" t="str">
        <f t="shared" si="0"/>
        <v>Q1/2013</v>
      </c>
      <c r="AD5" s="373" t="str">
        <f t="shared" si="0"/>
        <v>Q2/2013</v>
      </c>
      <c r="AE5" s="373" t="str">
        <f t="shared" si="0"/>
        <v>Q3/2013</v>
      </c>
      <c r="AF5" s="373" t="str">
        <f t="shared" si="0"/>
        <v>Q4/2013</v>
      </c>
      <c r="AG5" s="373" t="str">
        <f t="shared" si="0"/>
        <v>FY/2013</v>
      </c>
      <c r="AH5" s="373" t="str">
        <f t="shared" si="0"/>
        <v>Q1/2014</v>
      </c>
      <c r="AI5" s="373" t="str">
        <f t="shared" si="0"/>
        <v>Q2/2014</v>
      </c>
      <c r="AJ5" s="373" t="str">
        <f t="shared" si="0"/>
        <v>Q3/2014</v>
      </c>
      <c r="AK5" s="373" t="str">
        <f t="shared" si="0"/>
        <v>Q4/2014</v>
      </c>
      <c r="AL5" s="373" t="str">
        <f t="shared" ref="AL5:CI5" si="1">AL3&amp;"/"&amp;AL4</f>
        <v>FY/2014</v>
      </c>
      <c r="AM5" s="373" t="str">
        <f t="shared" si="1"/>
        <v>Q1/2015</v>
      </c>
      <c r="AN5" s="373" t="str">
        <f t="shared" si="1"/>
        <v>Q2/2015</v>
      </c>
      <c r="AO5" s="373" t="str">
        <f t="shared" si="1"/>
        <v>Q3/2015</v>
      </c>
      <c r="AP5" s="373" t="str">
        <f t="shared" si="1"/>
        <v>Q4/2015</v>
      </c>
      <c r="AQ5" s="373" t="str">
        <f t="shared" si="1"/>
        <v>FY/2015</v>
      </c>
      <c r="AR5" s="373" t="str">
        <f t="shared" si="1"/>
        <v>Q1/2016</v>
      </c>
      <c r="AS5" s="373" t="str">
        <f t="shared" si="1"/>
        <v>Q2/2016</v>
      </c>
      <c r="AT5" s="373" t="str">
        <f t="shared" si="1"/>
        <v>Q3/2016</v>
      </c>
      <c r="AU5" s="373" t="str">
        <f t="shared" si="1"/>
        <v>Q4/2016</v>
      </c>
      <c r="AV5" s="373" t="str">
        <f t="shared" si="1"/>
        <v>FY/2016</v>
      </c>
      <c r="AW5" s="373" t="str">
        <f t="shared" si="1"/>
        <v>Q1/2017</v>
      </c>
      <c r="AX5" s="373" t="str">
        <f t="shared" si="1"/>
        <v>Q2/2017</v>
      </c>
      <c r="AY5" s="373" t="str">
        <f t="shared" si="1"/>
        <v>Q3/2017</v>
      </c>
      <c r="AZ5" s="373" t="str">
        <f t="shared" si="1"/>
        <v>Q4/2017</v>
      </c>
      <c r="BA5" s="373" t="str">
        <f t="shared" si="1"/>
        <v>FY/2017</v>
      </c>
      <c r="BB5" s="373" t="str">
        <f t="shared" si="1"/>
        <v>Q1/2018</v>
      </c>
      <c r="BC5" s="373" t="str">
        <f t="shared" si="1"/>
        <v>Q2/2018</v>
      </c>
      <c r="BD5" s="373" t="str">
        <f t="shared" si="1"/>
        <v>Q3/2018</v>
      </c>
      <c r="BE5" s="373" t="str">
        <f t="shared" si="1"/>
        <v>Q4/2018</v>
      </c>
      <c r="BF5" s="373" t="str">
        <f t="shared" si="1"/>
        <v>FY/2018</v>
      </c>
      <c r="BG5" s="373" t="str">
        <f t="shared" si="1"/>
        <v>Q1/2019</v>
      </c>
      <c r="BH5" s="373" t="str">
        <f t="shared" si="1"/>
        <v>Q2/2019</v>
      </c>
      <c r="BI5" s="373" t="str">
        <f t="shared" si="1"/>
        <v>Q3/2019</v>
      </c>
      <c r="BJ5" s="373" t="str">
        <f t="shared" si="1"/>
        <v>Q4/2019</v>
      </c>
      <c r="BK5" s="373" t="str">
        <f t="shared" si="1"/>
        <v>FY/2019</v>
      </c>
      <c r="BL5" s="373" t="str">
        <f t="shared" si="1"/>
        <v>Q1/2020</v>
      </c>
      <c r="BM5" s="373" t="str">
        <f t="shared" si="1"/>
        <v>Q2/2020</v>
      </c>
      <c r="BN5" s="373" t="str">
        <f t="shared" si="1"/>
        <v>Q3/2020</v>
      </c>
      <c r="BO5" s="373" t="str">
        <f t="shared" si="1"/>
        <v>Q4/2020</v>
      </c>
      <c r="BP5" s="373" t="str">
        <f t="shared" si="1"/>
        <v>FY/2020</v>
      </c>
      <c r="BQ5" s="373" t="str">
        <f t="shared" si="1"/>
        <v>Q1/2021</v>
      </c>
      <c r="BR5" s="373" t="str">
        <f t="shared" si="1"/>
        <v>Q2/2021</v>
      </c>
      <c r="BS5" s="373" t="str">
        <f t="shared" si="1"/>
        <v>Q3/2021</v>
      </c>
      <c r="BT5" s="373" t="str">
        <f t="shared" si="1"/>
        <v>Q4/2021</v>
      </c>
      <c r="BU5" s="373" t="str">
        <f t="shared" si="1"/>
        <v>FY/2021</v>
      </c>
      <c r="BV5" s="373" t="str">
        <f t="shared" si="1"/>
        <v>Q1/2022</v>
      </c>
      <c r="BW5" s="373" t="str">
        <f t="shared" si="1"/>
        <v>Q2/2022</v>
      </c>
      <c r="BX5" s="373" t="str">
        <f t="shared" si="1"/>
        <v>Q3/2022</v>
      </c>
      <c r="BY5" s="373" t="str">
        <f t="shared" si="1"/>
        <v>Q4/2022</v>
      </c>
      <c r="BZ5" s="373" t="str">
        <f t="shared" si="1"/>
        <v>FY/2022</v>
      </c>
      <c r="CA5" s="373" t="str">
        <f t="shared" si="1"/>
        <v>Q1/2023</v>
      </c>
      <c r="CB5" s="373" t="str">
        <f t="shared" si="1"/>
        <v>Q2/2023</v>
      </c>
      <c r="CC5" s="373" t="str">
        <f t="shared" si="1"/>
        <v>Q3/2023</v>
      </c>
      <c r="CD5" s="373" t="str">
        <f t="shared" si="1"/>
        <v>Q4/2023</v>
      </c>
      <c r="CE5" s="373" t="str">
        <f t="shared" si="1"/>
        <v>FY/2023</v>
      </c>
      <c r="CF5" s="373" t="str">
        <f t="shared" si="1"/>
        <v>Q1/2024</v>
      </c>
      <c r="CG5" s="373" t="str">
        <f t="shared" si="1"/>
        <v>Q2/2024</v>
      </c>
      <c r="CH5" s="373" t="str">
        <f t="shared" si="1"/>
        <v>Q3/2024</v>
      </c>
      <c r="CI5" s="373" t="str">
        <f t="shared" si="1"/>
        <v>Q4/2024</v>
      </c>
      <c r="CJ5" s="373" t="str">
        <f>CJ3&amp;"/"&amp;CJ4</f>
        <v>FY/2024</v>
      </c>
      <c r="CK5" s="373" t="str">
        <f t="shared" ref="CK5:CL5" si="2">CK3&amp;"/"&amp;CK4</f>
        <v>Q1/2025</v>
      </c>
      <c r="CL5" s="373" t="str">
        <f t="shared" si="2"/>
        <v>Q2/2025</v>
      </c>
      <c r="CM5" s="373" t="str">
        <f t="shared" ref="CM5:CN5" si="3">CM3&amp;"/"&amp;CM4</f>
        <v>Q3/2025</v>
      </c>
      <c r="CN5" s="373" t="str">
        <f t="shared" si="3"/>
        <v>Q4/2025</v>
      </c>
      <c r="CO5" s="373" t="str">
        <f>CO3&amp;"/"&amp;CO4</f>
        <v>FY/2025</v>
      </c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ht="25.35" customHeight="1">
      <c r="B6" s="177" t="s">
        <v>26</v>
      </c>
      <c r="C6" s="177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</row>
    <row r="7" spans="1:203" ht="13.9" customHeight="1">
      <c r="B7" s="201" t="s">
        <v>309</v>
      </c>
      <c r="C7" s="201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283"/>
      <c r="AW7" s="283"/>
      <c r="AX7" s="283"/>
      <c r="AY7" s="283"/>
      <c r="AZ7" s="283"/>
      <c r="BA7" s="283"/>
      <c r="BB7" s="283"/>
      <c r="BC7" s="283"/>
      <c r="BD7" s="283"/>
      <c r="BE7" s="283"/>
      <c r="BF7" s="283"/>
      <c r="BG7" s="283"/>
      <c r="BH7" s="283"/>
      <c r="BI7" s="283"/>
      <c r="BJ7" s="283"/>
      <c r="BK7" s="283"/>
      <c r="BL7" s="283"/>
      <c r="BM7" s="283"/>
      <c r="BN7" s="283"/>
      <c r="BO7" s="283"/>
      <c r="BP7" s="283"/>
      <c r="BQ7" s="283"/>
      <c r="BR7" s="283"/>
      <c r="BS7" s="283"/>
      <c r="BT7" s="283"/>
      <c r="BU7" s="283"/>
      <c r="BV7" s="283"/>
      <c r="BW7" s="283"/>
      <c r="BX7" s="283"/>
      <c r="BY7" s="283"/>
      <c r="BZ7" s="283"/>
      <c r="CA7" s="283"/>
      <c r="CB7" s="283"/>
      <c r="CC7" s="283"/>
      <c r="CD7" s="283"/>
      <c r="CE7" s="283"/>
      <c r="CF7" s="283"/>
      <c r="CG7" s="283"/>
      <c r="CH7" s="283"/>
      <c r="CI7" s="283"/>
      <c r="CJ7" s="283"/>
      <c r="CK7" s="283"/>
      <c r="CL7" s="283"/>
      <c r="CM7" s="283"/>
      <c r="CN7" s="283"/>
      <c r="CO7" s="283"/>
    </row>
    <row r="8" spans="1:203" ht="13.9" customHeight="1">
      <c r="B8" s="32"/>
      <c r="C8" s="4"/>
      <c r="D8" s="33"/>
      <c r="E8" s="33"/>
      <c r="F8" s="33"/>
      <c r="G8" s="33"/>
      <c r="H8" s="3"/>
      <c r="I8" s="33"/>
      <c r="J8" s="33"/>
      <c r="K8" s="33"/>
      <c r="M8" s="4"/>
      <c r="N8" s="33"/>
      <c r="O8" s="33"/>
      <c r="P8" s="33"/>
      <c r="R8" s="4"/>
      <c r="S8" s="33"/>
      <c r="T8" s="33"/>
      <c r="U8" s="33"/>
      <c r="W8" s="226"/>
      <c r="X8" s="248"/>
      <c r="Y8" s="248"/>
      <c r="Z8" s="248"/>
      <c r="AA8" s="226"/>
      <c r="AB8" s="226"/>
      <c r="AC8" s="248"/>
      <c r="AD8" s="248"/>
      <c r="AE8" s="248"/>
      <c r="AF8" s="226"/>
      <c r="AG8" s="226"/>
      <c r="AH8" s="248"/>
      <c r="AI8" s="248"/>
      <c r="AJ8" s="248"/>
      <c r="AK8" s="226"/>
      <c r="AL8" s="226"/>
      <c r="AM8" s="248"/>
      <c r="AN8" s="248"/>
      <c r="AO8" s="248"/>
      <c r="AP8" s="226"/>
      <c r="AQ8" s="226"/>
      <c r="AR8" s="248"/>
      <c r="AS8" s="248"/>
      <c r="AT8" s="248"/>
      <c r="AU8" s="226"/>
      <c r="AV8" s="226"/>
      <c r="AW8" s="248"/>
      <c r="AX8" s="248"/>
      <c r="AY8" s="248"/>
      <c r="AZ8" s="226"/>
      <c r="BA8" s="226"/>
      <c r="BB8" s="248"/>
      <c r="BC8" s="248"/>
      <c r="BD8" s="248"/>
      <c r="BE8" s="226"/>
      <c r="BF8" s="226"/>
      <c r="BG8" s="248"/>
      <c r="BH8" s="248"/>
      <c r="BI8" s="248"/>
      <c r="BJ8" s="226"/>
      <c r="BK8" s="226"/>
      <c r="BL8" s="248"/>
      <c r="BM8" s="248"/>
      <c r="BN8" s="248"/>
      <c r="BO8" s="226"/>
      <c r="BP8" s="226"/>
      <c r="BQ8" s="248"/>
      <c r="BR8" s="248"/>
      <c r="BS8" s="248"/>
      <c r="BT8" s="226"/>
      <c r="BU8" s="226"/>
      <c r="BV8" s="33"/>
      <c r="BW8" s="33"/>
      <c r="BX8" s="33"/>
      <c r="BZ8" s="226"/>
      <c r="CA8" s="33"/>
      <c r="CB8" s="33"/>
      <c r="CC8" s="33"/>
      <c r="CE8" s="226"/>
      <c r="CF8" s="33"/>
      <c r="CG8" s="33"/>
      <c r="CH8" s="33"/>
      <c r="CJ8" s="226"/>
      <c r="CK8" s="33"/>
      <c r="CL8" s="33"/>
      <c r="CM8" s="33"/>
      <c r="CO8" s="226"/>
    </row>
    <row r="9" spans="1:203" ht="13.9" customHeight="1">
      <c r="B9" s="12" t="s">
        <v>373</v>
      </c>
      <c r="C9" s="9">
        <v>963</v>
      </c>
      <c r="D9" s="12">
        <v>970</v>
      </c>
      <c r="E9" s="12">
        <v>982</v>
      </c>
      <c r="F9" s="12">
        <v>994</v>
      </c>
      <c r="G9" s="19">
        <v>1005</v>
      </c>
      <c r="H9" s="9">
        <v>1005</v>
      </c>
      <c r="I9" s="19">
        <v>1011</v>
      </c>
      <c r="J9" s="19">
        <v>1016</v>
      </c>
      <c r="K9" s="19">
        <v>1026</v>
      </c>
      <c r="L9" s="19">
        <v>1035</v>
      </c>
      <c r="M9" s="8">
        <v>1035</v>
      </c>
      <c r="N9" s="19">
        <v>1045</v>
      </c>
      <c r="O9" s="19">
        <v>1051</v>
      </c>
      <c r="P9" s="19">
        <v>1056</v>
      </c>
      <c r="Q9" s="19">
        <v>1066</v>
      </c>
      <c r="R9" s="8">
        <v>1066</v>
      </c>
      <c r="S9" s="19">
        <v>1079</v>
      </c>
      <c r="T9" s="19">
        <v>1088</v>
      </c>
      <c r="U9" s="19">
        <v>1100</v>
      </c>
      <c r="V9" s="19">
        <v>1111</v>
      </c>
      <c r="W9" s="210">
        <v>1111</v>
      </c>
      <c r="X9" s="210">
        <v>1121</v>
      </c>
      <c r="Y9" s="210">
        <v>1136</v>
      </c>
      <c r="Z9" s="210">
        <v>1153</v>
      </c>
      <c r="AA9" s="210">
        <v>1169</v>
      </c>
      <c r="AB9" s="210">
        <v>1169</v>
      </c>
      <c r="AC9" s="210">
        <v>1185</v>
      </c>
      <c r="AD9" s="210">
        <v>1202</v>
      </c>
      <c r="AE9" s="210">
        <v>1230</v>
      </c>
      <c r="AF9" s="210">
        <v>1263</v>
      </c>
      <c r="AG9" s="210">
        <v>1263</v>
      </c>
      <c r="AH9" s="210">
        <v>1289</v>
      </c>
      <c r="AI9" s="210">
        <v>1308</v>
      </c>
      <c r="AJ9" s="210">
        <v>1335</v>
      </c>
      <c r="AK9" s="210">
        <v>1364</v>
      </c>
      <c r="AL9" s="210">
        <v>1364</v>
      </c>
      <c r="AM9" s="210">
        <f>1379+11</f>
        <v>1390</v>
      </c>
      <c r="AN9" s="210">
        <v>1418</v>
      </c>
      <c r="AO9" s="210">
        <v>1448</v>
      </c>
      <c r="AP9" s="210">
        <v>1479</v>
      </c>
      <c r="AQ9" s="210">
        <v>1479</v>
      </c>
      <c r="AR9" s="210">
        <v>1503</v>
      </c>
      <c r="AS9" s="210">
        <v>1521</v>
      </c>
      <c r="AT9" s="210">
        <v>1539</v>
      </c>
      <c r="AU9" s="210">
        <v>1558</v>
      </c>
      <c r="AV9" s="210">
        <v>1558</v>
      </c>
      <c r="AW9" s="210">
        <v>1580</v>
      </c>
      <c r="AX9" s="210">
        <f>AX36+AX20</f>
        <v>1593</v>
      </c>
      <c r="AY9" s="210">
        <v>1608</v>
      </c>
      <c r="AZ9" s="210">
        <v>1635</v>
      </c>
      <c r="BA9" s="210">
        <v>1635</v>
      </c>
      <c r="BB9" s="210">
        <f>BB36+BB20</f>
        <v>1653</v>
      </c>
      <c r="BC9" s="210">
        <f>BC36+BC20</f>
        <v>1662</v>
      </c>
      <c r="BD9" s="210">
        <f>BD36+BD20</f>
        <v>1663</v>
      </c>
      <c r="BE9" s="210">
        <f>BF9</f>
        <v>1656</v>
      </c>
      <c r="BF9" s="210">
        <v>1656</v>
      </c>
      <c r="BG9" s="210">
        <f>BG36+BG20</f>
        <v>1635</v>
      </c>
      <c r="BH9" s="210">
        <f>BH36+BH20</f>
        <v>1613</v>
      </c>
      <c r="BI9" s="210">
        <f>BI36+BI20</f>
        <v>1589</v>
      </c>
      <c r="BJ9" s="210">
        <f>BK9</f>
        <v>1575</v>
      </c>
      <c r="BK9" s="210">
        <f>BK36+BK20</f>
        <v>1575</v>
      </c>
      <c r="BL9" s="210">
        <f>BL36+BL20</f>
        <v>1566</v>
      </c>
      <c r="BM9" s="210">
        <f>BM36+BM20</f>
        <v>1571</v>
      </c>
      <c r="BN9" s="210">
        <f>BN36+BN20</f>
        <v>1565</v>
      </c>
      <c r="BO9" s="210">
        <f>BP9</f>
        <v>1556</v>
      </c>
      <c r="BP9" s="210">
        <f>BP36+BP20</f>
        <v>1556</v>
      </c>
      <c r="BQ9" s="210">
        <f>BQ36+BQ20</f>
        <v>1540</v>
      </c>
      <c r="BR9" s="210">
        <f>BR36+BR20</f>
        <v>1530</v>
      </c>
      <c r="BS9" s="210">
        <f>BS36+BS20</f>
        <v>1523</v>
      </c>
      <c r="BT9" s="210">
        <f>BU9</f>
        <v>1524</v>
      </c>
      <c r="BU9" s="210">
        <f>BU20+BU36</f>
        <v>1524</v>
      </c>
      <c r="BV9" s="19">
        <f>BV36+BV20</f>
        <v>1519</v>
      </c>
      <c r="BW9" s="19">
        <f>BW36+BW20</f>
        <v>1511</v>
      </c>
      <c r="BX9" s="19">
        <f>BX36+BX20</f>
        <v>1505</v>
      </c>
      <c r="BY9" s="19">
        <f>BZ9</f>
        <v>1504</v>
      </c>
      <c r="BZ9" s="210">
        <f>BZ20+BZ36</f>
        <v>1504</v>
      </c>
      <c r="CA9" s="19">
        <f>CA36+CA20</f>
        <v>1505</v>
      </c>
      <c r="CB9" s="19">
        <f>CB36+CB20</f>
        <v>1505</v>
      </c>
      <c r="CC9" s="19">
        <f>CC36+CC20</f>
        <v>1500</v>
      </c>
      <c r="CD9" s="19">
        <f>CE9</f>
        <v>1495</v>
      </c>
      <c r="CE9" s="210">
        <f>CE20+CE36</f>
        <v>1495</v>
      </c>
      <c r="CF9" s="19">
        <f>CF36+CF20</f>
        <v>1489</v>
      </c>
      <c r="CG9" s="19">
        <f>CG36+CG20</f>
        <v>1486</v>
      </c>
      <c r="CH9" s="19">
        <f>CH36+CH20</f>
        <v>1486</v>
      </c>
      <c r="CI9" s="19">
        <f>CJ9</f>
        <v>1479</v>
      </c>
      <c r="CJ9" s="210">
        <f>CJ20+CJ36</f>
        <v>1479</v>
      </c>
      <c r="CK9" s="19">
        <f>CK36+CK20</f>
        <v>1477</v>
      </c>
      <c r="CL9" s="19">
        <f>CL36+CL20</f>
        <v>1476</v>
      </c>
      <c r="CM9" s="19">
        <f>CM36+CM20</f>
        <v>1473</v>
      </c>
      <c r="CN9" s="19">
        <f>CO9</f>
        <v>1473</v>
      </c>
      <c r="CO9" s="210">
        <f>CO20+CO36</f>
        <v>1473</v>
      </c>
    </row>
    <row r="10" spans="1:203" ht="13.9" customHeight="1">
      <c r="B10" s="56" t="s">
        <v>5</v>
      </c>
      <c r="C10" s="4"/>
      <c r="D10" s="21"/>
      <c r="E10" s="21">
        <f>E9/D9-1</f>
        <v>1.2371134020618513E-2</v>
      </c>
      <c r="F10" s="21">
        <f>F9/E9-1</f>
        <v>1.2219959266802416E-2</v>
      </c>
      <c r="G10" s="21">
        <f>G9/F9-1</f>
        <v>1.1066398390342069E-2</v>
      </c>
      <c r="H10" s="4"/>
      <c r="I10" s="21">
        <f>I9/G9-1</f>
        <v>5.9701492537314049E-3</v>
      </c>
      <c r="J10" s="21">
        <f>J9/I9-1</f>
        <v>4.9455984174084922E-3</v>
      </c>
      <c r="K10" s="21">
        <f>K9/J9-1</f>
        <v>9.8425196850393526E-3</v>
      </c>
      <c r="L10" s="21">
        <f>L9/K9-1</f>
        <v>8.7719298245614308E-3</v>
      </c>
      <c r="M10" s="3"/>
      <c r="N10" s="21">
        <f>N9/L9-1</f>
        <v>9.6618357487923134E-3</v>
      </c>
      <c r="O10" s="21">
        <f>O9/N9-1</f>
        <v>5.7416267942582699E-3</v>
      </c>
      <c r="P10" s="21">
        <f>P9/O9-1</f>
        <v>4.7573739295909689E-3</v>
      </c>
      <c r="Q10" s="21">
        <f>Q9/P9-1</f>
        <v>9.4696969696970168E-3</v>
      </c>
      <c r="R10" s="3"/>
      <c r="S10" s="21">
        <f>S9/Q9-1</f>
        <v>1.2195121951219523E-2</v>
      </c>
      <c r="T10" s="21">
        <f>T9/S9-1</f>
        <v>8.3410565338275511E-3</v>
      </c>
      <c r="U10" s="21">
        <f>U9/T9-1</f>
        <v>1.1029411764705843E-2</v>
      </c>
      <c r="V10" s="21">
        <f>V9/U9-1</f>
        <v>1.0000000000000009E-2</v>
      </c>
      <c r="W10" s="226"/>
      <c r="X10" s="212">
        <f>X9/V9-1</f>
        <v>9.0009000900090896E-3</v>
      </c>
      <c r="Y10" s="212">
        <f>Y9/X9-1</f>
        <v>1.338090990187335E-2</v>
      </c>
      <c r="Z10" s="212">
        <f>Z9/Y9-1</f>
        <v>1.4964788732394263E-2</v>
      </c>
      <c r="AA10" s="212">
        <f>AA9/Z9-1</f>
        <v>1.3876843018213458E-2</v>
      </c>
      <c r="AB10" s="226"/>
      <c r="AC10" s="212">
        <f>AC9/AA9-1</f>
        <v>1.3686911890504749E-2</v>
      </c>
      <c r="AD10" s="212">
        <f>AD9/AC9-1</f>
        <v>1.4345991561181437E-2</v>
      </c>
      <c r="AE10" s="212">
        <f>AE9/AD9-1</f>
        <v>2.3294509151414289E-2</v>
      </c>
      <c r="AF10" s="212">
        <f>AF9/AE9-1</f>
        <v>2.6829268292682951E-2</v>
      </c>
      <c r="AG10" s="226"/>
      <c r="AH10" s="212">
        <f>AH9/AF9-1</f>
        <v>2.0585906571654711E-2</v>
      </c>
      <c r="AI10" s="212">
        <f>AI9/AH9-1</f>
        <v>1.4740108611326574E-2</v>
      </c>
      <c r="AJ10" s="212">
        <f>AJ9/AI9-1</f>
        <v>2.0642201834862428E-2</v>
      </c>
      <c r="AK10" s="212">
        <f>AK9/AJ9-1</f>
        <v>2.1722846441947663E-2</v>
      </c>
      <c r="AL10" s="226"/>
      <c r="AM10" s="212">
        <f>AM9/AK9-1</f>
        <v>1.9061583577712593E-2</v>
      </c>
      <c r="AN10" s="212">
        <f>AN9/AM9-1</f>
        <v>2.0143884892086295E-2</v>
      </c>
      <c r="AO10" s="212">
        <f>AO9/AN9-1</f>
        <v>2.1156558533145242E-2</v>
      </c>
      <c r="AP10" s="212">
        <f>AP9/AO9-1</f>
        <v>2.140883977900554E-2</v>
      </c>
      <c r="AQ10" s="226"/>
      <c r="AR10" s="212">
        <f>AR9/AP9-1</f>
        <v>1.6227180527383478E-2</v>
      </c>
      <c r="AS10" s="212">
        <f>AS9/AR9-1</f>
        <v>1.1976047904191711E-2</v>
      </c>
      <c r="AT10" s="212">
        <f>AT9/AS9-1</f>
        <v>1.1834319526627279E-2</v>
      </c>
      <c r="AU10" s="212">
        <f>AU9/AT9-1</f>
        <v>1.2345679012345734E-2</v>
      </c>
      <c r="AV10" s="226"/>
      <c r="AW10" s="212">
        <f>AW9/AU9-1</f>
        <v>1.4120667522464769E-2</v>
      </c>
      <c r="AX10" s="212">
        <f>AX9/AW9-1</f>
        <v>8.2278481012658666E-3</v>
      </c>
      <c r="AY10" s="212">
        <f>AY9/AX9-1</f>
        <v>9.4161958568739212E-3</v>
      </c>
      <c r="AZ10" s="212">
        <f>AZ9/AY9-1</f>
        <v>1.6791044776119479E-2</v>
      </c>
      <c r="BA10" s="226"/>
      <c r="BB10" s="212">
        <f>BB9/AZ9-1</f>
        <v>1.1009174311926495E-2</v>
      </c>
      <c r="BC10" s="212">
        <f>BC9/BB9-1</f>
        <v>5.4446460980035472E-3</v>
      </c>
      <c r="BD10" s="212">
        <f>BD9/BC9-1</f>
        <v>6.0168471720811745E-4</v>
      </c>
      <c r="BE10" s="212">
        <f>BE9/BD9-1</f>
        <v>-4.2092603728202116E-3</v>
      </c>
      <c r="BF10" s="211"/>
      <c r="BG10" s="212">
        <f>BG9/BE9-1</f>
        <v>-1.26811594202898E-2</v>
      </c>
      <c r="BH10" s="212">
        <f>BH9/BG9-1</f>
        <v>-1.3455657492354778E-2</v>
      </c>
      <c r="BI10" s="212">
        <f>BI9/BH9-1</f>
        <v>-1.4879107253564783E-2</v>
      </c>
      <c r="BJ10" s="212">
        <f>BJ9/BI9-1</f>
        <v>-8.8105726872246271E-3</v>
      </c>
      <c r="BK10" s="211"/>
      <c r="BL10" s="212">
        <f>BL9/BJ9-1</f>
        <v>-5.7142857142856718E-3</v>
      </c>
      <c r="BM10" s="212">
        <f>BM9/BL9-1</f>
        <v>3.1928480204341803E-3</v>
      </c>
      <c r="BN10" s="212">
        <f>BN9/BM9-1</f>
        <v>-3.8192234245703061E-3</v>
      </c>
      <c r="BO10" s="212">
        <f>BO9/BN9-1</f>
        <v>-5.7507987220447587E-3</v>
      </c>
      <c r="BP10" s="211"/>
      <c r="BQ10" s="212">
        <f>BQ9/BO9-1</f>
        <v>-1.0282776349614386E-2</v>
      </c>
      <c r="BR10" s="212">
        <f>BR9/BQ9-1</f>
        <v>-6.4935064935064402E-3</v>
      </c>
      <c r="BS10" s="212">
        <f>BS9/BR9-1</f>
        <v>-4.5751633986927942E-3</v>
      </c>
      <c r="BT10" s="212">
        <f>BT9/BS9-1</f>
        <v>6.5659881812218934E-4</v>
      </c>
      <c r="BU10" s="211"/>
      <c r="BV10" s="21">
        <f>BV9/BT9-1</f>
        <v>-3.2808398950131545E-3</v>
      </c>
      <c r="BW10" s="21">
        <f>BW9/BV9-1</f>
        <v>-5.2666227781434927E-3</v>
      </c>
      <c r="BX10" s="21">
        <f>BX9/BW9-1</f>
        <v>-3.97088021178027E-3</v>
      </c>
      <c r="BY10" s="21">
        <f>BY9/BX9-1</f>
        <v>-6.6445182724250706E-4</v>
      </c>
      <c r="BZ10" s="211"/>
      <c r="CA10" s="21">
        <f>CA9/BY9-1</f>
        <v>6.6489361702126715E-4</v>
      </c>
      <c r="CB10" s="21">
        <f>CB9/CA9-1</f>
        <v>0</v>
      </c>
      <c r="CC10" s="21">
        <f>CC9/CB9-1</f>
        <v>-3.3222591362126463E-3</v>
      </c>
      <c r="CD10" s="21">
        <f>CD9/CC9-1</f>
        <v>-3.3333333333332993E-3</v>
      </c>
      <c r="CE10" s="211"/>
      <c r="CF10" s="21">
        <f>CF9/CD9-1</f>
        <v>-4.0133779264214242E-3</v>
      </c>
      <c r="CG10" s="21">
        <f>CG9/CF9-1</f>
        <v>-2.014775016789816E-3</v>
      </c>
      <c r="CH10" s="21">
        <f>CH9/CG9-1</f>
        <v>0</v>
      </c>
      <c r="CI10" s="21">
        <f>CI9/CH9-1</f>
        <v>-4.710632570659512E-3</v>
      </c>
      <c r="CJ10" s="211"/>
      <c r="CK10" s="21">
        <f>CK9/CI9-1</f>
        <v>-1.3522650439485862E-3</v>
      </c>
      <c r="CL10" s="21">
        <f>CL9/CK9-1</f>
        <v>-6.7704807041302217E-4</v>
      </c>
      <c r="CM10" s="21">
        <f>CM9/CL9-1</f>
        <v>-2.0325203252032908E-3</v>
      </c>
      <c r="CN10" s="21">
        <f>CN9/CM9-1</f>
        <v>0</v>
      </c>
      <c r="CO10" s="211"/>
    </row>
    <row r="11" spans="1:203" ht="13.9" customHeight="1">
      <c r="B11" s="20" t="s">
        <v>6</v>
      </c>
      <c r="C11" s="4"/>
      <c r="D11" s="22"/>
      <c r="E11" s="22"/>
      <c r="F11" s="22"/>
      <c r="G11" s="22"/>
      <c r="H11" s="4">
        <f t="shared" ref="H11:AM11" si="4">H9/C9-1</f>
        <v>4.3613707165109039E-2</v>
      </c>
      <c r="I11" s="22">
        <f t="shared" si="4"/>
        <v>4.2268041237113474E-2</v>
      </c>
      <c r="J11" s="22">
        <f t="shared" si="4"/>
        <v>3.4623217922606919E-2</v>
      </c>
      <c r="K11" s="22">
        <f t="shared" si="4"/>
        <v>3.2193158953722323E-2</v>
      </c>
      <c r="L11" s="21">
        <f t="shared" si="4"/>
        <v>2.9850746268656803E-2</v>
      </c>
      <c r="M11" s="4">
        <f t="shared" si="4"/>
        <v>2.9850746268656803E-2</v>
      </c>
      <c r="N11" s="22">
        <f t="shared" si="4"/>
        <v>3.3630069238377747E-2</v>
      </c>
      <c r="O11" s="22">
        <f t="shared" si="4"/>
        <v>3.4448818897637734E-2</v>
      </c>
      <c r="P11" s="22">
        <f t="shared" si="4"/>
        <v>2.9239766081871288E-2</v>
      </c>
      <c r="Q11" s="21">
        <f t="shared" si="4"/>
        <v>2.9951690821256038E-2</v>
      </c>
      <c r="R11" s="4">
        <f t="shared" si="4"/>
        <v>2.9951690821256038E-2</v>
      </c>
      <c r="S11" s="22">
        <f t="shared" si="4"/>
        <v>3.2535885167464196E-2</v>
      </c>
      <c r="T11" s="22">
        <f t="shared" si="4"/>
        <v>3.520456707897246E-2</v>
      </c>
      <c r="U11" s="22">
        <f t="shared" si="4"/>
        <v>4.1666666666666741E-2</v>
      </c>
      <c r="V11" s="21">
        <f t="shared" si="4"/>
        <v>4.2213883677298281E-2</v>
      </c>
      <c r="W11" s="211">
        <f t="shared" si="4"/>
        <v>4.2213883677298281E-2</v>
      </c>
      <c r="X11" s="211">
        <f t="shared" si="4"/>
        <v>3.8924930491195608E-2</v>
      </c>
      <c r="Y11" s="211">
        <f t="shared" si="4"/>
        <v>4.4117647058823595E-2</v>
      </c>
      <c r="Z11" s="211">
        <f t="shared" si="4"/>
        <v>4.8181818181818103E-2</v>
      </c>
      <c r="AA11" s="212">
        <f t="shared" si="4"/>
        <v>5.2205220522052231E-2</v>
      </c>
      <c r="AB11" s="211">
        <f t="shared" si="4"/>
        <v>5.2205220522052231E-2</v>
      </c>
      <c r="AC11" s="211">
        <f t="shared" si="4"/>
        <v>5.7091882247992887E-2</v>
      </c>
      <c r="AD11" s="211">
        <f t="shared" si="4"/>
        <v>5.8098591549295753E-2</v>
      </c>
      <c r="AE11" s="211">
        <f t="shared" si="4"/>
        <v>6.6782307025151866E-2</v>
      </c>
      <c r="AF11" s="212">
        <f t="shared" si="4"/>
        <v>8.0410607356715236E-2</v>
      </c>
      <c r="AG11" s="211">
        <f t="shared" si="4"/>
        <v>8.0410607356715236E-2</v>
      </c>
      <c r="AH11" s="211">
        <f t="shared" si="4"/>
        <v>8.7763713080168726E-2</v>
      </c>
      <c r="AI11" s="211">
        <f t="shared" si="4"/>
        <v>8.8186356073211236E-2</v>
      </c>
      <c r="AJ11" s="211">
        <f t="shared" si="4"/>
        <v>8.5365853658536661E-2</v>
      </c>
      <c r="AK11" s="212">
        <f t="shared" si="4"/>
        <v>7.9968329374505043E-2</v>
      </c>
      <c r="AL11" s="211">
        <f t="shared" si="4"/>
        <v>7.9968329374505043E-2</v>
      </c>
      <c r="AM11" s="211">
        <f t="shared" si="4"/>
        <v>7.8355314197051884E-2</v>
      </c>
      <c r="AN11" s="211">
        <f t="shared" ref="AN11:BS11" si="5">AN9/AI9-1</f>
        <v>8.4097859327217028E-2</v>
      </c>
      <c r="AO11" s="211">
        <f t="shared" si="5"/>
        <v>8.4644194756554381E-2</v>
      </c>
      <c r="AP11" s="212">
        <f t="shared" si="5"/>
        <v>8.4310850439882623E-2</v>
      </c>
      <c r="AQ11" s="211">
        <f t="shared" si="5"/>
        <v>8.4310850439882623E-2</v>
      </c>
      <c r="AR11" s="211">
        <f t="shared" si="5"/>
        <v>8.1294964028777006E-2</v>
      </c>
      <c r="AS11" s="211">
        <f t="shared" si="5"/>
        <v>7.2637517630465442E-2</v>
      </c>
      <c r="AT11" s="211">
        <f t="shared" si="5"/>
        <v>6.2845303867403279E-2</v>
      </c>
      <c r="AU11" s="212">
        <f t="shared" si="5"/>
        <v>5.3414469235970152E-2</v>
      </c>
      <c r="AV11" s="211">
        <f t="shared" si="5"/>
        <v>5.3414469235970152E-2</v>
      </c>
      <c r="AW11" s="211">
        <f t="shared" si="5"/>
        <v>5.1230871590153049E-2</v>
      </c>
      <c r="AX11" s="211">
        <f t="shared" si="5"/>
        <v>4.7337278106508895E-2</v>
      </c>
      <c r="AY11" s="211">
        <f t="shared" si="5"/>
        <v>4.4834307992202671E-2</v>
      </c>
      <c r="AZ11" s="212">
        <f t="shared" si="5"/>
        <v>4.942233632862636E-2</v>
      </c>
      <c r="BA11" s="211">
        <f t="shared" si="5"/>
        <v>4.942233632862636E-2</v>
      </c>
      <c r="BB11" s="211">
        <f t="shared" si="5"/>
        <v>4.6202531645569644E-2</v>
      </c>
      <c r="BC11" s="211">
        <f t="shared" si="5"/>
        <v>4.3314500941619594E-2</v>
      </c>
      <c r="BD11" s="211">
        <f t="shared" si="5"/>
        <v>3.4203980099502429E-2</v>
      </c>
      <c r="BE11" s="212">
        <f t="shared" si="5"/>
        <v>1.2844036697247763E-2</v>
      </c>
      <c r="BF11" s="211">
        <f t="shared" si="5"/>
        <v>1.2844036697247763E-2</v>
      </c>
      <c r="BG11" s="211">
        <f t="shared" si="5"/>
        <v>-1.0889292196007205E-2</v>
      </c>
      <c r="BH11" s="211">
        <f t="shared" si="5"/>
        <v>-2.9482551143200975E-2</v>
      </c>
      <c r="BI11" s="211">
        <f t="shared" si="5"/>
        <v>-4.4497895369813634E-2</v>
      </c>
      <c r="BJ11" s="212">
        <f t="shared" si="5"/>
        <v>-4.8913043478260865E-2</v>
      </c>
      <c r="BK11" s="211">
        <f t="shared" si="5"/>
        <v>-4.8913043478260865E-2</v>
      </c>
      <c r="BL11" s="211">
        <f t="shared" si="5"/>
        <v>-4.2201834862385268E-2</v>
      </c>
      <c r="BM11" s="211">
        <f t="shared" si="5"/>
        <v>-2.603843769373837E-2</v>
      </c>
      <c r="BN11" s="211">
        <f t="shared" si="5"/>
        <v>-1.5103838892385202E-2</v>
      </c>
      <c r="BO11" s="212">
        <f t="shared" si="5"/>
        <v>-1.2063492063492109E-2</v>
      </c>
      <c r="BP11" s="211">
        <f t="shared" si="5"/>
        <v>-1.2063492063492109E-2</v>
      </c>
      <c r="BQ11" s="211">
        <f t="shared" si="5"/>
        <v>-1.6602809706257937E-2</v>
      </c>
      <c r="BR11" s="211">
        <f t="shared" si="5"/>
        <v>-2.6098026734563962E-2</v>
      </c>
      <c r="BS11" s="211">
        <f t="shared" si="5"/>
        <v>-2.6837060702875393E-2</v>
      </c>
      <c r="BT11" s="212">
        <f t="shared" ref="BT11:CC11" si="6">BT9/BO9-1</f>
        <v>-2.0565552699228773E-2</v>
      </c>
      <c r="BU11" s="211">
        <f t="shared" si="6"/>
        <v>-2.0565552699228773E-2</v>
      </c>
      <c r="BV11" s="22">
        <f t="shared" si="6"/>
        <v>-1.3636363636363669E-2</v>
      </c>
      <c r="BW11" s="22">
        <f t="shared" si="6"/>
        <v>-1.2418300653594727E-2</v>
      </c>
      <c r="BX11" s="22">
        <f t="shared" si="6"/>
        <v>-1.1818778726198298E-2</v>
      </c>
      <c r="BY11" s="21">
        <f t="shared" si="6"/>
        <v>-1.3123359580052507E-2</v>
      </c>
      <c r="BZ11" s="211">
        <f t="shared" si="6"/>
        <v>-1.3123359580052507E-2</v>
      </c>
      <c r="CA11" s="22">
        <f t="shared" si="6"/>
        <v>-9.2165898617511122E-3</v>
      </c>
      <c r="CB11" s="22">
        <f t="shared" si="6"/>
        <v>-3.97088021178027E-3</v>
      </c>
      <c r="CC11" s="22">
        <f t="shared" si="6"/>
        <v>-3.3222591362126463E-3</v>
      </c>
      <c r="CD11" s="21">
        <f t="shared" ref="CD11" si="7">CD9/BY9-1</f>
        <v>-5.9840425531915153E-3</v>
      </c>
      <c r="CE11" s="211">
        <f t="shared" ref="CE11:CH11" si="8">CE9/BZ9-1</f>
        <v>-5.9840425531915153E-3</v>
      </c>
      <c r="CF11" s="22">
        <f t="shared" si="8"/>
        <v>-1.0631229235880446E-2</v>
      </c>
      <c r="CG11" s="22">
        <f t="shared" si="8"/>
        <v>-1.2624584717607967E-2</v>
      </c>
      <c r="CH11" s="22">
        <f t="shared" si="8"/>
        <v>-9.3333333333333046E-3</v>
      </c>
      <c r="CI11" s="21">
        <f t="shared" ref="CI11" si="9">CI9/CD9-1</f>
        <v>-1.0702341137123761E-2</v>
      </c>
      <c r="CJ11" s="211">
        <f t="shared" ref="CJ11:CM11" si="10">CJ9/CE9-1</f>
        <v>-1.0702341137123761E-2</v>
      </c>
      <c r="CK11" s="22">
        <f t="shared" si="10"/>
        <v>-8.0591000671591528E-3</v>
      </c>
      <c r="CL11" s="22">
        <f t="shared" si="10"/>
        <v>-6.7294751009421283E-3</v>
      </c>
      <c r="CM11" s="22">
        <f t="shared" si="10"/>
        <v>-8.7483176312247446E-3</v>
      </c>
      <c r="CN11" s="21">
        <f t="shared" ref="CN11" si="11">CN9/CI9-1</f>
        <v>-4.0567951318458695E-3</v>
      </c>
      <c r="CO11" s="211">
        <f t="shared" ref="CO11" si="12">CO9/CJ9-1</f>
        <v>-4.0567951318458695E-3</v>
      </c>
    </row>
    <row r="12" spans="1:203" ht="13.9" customHeight="1">
      <c r="B12" s="20" t="s">
        <v>377</v>
      </c>
      <c r="C12" s="4"/>
      <c r="D12" s="22"/>
      <c r="E12" s="22"/>
      <c r="F12" s="22"/>
      <c r="G12" s="22"/>
      <c r="H12" s="80">
        <f>H9-C9</f>
        <v>42</v>
      </c>
      <c r="I12" s="22"/>
      <c r="J12" s="22"/>
      <c r="K12" s="22"/>
      <c r="L12" s="21"/>
      <c r="M12" s="80">
        <f>M9-H9</f>
        <v>30</v>
      </c>
      <c r="N12" s="22"/>
      <c r="O12" s="22"/>
      <c r="P12" s="22"/>
      <c r="Q12" s="21"/>
      <c r="R12" s="80">
        <f>R9-M9</f>
        <v>31</v>
      </c>
      <c r="S12" s="22"/>
      <c r="T12" s="22"/>
      <c r="U12" s="22"/>
      <c r="V12" s="21"/>
      <c r="W12" s="249">
        <f>W9-R9</f>
        <v>45</v>
      </c>
      <c r="X12" s="239"/>
      <c r="Y12" s="239"/>
      <c r="Z12" s="239"/>
      <c r="AA12" s="250"/>
      <c r="AB12" s="249">
        <f>AB9-W9</f>
        <v>58</v>
      </c>
      <c r="AC12" s="239"/>
      <c r="AD12" s="239"/>
      <c r="AE12" s="239"/>
      <c r="AF12" s="250"/>
      <c r="AG12" s="249">
        <f>AG9-AB9</f>
        <v>94</v>
      </c>
      <c r="AH12" s="239"/>
      <c r="AI12" s="239"/>
      <c r="AJ12" s="239"/>
      <c r="AK12" s="250"/>
      <c r="AL12" s="249">
        <f>AL9-AG9</f>
        <v>101</v>
      </c>
      <c r="AM12" s="239"/>
      <c r="AN12" s="251">
        <f>AN9-AM9</f>
        <v>28</v>
      </c>
      <c r="AO12" s="251">
        <f>AO9-AN9</f>
        <v>30</v>
      </c>
      <c r="AP12" s="251">
        <f>AP9-AO9</f>
        <v>31</v>
      </c>
      <c r="AQ12" s="249">
        <f>AQ9-AL9</f>
        <v>115</v>
      </c>
      <c r="AR12" s="249">
        <f>AR9-AP9</f>
        <v>24</v>
      </c>
      <c r="AS12" s="249">
        <f>AS9-AR9</f>
        <v>18</v>
      </c>
      <c r="AT12" s="249">
        <f>AT9-AS9</f>
        <v>18</v>
      </c>
      <c r="AU12" s="249">
        <f>AU9-AT9</f>
        <v>19</v>
      </c>
      <c r="AV12" s="249">
        <f>AV9-AQ9</f>
        <v>79</v>
      </c>
      <c r="AW12" s="249">
        <f>AW9-AU9</f>
        <v>22</v>
      </c>
      <c r="AX12" s="249">
        <f>AX9-AW9</f>
        <v>13</v>
      </c>
      <c r="AY12" s="249">
        <f>AY9-AX9</f>
        <v>15</v>
      </c>
      <c r="AZ12" s="249">
        <f>AZ9-AY9</f>
        <v>27</v>
      </c>
      <c r="BA12" s="249">
        <f>BA9-AV9</f>
        <v>77</v>
      </c>
      <c r="BB12" s="249">
        <f>BB9-AZ9</f>
        <v>18</v>
      </c>
      <c r="BC12" s="249">
        <f>BC9-BB9</f>
        <v>9</v>
      </c>
      <c r="BD12" s="249">
        <f>BD9-BC9</f>
        <v>1</v>
      </c>
      <c r="BE12" s="249">
        <f>BE9-BD9</f>
        <v>-7</v>
      </c>
      <c r="BF12" s="249">
        <f>BF9-BA9</f>
        <v>21</v>
      </c>
      <c r="BG12" s="249">
        <f>BG9-BE9</f>
        <v>-21</v>
      </c>
      <c r="BH12" s="249">
        <f>BH9-BG9</f>
        <v>-22</v>
      </c>
      <c r="BI12" s="249">
        <f>BI9-BH9</f>
        <v>-24</v>
      </c>
      <c r="BJ12" s="249">
        <f>BJ9-BI9</f>
        <v>-14</v>
      </c>
      <c r="BK12" s="249">
        <f>BK9-BF9</f>
        <v>-81</v>
      </c>
      <c r="BL12" s="249">
        <f>BL9-BJ9</f>
        <v>-9</v>
      </c>
      <c r="BM12" s="249">
        <f>BM9-BL9</f>
        <v>5</v>
      </c>
      <c r="BN12" s="249">
        <f>BN9-BM9</f>
        <v>-6</v>
      </c>
      <c r="BO12" s="249">
        <f>BO9-BN9</f>
        <v>-9</v>
      </c>
      <c r="BP12" s="249">
        <f>BP9-BK9</f>
        <v>-19</v>
      </c>
      <c r="BQ12" s="249">
        <f>BQ9-BO9</f>
        <v>-16</v>
      </c>
      <c r="BR12" s="249">
        <f>BR9-BQ9</f>
        <v>-10</v>
      </c>
      <c r="BS12" s="249">
        <f>BS9-BR9</f>
        <v>-7</v>
      </c>
      <c r="BT12" s="249">
        <f>BT9-BS9</f>
        <v>1</v>
      </c>
      <c r="BU12" s="249">
        <f>BU9-BP9</f>
        <v>-32</v>
      </c>
      <c r="BV12" s="113">
        <f>BV9-BT9</f>
        <v>-5</v>
      </c>
      <c r="BW12" s="113">
        <f>BW9-BV9</f>
        <v>-8</v>
      </c>
      <c r="BX12" s="113">
        <f>BX9-BW9</f>
        <v>-6</v>
      </c>
      <c r="BY12" s="113">
        <f>BY9-BX9</f>
        <v>-1</v>
      </c>
      <c r="BZ12" s="249">
        <f>BZ9-BU9</f>
        <v>-20</v>
      </c>
      <c r="CA12" s="113">
        <f>CA9-BY9</f>
        <v>1</v>
      </c>
      <c r="CB12" s="113">
        <f>CB9-CA9</f>
        <v>0</v>
      </c>
      <c r="CC12" s="113">
        <f>CC9-CB9</f>
        <v>-5</v>
      </c>
      <c r="CD12" s="113">
        <f>CD9-CC9</f>
        <v>-5</v>
      </c>
      <c r="CE12" s="249">
        <f>CE9-BZ9</f>
        <v>-9</v>
      </c>
      <c r="CF12" s="113">
        <f>CF9-CD9</f>
        <v>-6</v>
      </c>
      <c r="CG12" s="113">
        <f>CG9-CF9</f>
        <v>-3</v>
      </c>
      <c r="CH12" s="113">
        <f>CH9-CG9</f>
        <v>0</v>
      </c>
      <c r="CI12" s="113">
        <f>CI9-CH9</f>
        <v>-7</v>
      </c>
      <c r="CJ12" s="249">
        <f>CJ9-CE9</f>
        <v>-16</v>
      </c>
      <c r="CK12" s="113">
        <f>CK9-CI9</f>
        <v>-2</v>
      </c>
      <c r="CL12" s="113">
        <f>CL9-CK9</f>
        <v>-1</v>
      </c>
      <c r="CM12" s="113">
        <f>CM9-CL9</f>
        <v>-3</v>
      </c>
      <c r="CN12" s="113">
        <f>CN9-CM9</f>
        <v>0</v>
      </c>
      <c r="CO12" s="249">
        <f>CO9-CJ9</f>
        <v>-6</v>
      </c>
    </row>
    <row r="13" spans="1:203" ht="13.9" customHeight="1">
      <c r="B13" s="20"/>
      <c r="C13" s="4"/>
      <c r="D13" s="22"/>
      <c r="E13" s="22"/>
      <c r="F13" s="22"/>
      <c r="G13" s="22"/>
      <c r="H13" s="80"/>
      <c r="I13" s="22"/>
      <c r="J13" s="22"/>
      <c r="K13" s="22"/>
      <c r="L13" s="21"/>
      <c r="M13" s="80"/>
      <c r="N13" s="22"/>
      <c r="O13" s="22"/>
      <c r="P13" s="22"/>
      <c r="Q13" s="21"/>
      <c r="R13" s="80"/>
      <c r="S13" s="22"/>
      <c r="T13" s="22"/>
      <c r="U13" s="22"/>
      <c r="V13" s="21"/>
      <c r="W13" s="249"/>
      <c r="X13" s="239"/>
      <c r="Y13" s="239"/>
      <c r="Z13" s="239"/>
      <c r="AA13" s="250"/>
      <c r="AB13" s="249"/>
      <c r="AC13" s="239"/>
      <c r="AD13" s="239"/>
      <c r="AE13" s="239"/>
      <c r="AF13" s="250"/>
      <c r="AG13" s="249"/>
      <c r="AH13" s="239"/>
      <c r="AI13" s="239"/>
      <c r="AJ13" s="239"/>
      <c r="AK13" s="250"/>
      <c r="AL13" s="249"/>
      <c r="AM13" s="239"/>
      <c r="AN13" s="251"/>
      <c r="AO13" s="251"/>
      <c r="AP13" s="251"/>
      <c r="AQ13" s="249"/>
      <c r="AR13" s="249"/>
      <c r="AS13" s="249"/>
      <c r="AT13" s="249"/>
      <c r="AU13" s="249"/>
      <c r="AV13" s="249"/>
      <c r="AW13" s="249"/>
      <c r="AX13" s="249"/>
      <c r="AY13" s="249"/>
      <c r="AZ13" s="249"/>
      <c r="BA13" s="249"/>
      <c r="BB13" s="249"/>
      <c r="BC13" s="249"/>
      <c r="BD13" s="249"/>
      <c r="BE13" s="249"/>
      <c r="BF13" s="249"/>
      <c r="BG13" s="249"/>
      <c r="BH13" s="249"/>
      <c r="BI13" s="249"/>
      <c r="BJ13" s="249"/>
      <c r="BK13" s="249"/>
      <c r="BL13" s="249"/>
      <c r="BM13" s="249"/>
      <c r="BN13" s="249"/>
      <c r="BO13" s="249"/>
      <c r="BP13" s="249"/>
      <c r="BQ13" s="249"/>
      <c r="BR13" s="249"/>
      <c r="BS13" s="249"/>
      <c r="BT13" s="249"/>
      <c r="BU13" s="249"/>
      <c r="BV13" s="113"/>
      <c r="BW13" s="113"/>
      <c r="BX13" s="113"/>
      <c r="BY13" s="113"/>
      <c r="BZ13" s="249"/>
      <c r="CA13" s="113"/>
      <c r="CB13" s="113"/>
      <c r="CC13" s="113"/>
      <c r="CD13" s="113"/>
      <c r="CE13" s="249"/>
      <c r="CF13" s="61"/>
      <c r="CG13" s="113"/>
      <c r="CH13" s="113"/>
      <c r="CI13" s="113"/>
      <c r="CJ13" s="249"/>
      <c r="CK13" s="61"/>
      <c r="CL13" s="113"/>
      <c r="CM13" s="113"/>
      <c r="CN13" s="113"/>
      <c r="CO13" s="249"/>
    </row>
    <row r="14" spans="1:203" ht="13.9" customHeight="1">
      <c r="B14" s="12" t="s">
        <v>376</v>
      </c>
      <c r="C14" s="4"/>
      <c r="D14" s="22"/>
      <c r="E14" s="22"/>
      <c r="F14" s="22"/>
      <c r="G14" s="22"/>
      <c r="H14" s="80"/>
      <c r="I14" s="22"/>
      <c r="J14" s="22"/>
      <c r="K14" s="22"/>
      <c r="L14" s="21"/>
      <c r="M14" s="80"/>
      <c r="N14" s="22"/>
      <c r="O14" s="22"/>
      <c r="P14" s="22"/>
      <c r="Q14" s="21"/>
      <c r="R14" s="60" t="s">
        <v>92</v>
      </c>
      <c r="S14" s="22"/>
      <c r="T14" s="22"/>
      <c r="U14" s="22"/>
      <c r="V14" s="21"/>
      <c r="W14" s="252" t="s">
        <v>92</v>
      </c>
      <c r="X14" s="239"/>
      <c r="Y14" s="239"/>
      <c r="Z14" s="239"/>
      <c r="AA14" s="250"/>
      <c r="AB14" s="252" t="s">
        <v>92</v>
      </c>
      <c r="AC14" s="239"/>
      <c r="AD14" s="239"/>
      <c r="AE14" s="239"/>
      <c r="AF14" s="250"/>
      <c r="AG14" s="252" t="s">
        <v>92</v>
      </c>
      <c r="AH14" s="239"/>
      <c r="AI14" s="239"/>
      <c r="AJ14" s="239"/>
      <c r="AK14" s="250"/>
      <c r="AL14" s="252" t="s">
        <v>92</v>
      </c>
      <c r="AM14" s="239"/>
      <c r="AN14" s="251"/>
      <c r="AO14" s="251"/>
      <c r="AP14" s="251"/>
      <c r="AQ14" s="252" t="s">
        <v>92</v>
      </c>
      <c r="AR14" s="249"/>
      <c r="AS14" s="249"/>
      <c r="AT14" s="249"/>
      <c r="AU14" s="249"/>
      <c r="AV14" s="252" t="s">
        <v>92</v>
      </c>
      <c r="AW14" s="249"/>
      <c r="AX14" s="249"/>
      <c r="AY14" s="249"/>
      <c r="AZ14" s="249"/>
      <c r="BA14" s="252" t="s">
        <v>92</v>
      </c>
      <c r="BB14" s="249"/>
      <c r="BC14" s="249"/>
      <c r="BD14" s="249"/>
      <c r="BE14" s="249"/>
      <c r="BF14" s="252" t="s">
        <v>92</v>
      </c>
      <c r="BG14" s="249"/>
      <c r="BH14" s="249"/>
      <c r="BI14" s="249"/>
      <c r="BJ14" s="249"/>
      <c r="BK14" s="252" t="s">
        <v>92</v>
      </c>
      <c r="BL14" s="249"/>
      <c r="BM14" s="249"/>
      <c r="BN14" s="249"/>
      <c r="BO14" s="249"/>
      <c r="BP14" s="252" t="s">
        <v>92</v>
      </c>
      <c r="BQ14" s="253">
        <f t="shared" ref="BQ14:CB14" si="13">BQ27+BQ40</f>
        <v>1</v>
      </c>
      <c r="BR14" s="253">
        <f t="shared" si="13"/>
        <v>16</v>
      </c>
      <c r="BS14" s="253">
        <f t="shared" si="13"/>
        <v>44</v>
      </c>
      <c r="BT14" s="253">
        <f t="shared" si="13"/>
        <v>84</v>
      </c>
      <c r="BU14" s="210">
        <f t="shared" si="13"/>
        <v>84</v>
      </c>
      <c r="BV14" s="61">
        <f t="shared" si="13"/>
        <v>124</v>
      </c>
      <c r="BW14" s="61">
        <f t="shared" si="13"/>
        <v>160</v>
      </c>
      <c r="BX14" s="61">
        <f t="shared" si="13"/>
        <v>212</v>
      </c>
      <c r="BY14" s="61">
        <f t="shared" si="13"/>
        <v>267</v>
      </c>
      <c r="BZ14" s="210">
        <f t="shared" si="13"/>
        <v>267</v>
      </c>
      <c r="CA14" s="61">
        <f t="shared" si="13"/>
        <v>351</v>
      </c>
      <c r="CB14" s="61">
        <f t="shared" si="13"/>
        <v>424</v>
      </c>
      <c r="CC14" s="61">
        <f t="shared" ref="CC14:CG14" si="14">CC27+CC40</f>
        <v>506</v>
      </c>
      <c r="CD14" s="61">
        <f t="shared" si="14"/>
        <v>565</v>
      </c>
      <c r="CE14" s="210">
        <f t="shared" si="14"/>
        <v>565</v>
      </c>
      <c r="CF14" s="61">
        <f t="shared" si="14"/>
        <v>635</v>
      </c>
      <c r="CG14" s="19">
        <f t="shared" si="14"/>
        <v>694</v>
      </c>
      <c r="CH14" s="61">
        <f t="shared" ref="CH14:CL14" si="15">CH27+CH40</f>
        <v>759</v>
      </c>
      <c r="CI14" s="61">
        <f t="shared" si="15"/>
        <v>810</v>
      </c>
      <c r="CJ14" s="210">
        <f t="shared" si="15"/>
        <v>810</v>
      </c>
      <c r="CK14" s="61">
        <f t="shared" si="15"/>
        <v>863</v>
      </c>
      <c r="CL14" s="19">
        <f t="shared" si="15"/>
        <v>907</v>
      </c>
      <c r="CM14" s="19">
        <f t="shared" ref="CM14:CO14" si="16">CM27+CM40</f>
        <v>954</v>
      </c>
      <c r="CN14" s="61">
        <f t="shared" si="16"/>
        <v>993</v>
      </c>
      <c r="CO14" s="210">
        <f t="shared" si="16"/>
        <v>993</v>
      </c>
    </row>
    <row r="15" spans="1:203" ht="13.9" customHeight="1">
      <c r="B15" s="56" t="s">
        <v>5</v>
      </c>
      <c r="C15" s="4"/>
      <c r="D15" s="22"/>
      <c r="E15" s="22"/>
      <c r="F15" s="22"/>
      <c r="G15" s="22"/>
      <c r="H15" s="80"/>
      <c r="I15" s="22"/>
      <c r="J15" s="22"/>
      <c r="K15" s="22"/>
      <c r="L15" s="21"/>
      <c r="M15" s="80"/>
      <c r="N15" s="22"/>
      <c r="O15" s="22"/>
      <c r="P15" s="22"/>
      <c r="Q15" s="21"/>
      <c r="R15" s="80"/>
      <c r="S15" s="22"/>
      <c r="T15" s="22"/>
      <c r="U15" s="22"/>
      <c r="V15" s="21"/>
      <c r="W15" s="249"/>
      <c r="X15" s="239"/>
      <c r="Y15" s="239"/>
      <c r="Z15" s="239"/>
      <c r="AA15" s="250"/>
      <c r="AB15" s="249"/>
      <c r="AC15" s="239"/>
      <c r="AD15" s="239"/>
      <c r="AE15" s="239"/>
      <c r="AF15" s="250"/>
      <c r="AG15" s="249"/>
      <c r="AH15" s="239"/>
      <c r="AI15" s="239"/>
      <c r="AJ15" s="239"/>
      <c r="AK15" s="250"/>
      <c r="AL15" s="249"/>
      <c r="AM15" s="239"/>
      <c r="AN15" s="251"/>
      <c r="AO15" s="251"/>
      <c r="AP15" s="251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49"/>
      <c r="BN15" s="249"/>
      <c r="BO15" s="249"/>
      <c r="BP15" s="249"/>
      <c r="BQ15" s="212"/>
      <c r="BR15" s="212">
        <f>BR14/BQ14-1</f>
        <v>15</v>
      </c>
      <c r="BS15" s="212">
        <f>BS14/BR14-1</f>
        <v>1.75</v>
      </c>
      <c r="BT15" s="212">
        <f>BT14/BS14-1</f>
        <v>0.90909090909090917</v>
      </c>
      <c r="BU15" s="211"/>
      <c r="BV15" s="21">
        <f>BV14/BT14-1</f>
        <v>0.47619047619047628</v>
      </c>
      <c r="BW15" s="21">
        <f>BW14/BV14-1</f>
        <v>0.29032258064516125</v>
      </c>
      <c r="BX15" s="21">
        <f>BX14/BW14-1</f>
        <v>0.32499999999999996</v>
      </c>
      <c r="BY15" s="21">
        <f>BY14/BX14-1</f>
        <v>0.25943396226415105</v>
      </c>
      <c r="BZ15" s="211"/>
      <c r="CA15" s="21">
        <f>CA14/BY14-1</f>
        <v>0.31460674157303381</v>
      </c>
      <c r="CB15" s="21">
        <f>CB14/CA14-1</f>
        <v>0.20797720797720798</v>
      </c>
      <c r="CC15" s="21">
        <f>CC14/CB14-1</f>
        <v>0.19339622641509435</v>
      </c>
      <c r="CD15" s="21">
        <f>CD14/CC14-1</f>
        <v>0.11660079051383399</v>
      </c>
      <c r="CE15" s="211"/>
      <c r="CF15" s="21">
        <f>CF14/CD14-1</f>
        <v>0.12389380530973448</v>
      </c>
      <c r="CG15" s="21">
        <f>CG14/CF14-1</f>
        <v>9.2913385826771666E-2</v>
      </c>
      <c r="CH15" s="21">
        <f>CH14/CG14-1</f>
        <v>9.365994236311237E-2</v>
      </c>
      <c r="CI15" s="21">
        <f>CI14/CH14-1</f>
        <v>6.7193675889328119E-2</v>
      </c>
      <c r="CJ15" s="211"/>
      <c r="CK15" s="21">
        <f>CK14/CI14-1</f>
        <v>6.543209876543199E-2</v>
      </c>
      <c r="CL15" s="21">
        <f>CL14/CK14-1</f>
        <v>5.0984936268829717E-2</v>
      </c>
      <c r="CM15" s="21">
        <f>CM14/CL14-1</f>
        <v>5.1819184123484074E-2</v>
      </c>
      <c r="CN15" s="21">
        <f>CN14/CM14-1</f>
        <v>4.088050314465419E-2</v>
      </c>
      <c r="CO15" s="211"/>
    </row>
    <row r="16" spans="1:203" ht="13.9" customHeight="1">
      <c r="B16" s="20" t="s">
        <v>6</v>
      </c>
      <c r="C16" s="4"/>
      <c r="D16" s="22"/>
      <c r="E16" s="22"/>
      <c r="F16" s="22"/>
      <c r="G16" s="22"/>
      <c r="H16" s="80"/>
      <c r="I16" s="22"/>
      <c r="J16" s="22"/>
      <c r="K16" s="22"/>
      <c r="L16" s="21"/>
      <c r="M16" s="80"/>
      <c r="N16" s="22"/>
      <c r="O16" s="22"/>
      <c r="P16" s="22"/>
      <c r="Q16" s="21"/>
      <c r="R16" s="80"/>
      <c r="S16" s="22"/>
      <c r="T16" s="22"/>
      <c r="U16" s="22"/>
      <c r="V16" s="21"/>
      <c r="W16" s="249"/>
      <c r="X16" s="239"/>
      <c r="Y16" s="239"/>
      <c r="Z16" s="239"/>
      <c r="AA16" s="250"/>
      <c r="AB16" s="249"/>
      <c r="AC16" s="239"/>
      <c r="AD16" s="239"/>
      <c r="AE16" s="239"/>
      <c r="AF16" s="250"/>
      <c r="AG16" s="249"/>
      <c r="AH16" s="239"/>
      <c r="AI16" s="239"/>
      <c r="AJ16" s="239"/>
      <c r="AK16" s="250"/>
      <c r="AL16" s="249"/>
      <c r="AM16" s="239"/>
      <c r="AN16" s="251"/>
      <c r="AO16" s="251"/>
      <c r="AP16" s="251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49"/>
      <c r="BB16" s="249"/>
      <c r="BC16" s="249"/>
      <c r="BD16" s="249"/>
      <c r="BE16" s="249"/>
      <c r="BF16" s="249"/>
      <c r="BG16" s="249"/>
      <c r="BH16" s="249"/>
      <c r="BI16" s="249"/>
      <c r="BJ16" s="249"/>
      <c r="BK16" s="249"/>
      <c r="BL16" s="249"/>
      <c r="BM16" s="249"/>
      <c r="BN16" s="249"/>
      <c r="BO16" s="249"/>
      <c r="BP16" s="249"/>
      <c r="BQ16" s="211"/>
      <c r="BR16" s="211"/>
      <c r="BS16" s="211"/>
      <c r="BT16" s="212"/>
      <c r="BU16" s="211"/>
      <c r="BV16" s="22">
        <f t="shared" ref="BV16:CC16" si="17">BV14/BQ14-1</f>
        <v>123</v>
      </c>
      <c r="BW16" s="22">
        <f t="shared" si="17"/>
        <v>9</v>
      </c>
      <c r="BX16" s="22">
        <f t="shared" si="17"/>
        <v>3.8181818181818183</v>
      </c>
      <c r="BY16" s="21">
        <f t="shared" si="17"/>
        <v>2.1785714285714284</v>
      </c>
      <c r="BZ16" s="211">
        <f t="shared" si="17"/>
        <v>2.1785714285714284</v>
      </c>
      <c r="CA16" s="22">
        <f t="shared" si="17"/>
        <v>1.8306451612903225</v>
      </c>
      <c r="CB16" s="22">
        <f t="shared" si="17"/>
        <v>1.65</v>
      </c>
      <c r="CC16" s="22">
        <f t="shared" si="17"/>
        <v>1.3867924528301887</v>
      </c>
      <c r="CD16" s="21">
        <f t="shared" ref="CD16" si="18">CD14/BY14-1</f>
        <v>1.1161048689138577</v>
      </c>
      <c r="CE16" s="211">
        <f t="shared" ref="CE16:CH16" si="19">CE14/BZ14-1</f>
        <v>1.1161048689138577</v>
      </c>
      <c r="CF16" s="22">
        <f t="shared" si="19"/>
        <v>0.80911680911680905</v>
      </c>
      <c r="CG16" s="22">
        <f t="shared" si="19"/>
        <v>0.6367924528301887</v>
      </c>
      <c r="CH16" s="22">
        <f t="shared" si="19"/>
        <v>0.5</v>
      </c>
      <c r="CI16" s="21">
        <f t="shared" ref="CI16" si="20">CI14/CD14-1</f>
        <v>0.4336283185840708</v>
      </c>
      <c r="CJ16" s="211">
        <f t="shared" ref="CJ16:CM16" si="21">CJ14/CE14-1</f>
        <v>0.4336283185840708</v>
      </c>
      <c r="CK16" s="22">
        <f t="shared" si="21"/>
        <v>0.35905511811023616</v>
      </c>
      <c r="CL16" s="22">
        <f t="shared" si="21"/>
        <v>0.30691642651296824</v>
      </c>
      <c r="CM16" s="22">
        <f t="shared" si="21"/>
        <v>0.2569169960474309</v>
      </c>
      <c r="CN16" s="21">
        <f t="shared" ref="CN16" si="22">CN14/CI14-1</f>
        <v>0.22592592592592586</v>
      </c>
      <c r="CO16" s="211">
        <f t="shared" ref="CO16" si="23">CO14/CJ14-1</f>
        <v>0.22592592592592586</v>
      </c>
    </row>
    <row r="17" spans="2:93" ht="13.9" customHeight="1">
      <c r="B17" s="20" t="s">
        <v>377</v>
      </c>
      <c r="C17" s="4"/>
      <c r="D17" s="22"/>
      <c r="E17" s="22"/>
      <c r="F17" s="22"/>
      <c r="G17" s="22"/>
      <c r="H17" s="80"/>
      <c r="I17" s="22"/>
      <c r="J17" s="22"/>
      <c r="K17" s="22"/>
      <c r="L17" s="21"/>
      <c r="M17" s="80"/>
      <c r="N17" s="22"/>
      <c r="O17" s="22"/>
      <c r="P17" s="22"/>
      <c r="Q17" s="21"/>
      <c r="R17" s="80"/>
      <c r="S17" s="22"/>
      <c r="T17" s="22"/>
      <c r="U17" s="22"/>
      <c r="V17" s="21"/>
      <c r="W17" s="249"/>
      <c r="X17" s="239"/>
      <c r="Y17" s="239"/>
      <c r="Z17" s="239"/>
      <c r="AA17" s="250"/>
      <c r="AB17" s="249"/>
      <c r="AC17" s="239"/>
      <c r="AD17" s="239"/>
      <c r="AE17" s="239"/>
      <c r="AF17" s="250"/>
      <c r="AG17" s="249"/>
      <c r="AH17" s="239"/>
      <c r="AI17" s="239"/>
      <c r="AJ17" s="239"/>
      <c r="AK17" s="250"/>
      <c r="AL17" s="249"/>
      <c r="AM17" s="239"/>
      <c r="AN17" s="251"/>
      <c r="AO17" s="251"/>
      <c r="AP17" s="251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49"/>
      <c r="BB17" s="249"/>
      <c r="BC17" s="249"/>
      <c r="BD17" s="249"/>
      <c r="BE17" s="249"/>
      <c r="BF17" s="249"/>
      <c r="BG17" s="249"/>
      <c r="BH17" s="249"/>
      <c r="BI17" s="249"/>
      <c r="BJ17" s="249"/>
      <c r="BK17" s="249"/>
      <c r="BL17" s="249"/>
      <c r="BM17" s="249"/>
      <c r="BN17" s="249"/>
      <c r="BO17" s="249"/>
      <c r="BP17" s="249"/>
      <c r="BQ17" s="249">
        <f>BQ14-BO14</f>
        <v>1</v>
      </c>
      <c r="BR17" s="249">
        <f>BR14-BQ14</f>
        <v>15</v>
      </c>
      <c r="BS17" s="249">
        <f>BS14-BR14</f>
        <v>28</v>
      </c>
      <c r="BT17" s="249">
        <f>BT14-BS14</f>
        <v>40</v>
      </c>
      <c r="BU17" s="249"/>
      <c r="BV17" s="113">
        <f>BV14-BT14</f>
        <v>40</v>
      </c>
      <c r="BW17" s="113">
        <f>BW14-BV14</f>
        <v>36</v>
      </c>
      <c r="BX17" s="113">
        <f>BX14-BW14</f>
        <v>52</v>
      </c>
      <c r="BY17" s="113">
        <f>BY14-BX14</f>
        <v>55</v>
      </c>
      <c r="BZ17" s="249">
        <f>BZ14-BU14</f>
        <v>183</v>
      </c>
      <c r="CA17" s="113">
        <f>CA14-BY14</f>
        <v>84</v>
      </c>
      <c r="CB17" s="113">
        <f>CB14-CA14</f>
        <v>73</v>
      </c>
      <c r="CC17" s="113">
        <f>CC14-CB14</f>
        <v>82</v>
      </c>
      <c r="CD17" s="113">
        <f>CD14-CC14</f>
        <v>59</v>
      </c>
      <c r="CE17" s="249">
        <f>CE14-BZ14</f>
        <v>298</v>
      </c>
      <c r="CF17" s="113">
        <f>CF14-CD14</f>
        <v>70</v>
      </c>
      <c r="CG17" s="113">
        <f>CG14-CF14</f>
        <v>59</v>
      </c>
      <c r="CH17" s="113">
        <f>CH14-CG14</f>
        <v>65</v>
      </c>
      <c r="CI17" s="113">
        <f>CI14-CH14</f>
        <v>51</v>
      </c>
      <c r="CJ17" s="249">
        <f>CJ14-CE14</f>
        <v>245</v>
      </c>
      <c r="CK17" s="113">
        <f>CK14-CI14</f>
        <v>53</v>
      </c>
      <c r="CL17" s="113">
        <f>CL14-CK14</f>
        <v>44</v>
      </c>
      <c r="CM17" s="113">
        <f>CM14-CL14</f>
        <v>47</v>
      </c>
      <c r="CN17" s="113">
        <f>CN14-CM14</f>
        <v>39</v>
      </c>
      <c r="CO17" s="249">
        <f>CO14-CJ14</f>
        <v>183</v>
      </c>
    </row>
    <row r="18" spans="2:93" ht="13.9" customHeight="1">
      <c r="B18" s="12" t="s">
        <v>438</v>
      </c>
      <c r="C18" s="4"/>
      <c r="D18" s="22"/>
      <c r="E18" s="22"/>
      <c r="F18" s="22"/>
      <c r="G18" s="22"/>
      <c r="H18" s="80"/>
      <c r="I18" s="22"/>
      <c r="J18" s="22"/>
      <c r="K18" s="22"/>
      <c r="L18" s="21"/>
      <c r="M18" s="80"/>
      <c r="N18" s="22"/>
      <c r="O18" s="22"/>
      <c r="P18" s="22"/>
      <c r="Q18" s="21"/>
      <c r="R18" s="80"/>
      <c r="S18" s="22"/>
      <c r="T18" s="22"/>
      <c r="U18" s="22"/>
      <c r="V18" s="21"/>
      <c r="W18" s="249"/>
      <c r="X18" s="239"/>
      <c r="Y18" s="239"/>
      <c r="Z18" s="239"/>
      <c r="AA18" s="250"/>
      <c r="AB18" s="249"/>
      <c r="AC18" s="239"/>
      <c r="AD18" s="239"/>
      <c r="AE18" s="239"/>
      <c r="AF18" s="250"/>
      <c r="AG18" s="249"/>
      <c r="AH18" s="239"/>
      <c r="AI18" s="239"/>
      <c r="AJ18" s="239"/>
      <c r="AK18" s="250"/>
      <c r="AL18" s="249"/>
      <c r="AM18" s="239"/>
      <c r="AN18" s="251"/>
      <c r="AO18" s="251"/>
      <c r="AP18" s="251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49"/>
      <c r="BB18" s="249"/>
      <c r="BC18" s="249"/>
      <c r="BD18" s="249"/>
      <c r="BE18" s="249"/>
      <c r="BF18" s="249"/>
      <c r="BG18" s="249"/>
      <c r="BH18" s="249"/>
      <c r="BI18" s="249"/>
      <c r="BJ18" s="249"/>
      <c r="BK18" s="249"/>
      <c r="BL18" s="249"/>
      <c r="BM18" s="249"/>
      <c r="BN18" s="249"/>
      <c r="BO18" s="249"/>
      <c r="BP18" s="249"/>
      <c r="BQ18" s="249"/>
      <c r="BR18" s="249"/>
      <c r="BS18" s="249"/>
      <c r="BT18" s="249"/>
      <c r="BU18" s="375">
        <f>BU14/BU49</f>
        <v>7.8947368421052627E-2</v>
      </c>
      <c r="BV18" s="376"/>
      <c r="BW18" s="376"/>
      <c r="BX18" s="376"/>
      <c r="BY18" s="376"/>
      <c r="BZ18" s="375">
        <f t="shared" ref="BZ18:CJ18" si="24">BZ14/BZ49</f>
        <v>0.17496723460026212</v>
      </c>
      <c r="CA18" s="377">
        <f t="shared" si="24"/>
        <v>0.20781527531083482</v>
      </c>
      <c r="CB18" s="377">
        <f t="shared" si="24"/>
        <v>0.23106267029972752</v>
      </c>
      <c r="CC18" s="377">
        <f t="shared" si="24"/>
        <v>0.25685279187817261</v>
      </c>
      <c r="CD18" s="377">
        <f t="shared" si="24"/>
        <v>0.27294685990338163</v>
      </c>
      <c r="CE18" s="375">
        <f t="shared" si="24"/>
        <v>0.27294685990338163</v>
      </c>
      <c r="CF18" s="377">
        <f t="shared" si="24"/>
        <v>0.28982199908717482</v>
      </c>
      <c r="CG18" s="377">
        <f t="shared" si="24"/>
        <v>0.30017301038062283</v>
      </c>
      <c r="CH18" s="377">
        <f t="shared" si="24"/>
        <v>0.31004901960784315</v>
      </c>
      <c r="CI18" s="377">
        <f t="shared" si="24"/>
        <v>0.31505250875145857</v>
      </c>
      <c r="CJ18" s="375">
        <f t="shared" si="24"/>
        <v>0.31505250875145857</v>
      </c>
      <c r="CK18" s="377">
        <f t="shared" ref="CK18:CL18" si="25">CK14/CK49</f>
        <v>0.32309996256083862</v>
      </c>
      <c r="CL18" s="377">
        <f t="shared" si="25"/>
        <v>0.32696467195385726</v>
      </c>
      <c r="CM18" s="377">
        <f t="shared" ref="CM18:CO18" si="26">CM14/CM49</f>
        <v>0.33368310598111228</v>
      </c>
      <c r="CN18" s="377">
        <f t="shared" si="26"/>
        <v>0.3408856848609681</v>
      </c>
      <c r="CO18" s="375">
        <f t="shared" si="26"/>
        <v>0.3408856848609681</v>
      </c>
    </row>
    <row r="19" spans="2:93" ht="3.75" customHeight="1">
      <c r="B19" s="201"/>
      <c r="C19" s="201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/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283"/>
      <c r="BG19" s="283"/>
      <c r="BH19" s="283"/>
      <c r="BI19" s="283"/>
      <c r="BJ19" s="283"/>
      <c r="BK19" s="283"/>
      <c r="BL19" s="283"/>
      <c r="BM19" s="283"/>
      <c r="BN19" s="283"/>
      <c r="BO19" s="283"/>
      <c r="BP19" s="283"/>
      <c r="BQ19" s="283"/>
      <c r="BR19" s="283"/>
      <c r="BS19" s="283"/>
      <c r="BT19" s="283"/>
      <c r="BU19" s="283"/>
      <c r="BV19" s="283"/>
      <c r="BW19" s="283"/>
      <c r="BX19" s="283"/>
      <c r="BY19" s="283"/>
      <c r="BZ19" s="283"/>
      <c r="CA19" s="283"/>
      <c r="CB19" s="283"/>
      <c r="CC19" s="283"/>
      <c r="CD19" s="283"/>
      <c r="CE19" s="283"/>
      <c r="CF19" s="283"/>
      <c r="CG19" s="283"/>
      <c r="CH19" s="283"/>
      <c r="CI19" s="283"/>
      <c r="CJ19" s="283"/>
      <c r="CK19" s="283"/>
      <c r="CL19" s="283"/>
      <c r="CM19" s="283"/>
      <c r="CN19" s="283"/>
      <c r="CO19" s="283"/>
    </row>
    <row r="20" spans="2:93" ht="13.9" customHeight="1">
      <c r="B20" s="12" t="s">
        <v>368</v>
      </c>
      <c r="C20" s="9">
        <v>963</v>
      </c>
      <c r="D20" s="12">
        <v>970</v>
      </c>
      <c r="E20" s="12">
        <v>982</v>
      </c>
      <c r="F20" s="12">
        <v>994</v>
      </c>
      <c r="G20" s="19">
        <v>1005</v>
      </c>
      <c r="H20" s="9">
        <v>1005</v>
      </c>
      <c r="I20" s="19">
        <v>1011</v>
      </c>
      <c r="J20" s="19">
        <v>1016</v>
      </c>
      <c r="K20" s="19">
        <v>1026</v>
      </c>
      <c r="L20" s="19">
        <v>1035</v>
      </c>
      <c r="M20" s="8">
        <v>1035</v>
      </c>
      <c r="N20" s="19">
        <v>1045</v>
      </c>
      <c r="O20" s="19">
        <v>1051</v>
      </c>
      <c r="P20" s="19">
        <v>1056</v>
      </c>
      <c r="Q20" s="19">
        <v>1066</v>
      </c>
      <c r="R20" s="8">
        <v>1066</v>
      </c>
      <c r="S20" s="19">
        <v>1079</v>
      </c>
      <c r="T20" s="19">
        <v>1088</v>
      </c>
      <c r="U20" s="19">
        <v>1100</v>
      </c>
      <c r="V20" s="19">
        <v>1111</v>
      </c>
      <c r="W20" s="210">
        <v>1111</v>
      </c>
      <c r="X20" s="210">
        <v>1121</v>
      </c>
      <c r="Y20" s="210">
        <v>1136</v>
      </c>
      <c r="Z20" s="210">
        <v>1153</v>
      </c>
      <c r="AA20" s="210">
        <v>1169</v>
      </c>
      <c r="AB20" s="210">
        <v>1169</v>
      </c>
      <c r="AC20" s="210">
        <v>1185</v>
      </c>
      <c r="AD20" s="210">
        <v>1202</v>
      </c>
      <c r="AE20" s="210">
        <v>1230</v>
      </c>
      <c r="AF20" s="210">
        <v>1263</v>
      </c>
      <c r="AG20" s="210">
        <v>1263</v>
      </c>
      <c r="AH20" s="210">
        <v>1289</v>
      </c>
      <c r="AI20" s="210">
        <v>1308</v>
      </c>
      <c r="AJ20" s="210">
        <v>1335</v>
      </c>
      <c r="AK20" s="210">
        <v>1364</v>
      </c>
      <c r="AL20" s="210">
        <v>1364</v>
      </c>
      <c r="AM20" s="210">
        <f t="shared" ref="AM20:AW20" si="27">AM9-AM36</f>
        <v>1379</v>
      </c>
      <c r="AN20" s="210">
        <f t="shared" si="27"/>
        <v>1340</v>
      </c>
      <c r="AO20" s="210">
        <f t="shared" si="27"/>
        <v>1271</v>
      </c>
      <c r="AP20" s="210">
        <f t="shared" si="27"/>
        <v>1235</v>
      </c>
      <c r="AQ20" s="210">
        <f t="shared" si="27"/>
        <v>1235</v>
      </c>
      <c r="AR20" s="210">
        <f t="shared" si="27"/>
        <v>1213</v>
      </c>
      <c r="AS20" s="210">
        <f t="shared" si="27"/>
        <v>1198</v>
      </c>
      <c r="AT20" s="210">
        <f t="shared" si="27"/>
        <v>1192</v>
      </c>
      <c r="AU20" s="210">
        <f t="shared" si="27"/>
        <v>1181</v>
      </c>
      <c r="AV20" s="210">
        <f t="shared" si="27"/>
        <v>1181</v>
      </c>
      <c r="AW20" s="210">
        <f t="shared" si="27"/>
        <v>1166</v>
      </c>
      <c r="AX20" s="210">
        <v>1149</v>
      </c>
      <c r="AY20" s="210">
        <v>1124</v>
      </c>
      <c r="AZ20" s="210">
        <f>AZ9-AZ36</f>
        <v>1103</v>
      </c>
      <c r="BA20" s="210">
        <f>BA9-BA36</f>
        <v>1103</v>
      </c>
      <c r="BB20" s="210">
        <v>1079</v>
      </c>
      <c r="BC20" s="210">
        <v>1062</v>
      </c>
      <c r="BD20" s="210">
        <v>1046</v>
      </c>
      <c r="BE20" s="210">
        <v>1030</v>
      </c>
      <c r="BF20" s="210">
        <f>BF9-BF36</f>
        <v>1030</v>
      </c>
      <c r="BG20" s="210">
        <v>1011</v>
      </c>
      <c r="BH20" s="210">
        <v>1001</v>
      </c>
      <c r="BI20" s="210">
        <v>988</v>
      </c>
      <c r="BJ20" s="210">
        <v>983</v>
      </c>
      <c r="BK20" s="210">
        <v>983</v>
      </c>
      <c r="BL20" s="210">
        <v>982</v>
      </c>
      <c r="BM20" s="210">
        <v>991</v>
      </c>
      <c r="BN20" s="210">
        <v>995</v>
      </c>
      <c r="BO20" s="210">
        <f>BP20</f>
        <v>999</v>
      </c>
      <c r="BP20" s="210">
        <v>999</v>
      </c>
      <c r="BQ20" s="210">
        <f>BQ27+BQ31</f>
        <v>1001</v>
      </c>
      <c r="BR20" s="210">
        <f>BR27+BR31</f>
        <v>1010</v>
      </c>
      <c r="BS20" s="210">
        <f>BS27+BS31</f>
        <v>1013</v>
      </c>
      <c r="BT20" s="210">
        <f>BT27+BT31</f>
        <v>1023</v>
      </c>
      <c r="BU20" s="210">
        <v>1023</v>
      </c>
      <c r="BV20" s="19">
        <f t="shared" ref="BV20:CA20" si="28">BV27+BV31</f>
        <v>1024</v>
      </c>
      <c r="BW20" s="19">
        <f t="shared" si="28"/>
        <v>1021</v>
      </c>
      <c r="BX20" s="19">
        <f t="shared" si="28"/>
        <v>1024</v>
      </c>
      <c r="BY20" s="19">
        <f t="shared" si="28"/>
        <v>1032</v>
      </c>
      <c r="BZ20" s="210">
        <f t="shared" si="28"/>
        <v>1032</v>
      </c>
      <c r="CA20" s="19">
        <f t="shared" si="28"/>
        <v>1031</v>
      </c>
      <c r="CB20" s="19">
        <f>CB27+CB31</f>
        <v>1028</v>
      </c>
      <c r="CC20" s="19">
        <f t="shared" ref="CC20:CF20" si="29">CC27+CC31</f>
        <v>1029</v>
      </c>
      <c r="CD20" s="19">
        <f t="shared" si="29"/>
        <v>1028</v>
      </c>
      <c r="CE20" s="210">
        <f t="shared" si="29"/>
        <v>1028</v>
      </c>
      <c r="CF20" s="19">
        <f t="shared" si="29"/>
        <v>1019</v>
      </c>
      <c r="CG20" s="19">
        <f>CG27+CG31</f>
        <v>1014</v>
      </c>
      <c r="CH20" s="19">
        <f t="shared" ref="CH20:CK20" si="30">CH27+CH31</f>
        <v>1012</v>
      </c>
      <c r="CI20" s="19">
        <f t="shared" si="30"/>
        <v>1008</v>
      </c>
      <c r="CJ20" s="210">
        <f t="shared" si="30"/>
        <v>1008</v>
      </c>
      <c r="CK20" s="19">
        <f t="shared" si="30"/>
        <v>1003</v>
      </c>
      <c r="CL20" s="19">
        <f>CL27+CL31</f>
        <v>999</v>
      </c>
      <c r="CM20" s="19">
        <f>CM27+CM31</f>
        <v>990</v>
      </c>
      <c r="CN20" s="19">
        <f t="shared" ref="CN20:CO20" si="31">CN27+CN31</f>
        <v>980</v>
      </c>
      <c r="CO20" s="210">
        <f t="shared" si="31"/>
        <v>980</v>
      </c>
    </row>
    <row r="21" spans="2:93" ht="13.9" customHeight="1">
      <c r="B21" s="20" t="s">
        <v>5</v>
      </c>
      <c r="C21" s="4"/>
      <c r="D21" s="21"/>
      <c r="E21" s="21">
        <f>E20/D20-1</f>
        <v>1.2371134020618513E-2</v>
      </c>
      <c r="F21" s="21">
        <f>F20/E20-1</f>
        <v>1.2219959266802416E-2</v>
      </c>
      <c r="G21" s="21">
        <f>G20/F20-1</f>
        <v>1.1066398390342069E-2</v>
      </c>
      <c r="H21" s="4"/>
      <c r="I21" s="21">
        <f>I20/G20-1</f>
        <v>5.9701492537314049E-3</v>
      </c>
      <c r="J21" s="21">
        <f>J20/I20-1</f>
        <v>4.9455984174084922E-3</v>
      </c>
      <c r="K21" s="21">
        <f>K20/J20-1</f>
        <v>9.8425196850393526E-3</v>
      </c>
      <c r="L21" s="21">
        <f>L20/K20-1</f>
        <v>8.7719298245614308E-3</v>
      </c>
      <c r="M21" s="4"/>
      <c r="N21" s="21">
        <f>N20/L20-1</f>
        <v>9.6618357487923134E-3</v>
      </c>
      <c r="O21" s="21">
        <f>O20/N20-1</f>
        <v>5.7416267942582699E-3</v>
      </c>
      <c r="P21" s="21">
        <f>P20/O20-1</f>
        <v>4.7573739295909689E-3</v>
      </c>
      <c r="Q21" s="21">
        <f>Q20/P20-1</f>
        <v>9.4696969696970168E-3</v>
      </c>
      <c r="R21" s="4"/>
      <c r="S21" s="21">
        <f>S20/Q20-1</f>
        <v>1.2195121951219523E-2</v>
      </c>
      <c r="T21" s="21">
        <f>T20/S20-1</f>
        <v>8.3410565338275511E-3</v>
      </c>
      <c r="U21" s="21">
        <f>U20/T20-1</f>
        <v>1.1029411764705843E-2</v>
      </c>
      <c r="V21" s="21">
        <f>V20/U20-1</f>
        <v>1.0000000000000009E-2</v>
      </c>
      <c r="W21" s="211"/>
      <c r="X21" s="212">
        <f>X20/V20-1</f>
        <v>9.0009000900090896E-3</v>
      </c>
      <c r="Y21" s="212">
        <f>Y20/X20-1</f>
        <v>1.338090990187335E-2</v>
      </c>
      <c r="Z21" s="212">
        <f>Z20/Y20-1</f>
        <v>1.4964788732394263E-2</v>
      </c>
      <c r="AA21" s="212">
        <f>AA20/Z20-1</f>
        <v>1.3876843018213458E-2</v>
      </c>
      <c r="AB21" s="211"/>
      <c r="AC21" s="212">
        <f>AC20/AA20-1</f>
        <v>1.3686911890504749E-2</v>
      </c>
      <c r="AD21" s="212">
        <f>AD20/AC20-1</f>
        <v>1.4345991561181437E-2</v>
      </c>
      <c r="AE21" s="212">
        <f>AE20/AD20-1</f>
        <v>2.3294509151414289E-2</v>
      </c>
      <c r="AF21" s="212">
        <f>AF20/AE20-1</f>
        <v>2.6829268292682951E-2</v>
      </c>
      <c r="AG21" s="211"/>
      <c r="AH21" s="212">
        <f>AH20/AF20-1</f>
        <v>2.0585906571654711E-2</v>
      </c>
      <c r="AI21" s="212">
        <f>AI20/AH20-1</f>
        <v>1.4740108611326574E-2</v>
      </c>
      <c r="AJ21" s="212">
        <f>AJ20/AI20-1</f>
        <v>2.0642201834862428E-2</v>
      </c>
      <c r="AK21" s="212">
        <f>AK20/AJ20-1</f>
        <v>2.1722846441947663E-2</v>
      </c>
      <c r="AL21" s="211"/>
      <c r="AM21" s="212">
        <f>AM20/AK20-1</f>
        <v>1.0997067448680342E-2</v>
      </c>
      <c r="AN21" s="212">
        <f>AN20/AM20-1</f>
        <v>-2.8281363306744023E-2</v>
      </c>
      <c r="AO21" s="212">
        <f>AO20/AN20-1</f>
        <v>-5.149253731343284E-2</v>
      </c>
      <c r="AP21" s="212">
        <f>AP20/AO20-1</f>
        <v>-2.8324154209284025E-2</v>
      </c>
      <c r="AQ21" s="211"/>
      <c r="AR21" s="212">
        <f>AR20/AP20-1</f>
        <v>-1.7813765182186247E-2</v>
      </c>
      <c r="AS21" s="212">
        <f>AS20/AR20-1</f>
        <v>-1.2366034624896938E-2</v>
      </c>
      <c r="AT21" s="212">
        <f>AT20/AS20-1</f>
        <v>-5.008347245408995E-3</v>
      </c>
      <c r="AU21" s="212">
        <f>AU20/AT20-1</f>
        <v>-9.2281879194631156E-3</v>
      </c>
      <c r="AV21" s="211"/>
      <c r="AW21" s="212">
        <f>AW20/AU20-1</f>
        <v>-1.2701100762066098E-2</v>
      </c>
      <c r="AX21" s="212">
        <f>AX20/AW20-1</f>
        <v>-1.4579759862778707E-2</v>
      </c>
      <c r="AY21" s="212">
        <f>AY20/AX20-1</f>
        <v>-2.1758050478677071E-2</v>
      </c>
      <c r="AZ21" s="212">
        <f>AZ20/AY20-1</f>
        <v>-1.8683274021352281E-2</v>
      </c>
      <c r="BA21" s="211"/>
      <c r="BB21" s="212">
        <f>BB20/AZ20-1</f>
        <v>-2.1758839528558505E-2</v>
      </c>
      <c r="BC21" s="212">
        <f>BC20/BB20-1</f>
        <v>-1.575532900834109E-2</v>
      </c>
      <c r="BD21" s="212">
        <f>BD20/BC20-1</f>
        <v>-1.5065913370998163E-2</v>
      </c>
      <c r="BE21" s="212">
        <f>BE20/BD20-1</f>
        <v>-1.5296367112810683E-2</v>
      </c>
      <c r="BF21" s="211"/>
      <c r="BG21" s="212">
        <f>BG20/BE20-1</f>
        <v>-1.844660194174752E-2</v>
      </c>
      <c r="BH21" s="212">
        <f>BH20/BG20-1</f>
        <v>-9.8911968348169843E-3</v>
      </c>
      <c r="BI21" s="212">
        <f>BI20/BH20-1</f>
        <v>-1.2987012987012991E-2</v>
      </c>
      <c r="BJ21" s="212">
        <f>BJ20/BI20-1</f>
        <v>-5.0607287449392357E-3</v>
      </c>
      <c r="BK21" s="211"/>
      <c r="BL21" s="212">
        <f>BL20/BJ20-1</f>
        <v>-1.0172939979654627E-3</v>
      </c>
      <c r="BM21" s="212">
        <f>BM20/BL20-1</f>
        <v>9.164969450101923E-3</v>
      </c>
      <c r="BN21" s="212">
        <f>BN20/BM20-1</f>
        <v>4.0363269424823489E-3</v>
      </c>
      <c r="BO21" s="212">
        <f>BO20/BN20-1</f>
        <v>4.020100502512669E-3</v>
      </c>
      <c r="BP21" s="211"/>
      <c r="BQ21" s="212">
        <f>BQ20/BO20-1</f>
        <v>2.0020020020019569E-3</v>
      </c>
      <c r="BR21" s="212">
        <f>BR20/BQ20-1</f>
        <v>8.9910089910090196E-3</v>
      </c>
      <c r="BS21" s="212">
        <f>BS20/BR20-1</f>
        <v>2.9702970297029729E-3</v>
      </c>
      <c r="BT21" s="212">
        <f>BT20/BS20-1</f>
        <v>9.8716683119446369E-3</v>
      </c>
      <c r="BU21" s="211"/>
      <c r="BV21" s="21">
        <f>BV20/BT20-1</f>
        <v>9.7751710654936375E-4</v>
      </c>
      <c r="BW21" s="21">
        <f>BW20/BV20-1</f>
        <v>-2.9296875E-3</v>
      </c>
      <c r="BX21" s="21">
        <f>BX20/BW20-1</f>
        <v>2.9382957884427352E-3</v>
      </c>
      <c r="BY21" s="21">
        <f>BY20/BX20-1</f>
        <v>7.8125E-3</v>
      </c>
      <c r="BZ21" s="211"/>
      <c r="CA21" s="21">
        <f>CA20/BY20-1</f>
        <v>-9.6899224806201723E-4</v>
      </c>
      <c r="CB21" s="21">
        <f>CB20/CA20-1</f>
        <v>-2.9097963142580285E-3</v>
      </c>
      <c r="CC21" s="21">
        <f>CC20/CB20-1</f>
        <v>9.7276264591439343E-4</v>
      </c>
      <c r="CD21" s="21">
        <f>CD20/CC20-1</f>
        <v>-9.7181729834794339E-4</v>
      </c>
      <c r="CE21" s="211"/>
      <c r="CF21" s="21">
        <f>CF20/CD20-1</f>
        <v>-8.7548638132295409E-3</v>
      </c>
      <c r="CG21" s="21">
        <f>CG20/CF20-1</f>
        <v>-4.9067713444553851E-3</v>
      </c>
      <c r="CH21" s="21">
        <f>CH20/CG20-1</f>
        <v>-1.9723865877712132E-3</v>
      </c>
      <c r="CI21" s="21">
        <f>CI20/CH20-1</f>
        <v>-3.9525691699604515E-3</v>
      </c>
      <c r="CJ21" s="211"/>
      <c r="CK21" s="21">
        <f>CK20/CI20-1</f>
        <v>-4.9603174603174427E-3</v>
      </c>
      <c r="CL21" s="21">
        <f>CL20/CK20-1</f>
        <v>-3.9880358923229942E-3</v>
      </c>
      <c r="CM21" s="21">
        <f>CM20/CL20-1</f>
        <v>-9.009009009009028E-3</v>
      </c>
      <c r="CN21" s="21">
        <f>CN20/CM20-1</f>
        <v>-1.0101010101010055E-2</v>
      </c>
      <c r="CO21" s="211"/>
    </row>
    <row r="22" spans="2:93" ht="13.9" customHeight="1">
      <c r="B22" s="20" t="s">
        <v>6</v>
      </c>
      <c r="C22" s="4"/>
      <c r="D22" s="22"/>
      <c r="E22" s="22"/>
      <c r="F22" s="22"/>
      <c r="G22" s="22"/>
      <c r="H22" s="4">
        <f t="shared" ref="H22:AM22" si="32">H20/C20-1</f>
        <v>4.3613707165109039E-2</v>
      </c>
      <c r="I22" s="22">
        <f t="shared" si="32"/>
        <v>4.2268041237113474E-2</v>
      </c>
      <c r="J22" s="22">
        <f t="shared" si="32"/>
        <v>3.4623217922606919E-2</v>
      </c>
      <c r="K22" s="22">
        <f t="shared" si="32"/>
        <v>3.2193158953722323E-2</v>
      </c>
      <c r="L22" s="21">
        <f t="shared" si="32"/>
        <v>2.9850746268656803E-2</v>
      </c>
      <c r="M22" s="4">
        <f t="shared" si="32"/>
        <v>2.9850746268656803E-2</v>
      </c>
      <c r="N22" s="22">
        <f t="shared" si="32"/>
        <v>3.3630069238377747E-2</v>
      </c>
      <c r="O22" s="22">
        <f t="shared" si="32"/>
        <v>3.4448818897637734E-2</v>
      </c>
      <c r="P22" s="22">
        <f t="shared" si="32"/>
        <v>2.9239766081871288E-2</v>
      </c>
      <c r="Q22" s="21">
        <f t="shared" si="32"/>
        <v>2.9951690821256038E-2</v>
      </c>
      <c r="R22" s="4">
        <f t="shared" si="32"/>
        <v>2.9951690821256038E-2</v>
      </c>
      <c r="S22" s="22">
        <f t="shared" si="32"/>
        <v>3.2535885167464196E-2</v>
      </c>
      <c r="T22" s="22">
        <f t="shared" si="32"/>
        <v>3.520456707897246E-2</v>
      </c>
      <c r="U22" s="22">
        <f t="shared" si="32"/>
        <v>4.1666666666666741E-2</v>
      </c>
      <c r="V22" s="21">
        <f t="shared" si="32"/>
        <v>4.2213883677298281E-2</v>
      </c>
      <c r="W22" s="211">
        <f t="shared" si="32"/>
        <v>4.2213883677298281E-2</v>
      </c>
      <c r="X22" s="211">
        <f t="shared" si="32"/>
        <v>3.8924930491195608E-2</v>
      </c>
      <c r="Y22" s="211">
        <f t="shared" si="32"/>
        <v>4.4117647058823595E-2</v>
      </c>
      <c r="Z22" s="211">
        <f t="shared" si="32"/>
        <v>4.8181818181818103E-2</v>
      </c>
      <c r="AA22" s="212">
        <f t="shared" si="32"/>
        <v>5.2205220522052231E-2</v>
      </c>
      <c r="AB22" s="211">
        <f t="shared" si="32"/>
        <v>5.2205220522052231E-2</v>
      </c>
      <c r="AC22" s="211">
        <f t="shared" si="32"/>
        <v>5.7091882247992887E-2</v>
      </c>
      <c r="AD22" s="211">
        <f t="shared" si="32"/>
        <v>5.8098591549295753E-2</v>
      </c>
      <c r="AE22" s="211">
        <f t="shared" si="32"/>
        <v>6.6782307025151866E-2</v>
      </c>
      <c r="AF22" s="212">
        <f t="shared" si="32"/>
        <v>8.0410607356715236E-2</v>
      </c>
      <c r="AG22" s="211">
        <f t="shared" si="32"/>
        <v>8.0410607356715236E-2</v>
      </c>
      <c r="AH22" s="211">
        <f t="shared" si="32"/>
        <v>8.7763713080168726E-2</v>
      </c>
      <c r="AI22" s="211">
        <f t="shared" si="32"/>
        <v>8.8186356073211236E-2</v>
      </c>
      <c r="AJ22" s="211">
        <f t="shared" si="32"/>
        <v>8.5365853658536661E-2</v>
      </c>
      <c r="AK22" s="212">
        <f t="shared" si="32"/>
        <v>7.9968329374505043E-2</v>
      </c>
      <c r="AL22" s="211">
        <f t="shared" si="32"/>
        <v>7.9968329374505043E-2</v>
      </c>
      <c r="AM22" s="211">
        <f t="shared" si="32"/>
        <v>6.9821567106283844E-2</v>
      </c>
      <c r="AN22" s="211">
        <f t="shared" ref="AN22:BS22" si="33">AN20/AI20-1</f>
        <v>2.4464831804281273E-2</v>
      </c>
      <c r="AO22" s="211">
        <f t="shared" si="33"/>
        <v>-4.7940074906367092E-2</v>
      </c>
      <c r="AP22" s="212">
        <f t="shared" si="33"/>
        <v>-9.4574780058651053E-2</v>
      </c>
      <c r="AQ22" s="211">
        <f t="shared" si="33"/>
        <v>-9.4574780058651053E-2</v>
      </c>
      <c r="AR22" s="211">
        <f t="shared" si="33"/>
        <v>-0.12037708484408993</v>
      </c>
      <c r="AS22" s="211">
        <f t="shared" si="33"/>
        <v>-0.10597014925373138</v>
      </c>
      <c r="AT22" s="211">
        <f t="shared" si="33"/>
        <v>-6.2155782848151042E-2</v>
      </c>
      <c r="AU22" s="212">
        <f t="shared" si="33"/>
        <v>-4.3724696356275294E-2</v>
      </c>
      <c r="AV22" s="211">
        <f t="shared" si="33"/>
        <v>-4.3724696356275294E-2</v>
      </c>
      <c r="AW22" s="211">
        <f t="shared" si="33"/>
        <v>-3.8746908491343768E-2</v>
      </c>
      <c r="AX22" s="211">
        <f t="shared" si="33"/>
        <v>-4.090150250417357E-2</v>
      </c>
      <c r="AY22" s="211">
        <f t="shared" si="33"/>
        <v>-5.7046979865771785E-2</v>
      </c>
      <c r="AZ22" s="212">
        <f t="shared" si="33"/>
        <v>-6.6045723962743441E-2</v>
      </c>
      <c r="BA22" s="211">
        <f t="shared" si="33"/>
        <v>-6.6045723962743441E-2</v>
      </c>
      <c r="BB22" s="211">
        <f t="shared" si="33"/>
        <v>-7.461406518010294E-2</v>
      </c>
      <c r="BC22" s="211">
        <f t="shared" si="33"/>
        <v>-7.571801566579639E-2</v>
      </c>
      <c r="BD22" s="211">
        <f t="shared" si="33"/>
        <v>-6.939501779359436E-2</v>
      </c>
      <c r="BE22" s="212">
        <f t="shared" si="33"/>
        <v>-6.6183136899365391E-2</v>
      </c>
      <c r="BF22" s="211">
        <f t="shared" si="33"/>
        <v>-6.6183136899365391E-2</v>
      </c>
      <c r="BG22" s="211">
        <f t="shared" si="33"/>
        <v>-6.302131603336425E-2</v>
      </c>
      <c r="BH22" s="211">
        <f t="shared" si="33"/>
        <v>-5.7438794726930364E-2</v>
      </c>
      <c r="BI22" s="211">
        <f t="shared" si="33"/>
        <v>-5.5449330783938766E-2</v>
      </c>
      <c r="BJ22" s="212">
        <f t="shared" si="33"/>
        <v>-4.5631067961165006E-2</v>
      </c>
      <c r="BK22" s="211">
        <f t="shared" si="33"/>
        <v>-4.5631067961165006E-2</v>
      </c>
      <c r="BL22" s="211">
        <f t="shared" si="33"/>
        <v>-2.8684470820969366E-2</v>
      </c>
      <c r="BM22" s="211">
        <f t="shared" si="33"/>
        <v>-9.9900099900099848E-3</v>
      </c>
      <c r="BN22" s="211">
        <f t="shared" si="33"/>
        <v>7.0850202429149078E-3</v>
      </c>
      <c r="BO22" s="212">
        <f t="shared" si="33"/>
        <v>1.6276703967446515E-2</v>
      </c>
      <c r="BP22" s="211">
        <f t="shared" si="33"/>
        <v>1.6276703967446515E-2</v>
      </c>
      <c r="BQ22" s="211">
        <f t="shared" si="33"/>
        <v>1.9348268839103788E-2</v>
      </c>
      <c r="BR22" s="211">
        <f t="shared" si="33"/>
        <v>1.9172552976791213E-2</v>
      </c>
      <c r="BS22" s="211">
        <f t="shared" si="33"/>
        <v>1.8090452261306567E-2</v>
      </c>
      <c r="BT22" s="212">
        <f t="shared" ref="BT22:CC22" si="34">BT20/BO20-1</f>
        <v>2.4024024024023927E-2</v>
      </c>
      <c r="BU22" s="211">
        <f t="shared" si="34"/>
        <v>2.4024024024023927E-2</v>
      </c>
      <c r="BV22" s="22">
        <f t="shared" si="34"/>
        <v>2.2977022977022976E-2</v>
      </c>
      <c r="BW22" s="22">
        <f t="shared" si="34"/>
        <v>1.0891089108910901E-2</v>
      </c>
      <c r="BX22" s="22">
        <f t="shared" si="34"/>
        <v>1.0858835143139123E-2</v>
      </c>
      <c r="BY22" s="21">
        <f t="shared" si="34"/>
        <v>8.7976539589442737E-3</v>
      </c>
      <c r="BZ22" s="211">
        <f t="shared" si="34"/>
        <v>8.7976539589442737E-3</v>
      </c>
      <c r="CA22" s="22">
        <f t="shared" si="34"/>
        <v>6.8359375E-3</v>
      </c>
      <c r="CB22" s="22">
        <f t="shared" si="34"/>
        <v>6.8560235063663821E-3</v>
      </c>
      <c r="CC22" s="22">
        <f t="shared" si="34"/>
        <v>4.8828125E-3</v>
      </c>
      <c r="CD22" s="21">
        <f t="shared" ref="CD22" si="35">CD20/BY20-1</f>
        <v>-3.8759689922480689E-3</v>
      </c>
      <c r="CE22" s="211">
        <f t="shared" ref="CE22:CH22" si="36">CE20/BZ20-1</f>
        <v>-3.8759689922480689E-3</v>
      </c>
      <c r="CF22" s="22">
        <f t="shared" si="36"/>
        <v>-1.1639185257032003E-2</v>
      </c>
      <c r="CG22" s="22">
        <f t="shared" si="36"/>
        <v>-1.3618677042801508E-2</v>
      </c>
      <c r="CH22" s="22">
        <f t="shared" si="36"/>
        <v>-1.6520894071914483E-2</v>
      </c>
      <c r="CI22" s="21">
        <f t="shared" ref="CI22" si="37">CI20/CD20-1</f>
        <v>-1.945525291828798E-2</v>
      </c>
      <c r="CJ22" s="211">
        <f t="shared" ref="CJ22:CM22" si="38">CJ20/CE20-1</f>
        <v>-1.945525291828798E-2</v>
      </c>
      <c r="CK22" s="22">
        <f t="shared" si="38"/>
        <v>-1.5701668302257166E-2</v>
      </c>
      <c r="CL22" s="22">
        <f t="shared" si="38"/>
        <v>-1.4792899408283988E-2</v>
      </c>
      <c r="CM22" s="22">
        <f t="shared" si="38"/>
        <v>-2.1739130434782594E-2</v>
      </c>
      <c r="CN22" s="21">
        <f t="shared" ref="CN22" si="39">CN20/CI20-1</f>
        <v>-2.777777777777779E-2</v>
      </c>
      <c r="CO22" s="211">
        <f t="shared" ref="CO22" si="40">CO20/CJ20-1</f>
        <v>-2.777777777777779E-2</v>
      </c>
    </row>
    <row r="23" spans="2:93" ht="13.9" customHeight="1">
      <c r="B23" s="20" t="s">
        <v>377</v>
      </c>
      <c r="C23" s="4"/>
      <c r="D23" s="22"/>
      <c r="E23" s="22"/>
      <c r="F23" s="22"/>
      <c r="G23" s="22"/>
      <c r="H23" s="80">
        <f>H20-C20</f>
        <v>42</v>
      </c>
      <c r="I23" s="22"/>
      <c r="J23" s="22"/>
      <c r="K23" s="22"/>
      <c r="L23" s="21"/>
      <c r="M23" s="80">
        <f>M20-H20</f>
        <v>30</v>
      </c>
      <c r="N23" s="22"/>
      <c r="O23" s="22"/>
      <c r="P23" s="22"/>
      <c r="Q23" s="21"/>
      <c r="R23" s="80">
        <f>R20-M20</f>
        <v>31</v>
      </c>
      <c r="S23" s="22"/>
      <c r="T23" s="22"/>
      <c r="U23" s="22"/>
      <c r="V23" s="21"/>
      <c r="W23" s="249">
        <f>W20-R20</f>
        <v>45</v>
      </c>
      <c r="X23" s="239"/>
      <c r="Y23" s="239"/>
      <c r="Z23" s="239"/>
      <c r="AA23" s="250"/>
      <c r="AB23" s="249">
        <f>AB20-W20</f>
        <v>58</v>
      </c>
      <c r="AC23" s="239"/>
      <c r="AD23" s="239"/>
      <c r="AE23" s="239"/>
      <c r="AF23" s="250"/>
      <c r="AG23" s="249">
        <f>AG20-AB20</f>
        <v>94</v>
      </c>
      <c r="AH23" s="239"/>
      <c r="AI23" s="239"/>
      <c r="AJ23" s="239"/>
      <c r="AK23" s="250"/>
      <c r="AL23" s="249">
        <f>AL20-AG20</f>
        <v>101</v>
      </c>
      <c r="AM23" s="239"/>
      <c r="AN23" s="251">
        <f>AN20-AM20</f>
        <v>-39</v>
      </c>
      <c r="AO23" s="251">
        <f>AO20-AN20</f>
        <v>-69</v>
      </c>
      <c r="AP23" s="251">
        <f>AP20-AO20</f>
        <v>-36</v>
      </c>
      <c r="AQ23" s="249">
        <f>AQ20-AL20</f>
        <v>-129</v>
      </c>
      <c r="AR23" s="249">
        <f>AR20-AP20</f>
        <v>-22</v>
      </c>
      <c r="AS23" s="249">
        <f>AS20-AR20</f>
        <v>-15</v>
      </c>
      <c r="AT23" s="249">
        <f>AT20-AS20</f>
        <v>-6</v>
      </c>
      <c r="AU23" s="249">
        <f>AU20-AT20</f>
        <v>-11</v>
      </c>
      <c r="AV23" s="249">
        <f>AV20-AQ20</f>
        <v>-54</v>
      </c>
      <c r="AW23" s="249">
        <f>AW20-AU20</f>
        <v>-15</v>
      </c>
      <c r="AX23" s="249">
        <f>AX20-AW20</f>
        <v>-17</v>
      </c>
      <c r="AY23" s="249">
        <f>AY20-AX20</f>
        <v>-25</v>
      </c>
      <c r="AZ23" s="249">
        <f>AZ20-AY20</f>
        <v>-21</v>
      </c>
      <c r="BA23" s="249">
        <f>BA20-AV20</f>
        <v>-78</v>
      </c>
      <c r="BB23" s="249">
        <f>BB20-AZ20</f>
        <v>-24</v>
      </c>
      <c r="BC23" s="249">
        <f>BC20-BB20</f>
        <v>-17</v>
      </c>
      <c r="BD23" s="249">
        <f>BD20-BC20</f>
        <v>-16</v>
      </c>
      <c r="BE23" s="249">
        <f>BE20-BD20</f>
        <v>-16</v>
      </c>
      <c r="BF23" s="249">
        <f>BF20-BA20</f>
        <v>-73</v>
      </c>
      <c r="BG23" s="249">
        <f>BG20-BE20</f>
        <v>-19</v>
      </c>
      <c r="BH23" s="249">
        <f>BH20-BG20</f>
        <v>-10</v>
      </c>
      <c r="BI23" s="249">
        <f>BI20-BH20</f>
        <v>-13</v>
      </c>
      <c r="BJ23" s="249">
        <f>BJ20-BI20</f>
        <v>-5</v>
      </c>
      <c r="BK23" s="249">
        <f>BK20-BF20</f>
        <v>-47</v>
      </c>
      <c r="BL23" s="249">
        <f>BL20-BJ20</f>
        <v>-1</v>
      </c>
      <c r="BM23" s="249">
        <f>BM20-BL20</f>
        <v>9</v>
      </c>
      <c r="BN23" s="249">
        <f>BN20-BM20</f>
        <v>4</v>
      </c>
      <c r="BO23" s="249">
        <f>BO20-BN20</f>
        <v>4</v>
      </c>
      <c r="BP23" s="249">
        <f>BP20-BK20</f>
        <v>16</v>
      </c>
      <c r="BQ23" s="249">
        <f>BQ20-BO20</f>
        <v>2</v>
      </c>
      <c r="BR23" s="249">
        <f>BR20-BQ20</f>
        <v>9</v>
      </c>
      <c r="BS23" s="249">
        <f>BS20-BR20</f>
        <v>3</v>
      </c>
      <c r="BT23" s="249">
        <f>BT20-BS20</f>
        <v>10</v>
      </c>
      <c r="BU23" s="249">
        <f>BU20-BP20</f>
        <v>24</v>
      </c>
      <c r="BV23" s="113">
        <f>BV20-BT20</f>
        <v>1</v>
      </c>
      <c r="BW23" s="113">
        <f>BW20-BV20</f>
        <v>-3</v>
      </c>
      <c r="BX23" s="113">
        <f>BX20-BW20</f>
        <v>3</v>
      </c>
      <c r="BY23" s="113">
        <f>BY20-BX20</f>
        <v>8</v>
      </c>
      <c r="BZ23" s="249">
        <f>BZ20-BU20</f>
        <v>9</v>
      </c>
      <c r="CA23" s="113">
        <f>CA20-BY20</f>
        <v>-1</v>
      </c>
      <c r="CB23" s="113">
        <f>CB20-CA20</f>
        <v>-3</v>
      </c>
      <c r="CC23" s="113">
        <f>CC20-CB20</f>
        <v>1</v>
      </c>
      <c r="CD23" s="113">
        <f>CD20-CC20</f>
        <v>-1</v>
      </c>
      <c r="CE23" s="249">
        <f>CE20-BZ20</f>
        <v>-4</v>
      </c>
      <c r="CF23" s="113">
        <f>CF20-CD20</f>
        <v>-9</v>
      </c>
      <c r="CG23" s="113">
        <f>CG20-CF20</f>
        <v>-5</v>
      </c>
      <c r="CH23" s="113">
        <f>CH20-CG20</f>
        <v>-2</v>
      </c>
      <c r="CI23" s="113">
        <f>CI20-CH20</f>
        <v>-4</v>
      </c>
      <c r="CJ23" s="249">
        <f>CJ20-CE20</f>
        <v>-20</v>
      </c>
      <c r="CK23" s="113">
        <f>CK20-CI20</f>
        <v>-5</v>
      </c>
      <c r="CL23" s="113">
        <f>CL20-CK20</f>
        <v>-4</v>
      </c>
      <c r="CM23" s="113">
        <f>CM20-CL20</f>
        <v>-9</v>
      </c>
      <c r="CN23" s="113">
        <f>CN20-CM20</f>
        <v>-10</v>
      </c>
      <c r="CO23" s="249">
        <f>CO20-CJ20</f>
        <v>-28</v>
      </c>
    </row>
    <row r="24" spans="2:93" ht="13.9" customHeight="1">
      <c r="B24" s="12" t="s">
        <v>468</v>
      </c>
      <c r="C24" s="4"/>
      <c r="D24" s="22"/>
      <c r="E24" s="22"/>
      <c r="F24" s="22"/>
      <c r="G24" s="22"/>
      <c r="H24" s="80"/>
      <c r="I24" s="22"/>
      <c r="J24" s="22"/>
      <c r="K24" s="22"/>
      <c r="L24" s="21"/>
      <c r="M24" s="80"/>
      <c r="N24" s="22"/>
      <c r="O24" s="22"/>
      <c r="P24" s="22"/>
      <c r="Q24" s="21"/>
      <c r="R24" s="80"/>
      <c r="S24" s="22"/>
      <c r="T24" s="22"/>
      <c r="U24" s="22"/>
      <c r="V24" s="21"/>
      <c r="W24" s="249"/>
      <c r="X24" s="239"/>
      <c r="Y24" s="239"/>
      <c r="Z24" s="239"/>
      <c r="AA24" s="250"/>
      <c r="AB24" s="249"/>
      <c r="AC24" s="239"/>
      <c r="AD24" s="239"/>
      <c r="AE24" s="239"/>
      <c r="AF24" s="250"/>
      <c r="AG24" s="249"/>
      <c r="AH24" s="239"/>
      <c r="AI24" s="239"/>
      <c r="AJ24" s="239"/>
      <c r="AK24" s="250"/>
      <c r="AL24" s="249"/>
      <c r="AM24" s="239"/>
      <c r="AN24" s="251"/>
      <c r="AO24" s="251"/>
      <c r="AP24" s="251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  <c r="BJ24" s="249"/>
      <c r="BK24" s="249"/>
      <c r="BL24" s="249"/>
      <c r="BM24" s="249"/>
      <c r="BN24" s="249"/>
      <c r="BO24" s="249"/>
      <c r="BP24" s="249"/>
      <c r="BQ24" s="249"/>
      <c r="BR24" s="249"/>
      <c r="BS24" s="249"/>
      <c r="BT24" s="249"/>
      <c r="BU24" s="249"/>
      <c r="BV24" s="19"/>
      <c r="BW24" s="19"/>
      <c r="BX24" s="19">
        <f t="shared" ref="BX24:CO24" si="41">BX20+BX160</f>
        <v>1026</v>
      </c>
      <c r="BY24" s="19">
        <f t="shared" si="41"/>
        <v>1039</v>
      </c>
      <c r="BZ24" s="210">
        <f t="shared" si="41"/>
        <v>1039</v>
      </c>
      <c r="CA24" s="19">
        <f t="shared" si="41"/>
        <v>1045</v>
      </c>
      <c r="CB24" s="19">
        <f t="shared" si="41"/>
        <v>1049</v>
      </c>
      <c r="CC24" s="19">
        <f t="shared" si="41"/>
        <v>1058</v>
      </c>
      <c r="CD24" s="19">
        <f t="shared" si="41"/>
        <v>1065</v>
      </c>
      <c r="CE24" s="210">
        <f t="shared" si="41"/>
        <v>1065</v>
      </c>
      <c r="CF24" s="19">
        <f t="shared" si="41"/>
        <v>1065</v>
      </c>
      <c r="CG24" s="19">
        <f t="shared" si="41"/>
        <v>1069</v>
      </c>
      <c r="CH24" s="19">
        <f t="shared" si="41"/>
        <v>1076</v>
      </c>
      <c r="CI24" s="19">
        <f t="shared" si="41"/>
        <v>1081</v>
      </c>
      <c r="CJ24" s="210">
        <f t="shared" si="41"/>
        <v>1081</v>
      </c>
      <c r="CK24" s="19">
        <f t="shared" si="41"/>
        <v>1088</v>
      </c>
      <c r="CL24" s="19">
        <f t="shared" si="41"/>
        <v>1093</v>
      </c>
      <c r="CM24" s="19">
        <f t="shared" si="41"/>
        <v>1096</v>
      </c>
      <c r="CN24" s="19">
        <f t="shared" si="41"/>
        <v>1098</v>
      </c>
      <c r="CO24" s="210">
        <f t="shared" si="41"/>
        <v>1098</v>
      </c>
    </row>
    <row r="25" spans="2:93" ht="13.9" customHeight="1">
      <c r="B25" s="20" t="s">
        <v>6</v>
      </c>
      <c r="C25" s="4"/>
      <c r="D25" s="22"/>
      <c r="E25" s="22"/>
      <c r="F25" s="22"/>
      <c r="G25" s="22"/>
      <c r="H25" s="80"/>
      <c r="I25" s="22"/>
      <c r="J25" s="22"/>
      <c r="K25" s="22"/>
      <c r="L25" s="21"/>
      <c r="M25" s="80"/>
      <c r="N25" s="22"/>
      <c r="O25" s="22"/>
      <c r="P25" s="22"/>
      <c r="Q25" s="21"/>
      <c r="R25" s="80"/>
      <c r="S25" s="22"/>
      <c r="T25" s="22"/>
      <c r="U25" s="22"/>
      <c r="V25" s="21"/>
      <c r="W25" s="249"/>
      <c r="X25" s="239"/>
      <c r="Y25" s="239"/>
      <c r="Z25" s="239"/>
      <c r="AA25" s="250"/>
      <c r="AB25" s="249"/>
      <c r="AC25" s="239"/>
      <c r="AD25" s="239"/>
      <c r="AE25" s="239"/>
      <c r="AF25" s="250"/>
      <c r="AG25" s="249"/>
      <c r="AH25" s="239"/>
      <c r="AI25" s="239"/>
      <c r="AJ25" s="239"/>
      <c r="AK25" s="250"/>
      <c r="AL25" s="249"/>
      <c r="AM25" s="239"/>
      <c r="AN25" s="251"/>
      <c r="AO25" s="251"/>
      <c r="AP25" s="251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49"/>
      <c r="BB25" s="249"/>
      <c r="BC25" s="249"/>
      <c r="BD25" s="249"/>
      <c r="BE25" s="249"/>
      <c r="BF25" s="249"/>
      <c r="BG25" s="249"/>
      <c r="BH25" s="249"/>
      <c r="BI25" s="249"/>
      <c r="BJ25" s="249"/>
      <c r="BK25" s="249"/>
      <c r="BL25" s="249"/>
      <c r="BM25" s="249"/>
      <c r="BN25" s="249"/>
      <c r="BO25" s="249"/>
      <c r="BP25" s="249"/>
      <c r="BQ25" s="249"/>
      <c r="BR25" s="249"/>
      <c r="BS25" s="249"/>
      <c r="BT25" s="249"/>
      <c r="BU25" s="249"/>
      <c r="BV25" s="113"/>
      <c r="BW25" s="113"/>
      <c r="BX25" s="22"/>
      <c r="BY25" s="22"/>
      <c r="BZ25" s="249"/>
      <c r="CA25" s="22"/>
      <c r="CB25" s="22"/>
      <c r="CC25" s="22">
        <f t="shared" ref="CC25:CD25" si="42">CC24/BX24-1</f>
        <v>3.1189083820662766E-2</v>
      </c>
      <c r="CD25" s="22">
        <f t="shared" si="42"/>
        <v>2.5024061597689995E-2</v>
      </c>
      <c r="CE25" s="211">
        <f>CE24/BZ24-1</f>
        <v>2.5024061597689995E-2</v>
      </c>
      <c r="CF25" s="22">
        <f t="shared" ref="CF25:CI25" si="43">CF24/CA24-1</f>
        <v>1.9138755980861344E-2</v>
      </c>
      <c r="CG25" s="22">
        <f t="shared" si="43"/>
        <v>1.9065776930409895E-2</v>
      </c>
      <c r="CH25" s="22">
        <f t="shared" si="43"/>
        <v>1.7013232514177634E-2</v>
      </c>
      <c r="CI25" s="22">
        <f t="shared" si="43"/>
        <v>1.5023474178403662E-2</v>
      </c>
      <c r="CJ25" s="211">
        <f>CJ24/CE24-1</f>
        <v>1.5023474178403662E-2</v>
      </c>
      <c r="CK25" s="22">
        <f>CK24/CF24-1</f>
        <v>2.1596244131455444E-2</v>
      </c>
      <c r="CL25" s="22">
        <f>CL24/CG24-1</f>
        <v>2.2450888681010195E-2</v>
      </c>
      <c r="CM25" s="22">
        <f>CM24/CH24-1</f>
        <v>1.8587360594795488E-2</v>
      </c>
      <c r="CN25" s="22">
        <f t="shared" ref="CN25" si="44">CN24/CI24-1</f>
        <v>1.5726179463459777E-2</v>
      </c>
      <c r="CO25" s="211">
        <f>CO24/CJ24-1</f>
        <v>1.5726179463459777E-2</v>
      </c>
    </row>
    <row r="26" spans="2:93" ht="13.9" customHeight="1">
      <c r="B26" s="20" t="s">
        <v>377</v>
      </c>
      <c r="C26" s="4"/>
      <c r="D26" s="22"/>
      <c r="E26" s="22"/>
      <c r="F26" s="22"/>
      <c r="G26" s="22"/>
      <c r="H26" s="80"/>
      <c r="I26" s="22"/>
      <c r="J26" s="22"/>
      <c r="K26" s="22"/>
      <c r="L26" s="21"/>
      <c r="M26" s="80"/>
      <c r="N26" s="22"/>
      <c r="O26" s="22"/>
      <c r="P26" s="22"/>
      <c r="Q26" s="21"/>
      <c r="R26" s="80"/>
      <c r="S26" s="22"/>
      <c r="T26" s="22"/>
      <c r="U26" s="22"/>
      <c r="V26" s="21"/>
      <c r="W26" s="249"/>
      <c r="X26" s="239"/>
      <c r="Y26" s="239"/>
      <c r="Z26" s="239"/>
      <c r="AA26" s="250"/>
      <c r="AB26" s="249"/>
      <c r="AC26" s="239"/>
      <c r="AD26" s="239"/>
      <c r="AE26" s="239"/>
      <c r="AF26" s="250"/>
      <c r="AG26" s="249"/>
      <c r="AH26" s="239"/>
      <c r="AI26" s="239"/>
      <c r="AJ26" s="239"/>
      <c r="AK26" s="250"/>
      <c r="AL26" s="249"/>
      <c r="AM26" s="239"/>
      <c r="AN26" s="251"/>
      <c r="AO26" s="251"/>
      <c r="AP26" s="251"/>
      <c r="AQ26" s="249"/>
      <c r="AR26" s="249"/>
      <c r="AS26" s="249"/>
      <c r="AT26" s="249"/>
      <c r="AU26" s="249"/>
      <c r="AV26" s="249"/>
      <c r="AW26" s="249"/>
      <c r="AX26" s="249"/>
      <c r="AY26" s="249"/>
      <c r="AZ26" s="249"/>
      <c r="BA26" s="249"/>
      <c r="BB26" s="249"/>
      <c r="BC26" s="249"/>
      <c r="BD26" s="249"/>
      <c r="BE26" s="249"/>
      <c r="BF26" s="249"/>
      <c r="BG26" s="249"/>
      <c r="BH26" s="249"/>
      <c r="BI26" s="249"/>
      <c r="BJ26" s="249"/>
      <c r="BK26" s="249"/>
      <c r="BL26" s="249"/>
      <c r="BM26" s="249"/>
      <c r="BN26" s="249"/>
      <c r="BO26" s="249"/>
      <c r="BP26" s="249"/>
      <c r="BQ26" s="249"/>
      <c r="BR26" s="249"/>
      <c r="BS26" s="249"/>
      <c r="BT26" s="249"/>
      <c r="BU26" s="249"/>
      <c r="BV26" s="113"/>
      <c r="BW26" s="113"/>
      <c r="BX26" s="113"/>
      <c r="BY26" s="113">
        <f>BY24-BX24</f>
        <v>13</v>
      </c>
      <c r="BZ26" s="249"/>
      <c r="CA26" s="113">
        <f>CA24-BY24</f>
        <v>6</v>
      </c>
      <c r="CB26" s="113">
        <f>CB24-CA24</f>
        <v>4</v>
      </c>
      <c r="CC26" s="113">
        <f>CC24-CB24</f>
        <v>9</v>
      </c>
      <c r="CD26" s="113">
        <f>CD24-CC24</f>
        <v>7</v>
      </c>
      <c r="CE26" s="249">
        <f>CE24-BZ24</f>
        <v>26</v>
      </c>
      <c r="CF26" s="113">
        <f>CF24-CD24</f>
        <v>0</v>
      </c>
      <c r="CG26" s="113">
        <f>CG24-CF24</f>
        <v>4</v>
      </c>
      <c r="CH26" s="113">
        <f>CH24-CG24</f>
        <v>7</v>
      </c>
      <c r="CI26" s="113">
        <f>CI24-CH24</f>
        <v>5</v>
      </c>
      <c r="CJ26" s="249">
        <f>CJ24-CE24</f>
        <v>16</v>
      </c>
      <c r="CK26" s="113">
        <f>CK24-CI24</f>
        <v>7</v>
      </c>
      <c r="CL26" s="113">
        <f>CL24-CK24</f>
        <v>5</v>
      </c>
      <c r="CM26" s="113">
        <f>CM24-CL24</f>
        <v>3</v>
      </c>
      <c r="CN26" s="113">
        <f>CN24-CM24</f>
        <v>2</v>
      </c>
      <c r="CO26" s="249">
        <f>CO24-CJ24</f>
        <v>17</v>
      </c>
    </row>
    <row r="27" spans="2:93" ht="13.9" customHeight="1">
      <c r="B27" s="12" t="s">
        <v>369</v>
      </c>
      <c r="C27" s="60" t="s">
        <v>92</v>
      </c>
      <c r="D27" s="29" t="s">
        <v>92</v>
      </c>
      <c r="E27" s="29" t="s">
        <v>92</v>
      </c>
      <c r="F27" s="29" t="s">
        <v>92</v>
      </c>
      <c r="G27" s="29" t="s">
        <v>92</v>
      </c>
      <c r="H27" s="60" t="s">
        <v>92</v>
      </c>
      <c r="I27" s="29" t="s">
        <v>92</v>
      </c>
      <c r="J27" s="29" t="s">
        <v>92</v>
      </c>
      <c r="K27" s="29" t="s">
        <v>92</v>
      </c>
      <c r="L27" s="29" t="s">
        <v>92</v>
      </c>
      <c r="M27" s="60" t="s">
        <v>92</v>
      </c>
      <c r="N27" s="29" t="s">
        <v>92</v>
      </c>
      <c r="O27" s="29" t="s">
        <v>92</v>
      </c>
      <c r="P27" s="29" t="s">
        <v>92</v>
      </c>
      <c r="Q27" s="29" t="s">
        <v>92</v>
      </c>
      <c r="R27" s="60" t="s">
        <v>92</v>
      </c>
      <c r="S27" s="29" t="s">
        <v>92</v>
      </c>
      <c r="T27" s="29" t="s">
        <v>92</v>
      </c>
      <c r="U27" s="29" t="s">
        <v>92</v>
      </c>
      <c r="V27" s="29" t="s">
        <v>92</v>
      </c>
      <c r="W27" s="252" t="s">
        <v>92</v>
      </c>
      <c r="X27" s="217" t="s">
        <v>92</v>
      </c>
      <c r="Y27" s="217" t="s">
        <v>92</v>
      </c>
      <c r="Z27" s="217" t="s">
        <v>92</v>
      </c>
      <c r="AA27" s="217" t="s">
        <v>92</v>
      </c>
      <c r="AB27" s="252" t="s">
        <v>92</v>
      </c>
      <c r="AC27" s="252" t="s">
        <v>92</v>
      </c>
      <c r="AD27" s="252" t="s">
        <v>92</v>
      </c>
      <c r="AE27" s="252" t="s">
        <v>92</v>
      </c>
      <c r="AF27" s="252" t="s">
        <v>92</v>
      </c>
      <c r="AG27" s="252" t="s">
        <v>92</v>
      </c>
      <c r="AH27" s="252" t="s">
        <v>92</v>
      </c>
      <c r="AI27" s="252" t="s">
        <v>92</v>
      </c>
      <c r="AJ27" s="252" t="s">
        <v>92</v>
      </c>
      <c r="AK27" s="252" t="s">
        <v>92</v>
      </c>
      <c r="AL27" s="252" t="s">
        <v>92</v>
      </c>
      <c r="AM27" s="252" t="s">
        <v>92</v>
      </c>
      <c r="AN27" s="252" t="s">
        <v>92</v>
      </c>
      <c r="AO27" s="252" t="s">
        <v>92</v>
      </c>
      <c r="AP27" s="252" t="s">
        <v>92</v>
      </c>
      <c r="AQ27" s="252" t="s">
        <v>92</v>
      </c>
      <c r="AR27" s="252" t="s">
        <v>92</v>
      </c>
      <c r="AS27" s="252" t="s">
        <v>92</v>
      </c>
      <c r="AT27" s="252" t="s">
        <v>92</v>
      </c>
      <c r="AU27" s="252" t="s">
        <v>92</v>
      </c>
      <c r="AV27" s="252" t="s">
        <v>92</v>
      </c>
      <c r="AW27" s="252" t="s">
        <v>92</v>
      </c>
      <c r="AX27" s="252" t="s">
        <v>92</v>
      </c>
      <c r="AY27" s="252" t="s">
        <v>92</v>
      </c>
      <c r="AZ27" s="252" t="s">
        <v>92</v>
      </c>
      <c r="BA27" s="252" t="s">
        <v>92</v>
      </c>
      <c r="BB27" s="252" t="s">
        <v>92</v>
      </c>
      <c r="BC27" s="252" t="s">
        <v>92</v>
      </c>
      <c r="BD27" s="252" t="s">
        <v>92</v>
      </c>
      <c r="BE27" s="252" t="s">
        <v>92</v>
      </c>
      <c r="BF27" s="252" t="s">
        <v>92</v>
      </c>
      <c r="BG27" s="252" t="s">
        <v>92</v>
      </c>
      <c r="BH27" s="252" t="s">
        <v>92</v>
      </c>
      <c r="BI27" s="252" t="s">
        <v>92</v>
      </c>
      <c r="BJ27" s="252" t="s">
        <v>92</v>
      </c>
      <c r="BK27" s="252" t="s">
        <v>92</v>
      </c>
      <c r="BL27" s="252" t="s">
        <v>92</v>
      </c>
      <c r="BM27" s="252" t="s">
        <v>92</v>
      </c>
      <c r="BN27" s="252" t="s">
        <v>92</v>
      </c>
      <c r="BO27" s="252" t="s">
        <v>92</v>
      </c>
      <c r="BP27" s="252" t="s">
        <v>92</v>
      </c>
      <c r="BQ27" s="210">
        <v>1</v>
      </c>
      <c r="BR27" s="210">
        <v>16</v>
      </c>
      <c r="BS27" s="210">
        <v>36</v>
      </c>
      <c r="BT27" s="210">
        <f>BU27</f>
        <v>65</v>
      </c>
      <c r="BU27" s="210">
        <v>65</v>
      </c>
      <c r="BV27" s="19">
        <v>93</v>
      </c>
      <c r="BW27" s="19">
        <v>118</v>
      </c>
      <c r="BX27" s="19">
        <v>157</v>
      </c>
      <c r="BY27" s="19">
        <f>BZ27</f>
        <v>198</v>
      </c>
      <c r="BZ27" s="210">
        <v>198</v>
      </c>
      <c r="CA27" s="19">
        <v>246</v>
      </c>
      <c r="CB27" s="19">
        <v>289</v>
      </c>
      <c r="CC27" s="19">
        <v>335</v>
      </c>
      <c r="CD27" s="19">
        <f>CE27</f>
        <v>367</v>
      </c>
      <c r="CE27" s="210">
        <v>367</v>
      </c>
      <c r="CF27" s="19">
        <v>407</v>
      </c>
      <c r="CG27" s="19">
        <v>442</v>
      </c>
      <c r="CH27" s="19">
        <v>483</v>
      </c>
      <c r="CI27" s="19">
        <f>CJ27</f>
        <v>521</v>
      </c>
      <c r="CJ27" s="210">
        <v>521</v>
      </c>
      <c r="CK27" s="19">
        <v>554</v>
      </c>
      <c r="CL27" s="19">
        <v>583</v>
      </c>
      <c r="CM27" s="19">
        <v>609</v>
      </c>
      <c r="CN27" s="19">
        <f>CO27</f>
        <v>628</v>
      </c>
      <c r="CO27" s="210">
        <v>628</v>
      </c>
    </row>
    <row r="28" spans="2:93" ht="13.9" customHeight="1">
      <c r="B28" s="20" t="s">
        <v>5</v>
      </c>
      <c r="C28" s="4"/>
      <c r="D28" s="22"/>
      <c r="E28" s="22"/>
      <c r="F28" s="22"/>
      <c r="G28" s="22"/>
      <c r="H28" s="4"/>
      <c r="I28" s="22"/>
      <c r="J28" s="22"/>
      <c r="K28" s="22"/>
      <c r="L28" s="21"/>
      <c r="M28" s="4"/>
      <c r="N28" s="22"/>
      <c r="O28" s="22"/>
      <c r="P28" s="22"/>
      <c r="Q28" s="21"/>
      <c r="R28" s="4"/>
      <c r="S28" s="22"/>
      <c r="T28" s="22"/>
      <c r="U28" s="22"/>
      <c r="V28" s="21"/>
      <c r="W28" s="211"/>
      <c r="X28" s="211"/>
      <c r="Y28" s="211"/>
      <c r="Z28" s="211"/>
      <c r="AA28" s="212"/>
      <c r="AB28" s="211"/>
      <c r="AC28" s="211"/>
      <c r="AD28" s="211"/>
      <c r="AE28" s="211"/>
      <c r="AF28" s="212"/>
      <c r="AG28" s="211"/>
      <c r="AH28" s="211"/>
      <c r="AI28" s="211"/>
      <c r="AJ28" s="211"/>
      <c r="AK28" s="212"/>
      <c r="AL28" s="211"/>
      <c r="AM28" s="211"/>
      <c r="AN28" s="211"/>
      <c r="AO28" s="211"/>
      <c r="AP28" s="212"/>
      <c r="AQ28" s="211"/>
      <c r="AR28" s="211"/>
      <c r="AS28" s="211"/>
      <c r="AT28" s="211"/>
      <c r="AU28" s="212"/>
      <c r="AV28" s="211"/>
      <c r="AW28" s="211"/>
      <c r="AX28" s="211"/>
      <c r="AY28" s="211"/>
      <c r="AZ28" s="212"/>
      <c r="BA28" s="211"/>
      <c r="BB28" s="211"/>
      <c r="BC28" s="211"/>
      <c r="BD28" s="211"/>
      <c r="BE28" s="212"/>
      <c r="BF28" s="211"/>
      <c r="BG28" s="211"/>
      <c r="BH28" s="211"/>
      <c r="BI28" s="211"/>
      <c r="BJ28" s="212"/>
      <c r="BK28" s="211"/>
      <c r="BL28" s="211"/>
      <c r="BM28" s="211"/>
      <c r="BN28" s="211"/>
      <c r="BO28" s="212"/>
      <c r="BP28" s="211"/>
      <c r="BQ28" s="212"/>
      <c r="BR28" s="212">
        <f>BR27/BQ27-1</f>
        <v>15</v>
      </c>
      <c r="BS28" s="212">
        <f>BS27/BR27-1</f>
        <v>1.25</v>
      </c>
      <c r="BT28" s="212">
        <f>BT27/BS27-1</f>
        <v>0.80555555555555558</v>
      </c>
      <c r="BU28" s="211"/>
      <c r="BV28" s="21">
        <f>BV27/BT27-1</f>
        <v>0.43076923076923079</v>
      </c>
      <c r="BW28" s="21">
        <f>BW27/BV27-1</f>
        <v>0.26881720430107525</v>
      </c>
      <c r="BX28" s="21">
        <f>BX27/BW27-1</f>
        <v>0.33050847457627119</v>
      </c>
      <c r="BY28" s="21">
        <f>BY27/BX27-1</f>
        <v>0.26114649681528657</v>
      </c>
      <c r="BZ28" s="211"/>
      <c r="CA28" s="21">
        <f>CA27/BY27-1</f>
        <v>0.24242424242424243</v>
      </c>
      <c r="CB28" s="21">
        <f>CB27/CA27-1</f>
        <v>0.17479674796747968</v>
      </c>
      <c r="CC28" s="21">
        <f>CC27/CB27-1</f>
        <v>0.15916955017301038</v>
      </c>
      <c r="CD28" s="21">
        <f>CD27/CC27-1</f>
        <v>9.5522388059701591E-2</v>
      </c>
      <c r="CE28" s="211"/>
      <c r="CF28" s="21">
        <f>CF27/CD27-1</f>
        <v>0.10899182561307907</v>
      </c>
      <c r="CG28" s="21">
        <f>CG27/CF27-1</f>
        <v>8.5995085995085985E-2</v>
      </c>
      <c r="CH28" s="21">
        <f>CH27/CG27-1</f>
        <v>9.2760180995475006E-2</v>
      </c>
      <c r="CI28" s="21">
        <f>CI27/CH27-1</f>
        <v>7.8674948240165632E-2</v>
      </c>
      <c r="CJ28" s="211"/>
      <c r="CK28" s="21">
        <f>CK27/CI27-1</f>
        <v>6.3339731285988465E-2</v>
      </c>
      <c r="CL28" s="21">
        <f>CL27/CK27-1</f>
        <v>5.2346570397111991E-2</v>
      </c>
      <c r="CM28" s="21">
        <f>CM27/CL27-1</f>
        <v>4.4596912521440712E-2</v>
      </c>
      <c r="CN28" s="21">
        <f>CN27/CM27-1</f>
        <v>3.1198686371100237E-2</v>
      </c>
      <c r="CO28" s="211"/>
    </row>
    <row r="29" spans="2:93" ht="13.9" customHeight="1">
      <c r="B29" s="20" t="s">
        <v>6</v>
      </c>
      <c r="C29" s="4"/>
      <c r="D29" s="22"/>
      <c r="E29" s="22"/>
      <c r="F29" s="22"/>
      <c r="G29" s="22"/>
      <c r="H29" s="4"/>
      <c r="I29" s="22"/>
      <c r="J29" s="22"/>
      <c r="K29" s="22"/>
      <c r="L29" s="21"/>
      <c r="M29" s="4"/>
      <c r="N29" s="22"/>
      <c r="O29" s="22"/>
      <c r="P29" s="22"/>
      <c r="Q29" s="21"/>
      <c r="R29" s="4"/>
      <c r="S29" s="22"/>
      <c r="T29" s="22"/>
      <c r="U29" s="22"/>
      <c r="V29" s="21"/>
      <c r="W29" s="211"/>
      <c r="X29" s="211"/>
      <c r="Y29" s="211"/>
      <c r="Z29" s="211"/>
      <c r="AA29" s="212"/>
      <c r="AB29" s="211"/>
      <c r="AC29" s="211"/>
      <c r="AD29" s="211"/>
      <c r="AE29" s="211"/>
      <c r="AF29" s="212"/>
      <c r="AG29" s="211"/>
      <c r="AH29" s="211"/>
      <c r="AI29" s="211"/>
      <c r="AJ29" s="211"/>
      <c r="AK29" s="212"/>
      <c r="AL29" s="211"/>
      <c r="AM29" s="211"/>
      <c r="AN29" s="211"/>
      <c r="AO29" s="211"/>
      <c r="AP29" s="212"/>
      <c r="AQ29" s="211"/>
      <c r="AR29" s="211"/>
      <c r="AS29" s="211"/>
      <c r="AT29" s="211"/>
      <c r="AU29" s="212"/>
      <c r="AV29" s="211"/>
      <c r="AW29" s="211"/>
      <c r="AX29" s="211"/>
      <c r="AY29" s="211"/>
      <c r="AZ29" s="212"/>
      <c r="BA29" s="211"/>
      <c r="BB29" s="211"/>
      <c r="BC29" s="211"/>
      <c r="BD29" s="211"/>
      <c r="BE29" s="212"/>
      <c r="BF29" s="211"/>
      <c r="BG29" s="211"/>
      <c r="BH29" s="211"/>
      <c r="BI29" s="211"/>
      <c r="BJ29" s="212"/>
      <c r="BK29" s="211"/>
      <c r="BL29" s="211"/>
      <c r="BM29" s="211"/>
      <c r="BN29" s="211"/>
      <c r="BO29" s="212"/>
      <c r="BP29" s="211"/>
      <c r="BQ29" s="211"/>
      <c r="BR29" s="211"/>
      <c r="BS29" s="211"/>
      <c r="BT29" s="212"/>
      <c r="BU29" s="211"/>
      <c r="BV29" s="22">
        <f t="shared" ref="BV29:CC29" si="45">BV27/BQ27-1</f>
        <v>92</v>
      </c>
      <c r="BW29" s="22">
        <f t="shared" si="45"/>
        <v>6.375</v>
      </c>
      <c r="BX29" s="22">
        <f t="shared" si="45"/>
        <v>3.3611111111111107</v>
      </c>
      <c r="BY29" s="21">
        <f t="shared" si="45"/>
        <v>2.046153846153846</v>
      </c>
      <c r="BZ29" s="211">
        <f t="shared" si="45"/>
        <v>2.046153846153846</v>
      </c>
      <c r="CA29" s="22">
        <f t="shared" si="45"/>
        <v>1.6451612903225805</v>
      </c>
      <c r="CB29" s="22">
        <f t="shared" si="45"/>
        <v>1.4491525423728815</v>
      </c>
      <c r="CC29" s="22">
        <f t="shared" si="45"/>
        <v>1.1337579617834397</v>
      </c>
      <c r="CD29" s="21">
        <f t="shared" ref="CD29" si="46">CD27/BY27-1</f>
        <v>0.85353535353535359</v>
      </c>
      <c r="CE29" s="211">
        <f t="shared" ref="CE29:CH29" si="47">CE27/BZ27-1</f>
        <v>0.85353535353535359</v>
      </c>
      <c r="CF29" s="22">
        <f t="shared" si="47"/>
        <v>0.65447154471544722</v>
      </c>
      <c r="CG29" s="22">
        <f t="shared" si="47"/>
        <v>0.52941176470588225</v>
      </c>
      <c r="CH29" s="22">
        <f t="shared" si="47"/>
        <v>0.4417910447761193</v>
      </c>
      <c r="CI29" s="21">
        <f t="shared" ref="CI29" si="48">CI27/CD27-1</f>
        <v>0.4196185286103542</v>
      </c>
      <c r="CJ29" s="211">
        <f t="shared" ref="CJ29:CM29" si="49">CJ27/CE27-1</f>
        <v>0.4196185286103542</v>
      </c>
      <c r="CK29" s="22">
        <f t="shared" si="49"/>
        <v>0.36117936117936122</v>
      </c>
      <c r="CL29" s="22">
        <f t="shared" si="49"/>
        <v>0.3190045248868778</v>
      </c>
      <c r="CM29" s="22">
        <f t="shared" si="49"/>
        <v>0.26086956521739135</v>
      </c>
      <c r="CN29" s="21">
        <f t="shared" ref="CN29" si="50">CN27/CI27-1</f>
        <v>0.20537428023032622</v>
      </c>
      <c r="CO29" s="211">
        <f t="shared" ref="CO29" si="51">CO27/CJ27-1</f>
        <v>0.20537428023032622</v>
      </c>
    </row>
    <row r="30" spans="2:93" ht="13.9" customHeight="1">
      <c r="B30" s="20" t="s">
        <v>377</v>
      </c>
      <c r="C30" s="4"/>
      <c r="D30" s="22"/>
      <c r="E30" s="22"/>
      <c r="F30" s="22"/>
      <c r="G30" s="22"/>
      <c r="H30" s="4"/>
      <c r="I30" s="22"/>
      <c r="J30" s="22"/>
      <c r="K30" s="22"/>
      <c r="L30" s="21"/>
      <c r="M30" s="4"/>
      <c r="N30" s="22"/>
      <c r="O30" s="22"/>
      <c r="P30" s="22"/>
      <c r="Q30" s="21"/>
      <c r="R30" s="4"/>
      <c r="S30" s="22"/>
      <c r="T30" s="22"/>
      <c r="U30" s="22"/>
      <c r="V30" s="21"/>
      <c r="W30" s="211"/>
      <c r="X30" s="211"/>
      <c r="Y30" s="211"/>
      <c r="Z30" s="211"/>
      <c r="AA30" s="212"/>
      <c r="AB30" s="211"/>
      <c r="AC30" s="211"/>
      <c r="AD30" s="211"/>
      <c r="AE30" s="211"/>
      <c r="AF30" s="212"/>
      <c r="AG30" s="211"/>
      <c r="AH30" s="211"/>
      <c r="AI30" s="211"/>
      <c r="AJ30" s="211"/>
      <c r="AK30" s="212"/>
      <c r="AL30" s="211"/>
      <c r="AM30" s="211"/>
      <c r="AN30" s="211"/>
      <c r="AO30" s="211"/>
      <c r="AP30" s="212"/>
      <c r="AQ30" s="211"/>
      <c r="AR30" s="211"/>
      <c r="AS30" s="211"/>
      <c r="AT30" s="211"/>
      <c r="AU30" s="212"/>
      <c r="AV30" s="211"/>
      <c r="AW30" s="211"/>
      <c r="AX30" s="211"/>
      <c r="AY30" s="211"/>
      <c r="AZ30" s="212"/>
      <c r="BA30" s="211"/>
      <c r="BB30" s="211"/>
      <c r="BC30" s="211"/>
      <c r="BD30" s="211"/>
      <c r="BE30" s="212"/>
      <c r="BF30" s="211"/>
      <c r="BG30" s="211"/>
      <c r="BH30" s="211"/>
      <c r="BI30" s="211"/>
      <c r="BJ30" s="212"/>
      <c r="BK30" s="211"/>
      <c r="BL30" s="211"/>
      <c r="BM30" s="211"/>
      <c r="BN30" s="211"/>
      <c r="BO30" s="212"/>
      <c r="BP30" s="211"/>
      <c r="BQ30" s="249"/>
      <c r="BR30" s="249">
        <f>BR27-BQ27</f>
        <v>15</v>
      </c>
      <c r="BS30" s="249">
        <f>BS27-BR27</f>
        <v>20</v>
      </c>
      <c r="BT30" s="249">
        <f>BT27-BS27</f>
        <v>29</v>
      </c>
      <c r="BU30" s="249"/>
      <c r="BV30" s="113">
        <f>BV27-BT27</f>
        <v>28</v>
      </c>
      <c r="BW30" s="113">
        <f>BW27-BV27</f>
        <v>25</v>
      </c>
      <c r="BX30" s="113">
        <f>BX27-BW27</f>
        <v>39</v>
      </c>
      <c r="BY30" s="113">
        <f>BY27-BX27</f>
        <v>41</v>
      </c>
      <c r="BZ30" s="249">
        <f>BZ27-BU27</f>
        <v>133</v>
      </c>
      <c r="CA30" s="113">
        <f>CA27-BY27</f>
        <v>48</v>
      </c>
      <c r="CB30" s="113">
        <f>CB27-CA27</f>
        <v>43</v>
      </c>
      <c r="CC30" s="113">
        <f>CC27-CB27</f>
        <v>46</v>
      </c>
      <c r="CD30" s="113">
        <f>CD27-CC27</f>
        <v>32</v>
      </c>
      <c r="CE30" s="249">
        <f>CE27-BZ27</f>
        <v>169</v>
      </c>
      <c r="CF30" s="113">
        <f>CF27-CD27</f>
        <v>40</v>
      </c>
      <c r="CG30" s="113">
        <f>CG27-CF27</f>
        <v>35</v>
      </c>
      <c r="CH30" s="113">
        <f>CH27-CG27</f>
        <v>41</v>
      </c>
      <c r="CI30" s="113">
        <f>CI27-CH27</f>
        <v>38</v>
      </c>
      <c r="CJ30" s="249">
        <f>CJ27-CE27</f>
        <v>154</v>
      </c>
      <c r="CK30" s="113">
        <f>CK27-CI27</f>
        <v>33</v>
      </c>
      <c r="CL30" s="113">
        <f>CL27-CK27</f>
        <v>29</v>
      </c>
      <c r="CM30" s="113">
        <f>CM27-CL27</f>
        <v>26</v>
      </c>
      <c r="CN30" s="113">
        <f>CN27-CM27</f>
        <v>19</v>
      </c>
      <c r="CO30" s="249">
        <f>CO27-CJ27</f>
        <v>107</v>
      </c>
    </row>
    <row r="31" spans="2:93" ht="13.9" customHeight="1">
      <c r="B31" s="12" t="s">
        <v>370</v>
      </c>
      <c r="C31" s="60" t="s">
        <v>92</v>
      </c>
      <c r="D31" s="29" t="s">
        <v>92</v>
      </c>
      <c r="E31" s="29" t="s">
        <v>92</v>
      </c>
      <c r="F31" s="29" t="s">
        <v>92</v>
      </c>
      <c r="G31" s="29" t="s">
        <v>92</v>
      </c>
      <c r="H31" s="60" t="s">
        <v>92</v>
      </c>
      <c r="I31" s="29" t="s">
        <v>92</v>
      </c>
      <c r="J31" s="29" t="s">
        <v>92</v>
      </c>
      <c r="K31" s="29" t="s">
        <v>92</v>
      </c>
      <c r="L31" s="29" t="s">
        <v>92</v>
      </c>
      <c r="M31" s="60" t="s">
        <v>92</v>
      </c>
      <c r="N31" s="29" t="s">
        <v>92</v>
      </c>
      <c r="O31" s="29" t="s">
        <v>92</v>
      </c>
      <c r="P31" s="29" t="s">
        <v>92</v>
      </c>
      <c r="Q31" s="29" t="s">
        <v>92</v>
      </c>
      <c r="R31" s="60" t="s">
        <v>92</v>
      </c>
      <c r="S31" s="29" t="s">
        <v>92</v>
      </c>
      <c r="T31" s="29" t="s">
        <v>92</v>
      </c>
      <c r="U31" s="29" t="s">
        <v>92</v>
      </c>
      <c r="V31" s="29" t="s">
        <v>92</v>
      </c>
      <c r="W31" s="252" t="s">
        <v>92</v>
      </c>
      <c r="X31" s="217" t="s">
        <v>92</v>
      </c>
      <c r="Y31" s="217" t="s">
        <v>92</v>
      </c>
      <c r="Z31" s="217" t="s">
        <v>92</v>
      </c>
      <c r="AA31" s="217" t="s">
        <v>92</v>
      </c>
      <c r="AB31" s="252" t="s">
        <v>92</v>
      </c>
      <c r="AC31" s="252" t="s">
        <v>92</v>
      </c>
      <c r="AD31" s="252" t="s">
        <v>92</v>
      </c>
      <c r="AE31" s="252" t="s">
        <v>92</v>
      </c>
      <c r="AF31" s="252" t="s">
        <v>92</v>
      </c>
      <c r="AG31" s="252" t="s">
        <v>92</v>
      </c>
      <c r="AH31" s="252" t="s">
        <v>92</v>
      </c>
      <c r="AI31" s="252" t="s">
        <v>92</v>
      </c>
      <c r="AJ31" s="252" t="s">
        <v>92</v>
      </c>
      <c r="AK31" s="252" t="s">
        <v>92</v>
      </c>
      <c r="AL31" s="252" t="s">
        <v>92</v>
      </c>
      <c r="AM31" s="252" t="s">
        <v>92</v>
      </c>
      <c r="AN31" s="252" t="s">
        <v>92</v>
      </c>
      <c r="AO31" s="252" t="s">
        <v>92</v>
      </c>
      <c r="AP31" s="252" t="s">
        <v>92</v>
      </c>
      <c r="AQ31" s="252" t="s">
        <v>92</v>
      </c>
      <c r="AR31" s="252" t="s">
        <v>92</v>
      </c>
      <c r="AS31" s="252" t="s">
        <v>92</v>
      </c>
      <c r="AT31" s="252" t="s">
        <v>92</v>
      </c>
      <c r="AU31" s="252" t="s">
        <v>92</v>
      </c>
      <c r="AV31" s="252" t="s">
        <v>92</v>
      </c>
      <c r="AW31" s="252" t="s">
        <v>92</v>
      </c>
      <c r="AX31" s="252" t="s">
        <v>92</v>
      </c>
      <c r="AY31" s="252" t="s">
        <v>92</v>
      </c>
      <c r="AZ31" s="252" t="s">
        <v>92</v>
      </c>
      <c r="BA31" s="252" t="s">
        <v>92</v>
      </c>
      <c r="BB31" s="252" t="s">
        <v>92</v>
      </c>
      <c r="BC31" s="252" t="s">
        <v>92</v>
      </c>
      <c r="BD31" s="252" t="s">
        <v>92</v>
      </c>
      <c r="BE31" s="252" t="s">
        <v>92</v>
      </c>
      <c r="BF31" s="252" t="s">
        <v>92</v>
      </c>
      <c r="BG31" s="252" t="s">
        <v>92</v>
      </c>
      <c r="BH31" s="252" t="s">
        <v>92</v>
      </c>
      <c r="BI31" s="252" t="s">
        <v>92</v>
      </c>
      <c r="BJ31" s="252" t="s">
        <v>92</v>
      </c>
      <c r="BK31" s="252" t="s">
        <v>92</v>
      </c>
      <c r="BL31" s="252" t="s">
        <v>92</v>
      </c>
      <c r="BM31" s="252" t="s">
        <v>92</v>
      </c>
      <c r="BN31" s="252" t="s">
        <v>92</v>
      </c>
      <c r="BO31" s="252" t="s">
        <v>92</v>
      </c>
      <c r="BP31" s="252" t="s">
        <v>92</v>
      </c>
      <c r="BQ31" s="210">
        <v>1000</v>
      </c>
      <c r="BR31" s="210">
        <v>994</v>
      </c>
      <c r="BS31" s="210">
        <v>977</v>
      </c>
      <c r="BT31" s="210">
        <f>BU31</f>
        <v>958</v>
      </c>
      <c r="BU31" s="210">
        <v>958</v>
      </c>
      <c r="BV31" s="19">
        <v>931</v>
      </c>
      <c r="BW31" s="19">
        <v>903</v>
      </c>
      <c r="BX31" s="19">
        <v>867</v>
      </c>
      <c r="BY31" s="19">
        <f>BZ31</f>
        <v>834</v>
      </c>
      <c r="BZ31" s="210">
        <v>834</v>
      </c>
      <c r="CA31" s="19">
        <v>785</v>
      </c>
      <c r="CB31" s="19">
        <v>739</v>
      </c>
      <c r="CC31" s="19">
        <v>694</v>
      </c>
      <c r="CD31" s="19">
        <f>CE31</f>
        <v>661</v>
      </c>
      <c r="CE31" s="210">
        <v>661</v>
      </c>
      <c r="CF31" s="19">
        <v>612</v>
      </c>
      <c r="CG31" s="19">
        <v>572</v>
      </c>
      <c r="CH31" s="19">
        <v>529</v>
      </c>
      <c r="CI31" s="19">
        <f>CJ31</f>
        <v>487</v>
      </c>
      <c r="CJ31" s="210">
        <v>487</v>
      </c>
      <c r="CK31" s="19">
        <v>449</v>
      </c>
      <c r="CL31" s="19">
        <v>416</v>
      </c>
      <c r="CM31" s="19">
        <f>990-609</f>
        <v>381</v>
      </c>
      <c r="CN31" s="19">
        <f>CO31</f>
        <v>352</v>
      </c>
      <c r="CO31" s="210">
        <v>352</v>
      </c>
    </row>
    <row r="32" spans="2:93" ht="13.9" customHeight="1">
      <c r="B32" s="20" t="s">
        <v>5</v>
      </c>
      <c r="C32" s="4"/>
      <c r="D32" s="22"/>
      <c r="E32" s="22"/>
      <c r="F32" s="22"/>
      <c r="G32" s="22"/>
      <c r="H32" s="4"/>
      <c r="I32" s="22"/>
      <c r="J32" s="22"/>
      <c r="K32" s="22"/>
      <c r="L32" s="21"/>
      <c r="M32" s="4"/>
      <c r="N32" s="22"/>
      <c r="O32" s="22"/>
      <c r="P32" s="22"/>
      <c r="Q32" s="21"/>
      <c r="R32" s="4"/>
      <c r="S32" s="22"/>
      <c r="T32" s="22"/>
      <c r="U32" s="22"/>
      <c r="V32" s="21"/>
      <c r="W32" s="211"/>
      <c r="X32" s="211"/>
      <c r="Y32" s="211"/>
      <c r="Z32" s="211"/>
      <c r="AA32" s="212"/>
      <c r="AB32" s="211"/>
      <c r="AC32" s="211"/>
      <c r="AD32" s="211"/>
      <c r="AE32" s="211"/>
      <c r="AF32" s="212"/>
      <c r="AG32" s="211"/>
      <c r="AH32" s="211"/>
      <c r="AI32" s="211"/>
      <c r="AJ32" s="211"/>
      <c r="AK32" s="212"/>
      <c r="AL32" s="211"/>
      <c r="AM32" s="211"/>
      <c r="AN32" s="211"/>
      <c r="AO32" s="211"/>
      <c r="AP32" s="212"/>
      <c r="AQ32" s="211"/>
      <c r="AR32" s="211"/>
      <c r="AS32" s="211"/>
      <c r="AT32" s="211"/>
      <c r="AU32" s="212"/>
      <c r="AV32" s="211"/>
      <c r="AW32" s="211"/>
      <c r="AX32" s="211"/>
      <c r="AY32" s="211"/>
      <c r="AZ32" s="212"/>
      <c r="BA32" s="211"/>
      <c r="BB32" s="211"/>
      <c r="BC32" s="211"/>
      <c r="BD32" s="211"/>
      <c r="BE32" s="212"/>
      <c r="BF32" s="211"/>
      <c r="BG32" s="211"/>
      <c r="BH32" s="211"/>
      <c r="BI32" s="211"/>
      <c r="BJ32" s="212"/>
      <c r="BK32" s="211"/>
      <c r="BL32" s="211"/>
      <c r="BM32" s="211"/>
      <c r="BN32" s="211"/>
      <c r="BO32" s="212"/>
      <c r="BP32" s="211"/>
      <c r="BQ32" s="212"/>
      <c r="BR32" s="212">
        <f>BR31/BQ31-1</f>
        <v>-6.0000000000000053E-3</v>
      </c>
      <c r="BS32" s="212">
        <f>BS31/BR31-1</f>
        <v>-1.7102615694164935E-2</v>
      </c>
      <c r="BT32" s="212">
        <f>BT31/BS31-1</f>
        <v>-1.9447287615148467E-2</v>
      </c>
      <c r="BU32" s="211"/>
      <c r="BV32" s="21">
        <f>BV31/BT31-1</f>
        <v>-2.8183716075156573E-2</v>
      </c>
      <c r="BW32" s="21">
        <f>BW31/BV31-1</f>
        <v>-3.007518796992481E-2</v>
      </c>
      <c r="BX32" s="21">
        <f>BX31/BW31-1</f>
        <v>-3.9867109634551534E-2</v>
      </c>
      <c r="BY32" s="21">
        <f>BY31/BX31-1</f>
        <v>-3.8062283737024249E-2</v>
      </c>
      <c r="BZ32" s="211"/>
      <c r="CA32" s="21">
        <f>CA31/BY31-1</f>
        <v>-5.8752997601918433E-2</v>
      </c>
      <c r="CB32" s="21">
        <f>CB31/CA31-1</f>
        <v>-5.8598726114649669E-2</v>
      </c>
      <c r="CC32" s="21">
        <f>CC31/CB31-1</f>
        <v>-6.0893098782138E-2</v>
      </c>
      <c r="CD32" s="21">
        <f>CD31/CC31-1</f>
        <v>-4.7550432276657006E-2</v>
      </c>
      <c r="CE32" s="211"/>
      <c r="CF32" s="21">
        <f>CF31/CD31-1</f>
        <v>-7.4130105900151233E-2</v>
      </c>
      <c r="CG32" s="21">
        <f>CG31/CF31-1</f>
        <v>-6.5359477124182996E-2</v>
      </c>
      <c r="CH32" s="21">
        <f>CH31/CG31-1</f>
        <v>-7.5174825174825211E-2</v>
      </c>
      <c r="CI32" s="21">
        <f>CI31/CH31-1</f>
        <v>-7.9395085066162552E-2</v>
      </c>
      <c r="CJ32" s="211"/>
      <c r="CK32" s="21">
        <f>CK31/CI31-1</f>
        <v>-7.8028747433264933E-2</v>
      </c>
      <c r="CL32" s="21">
        <f>CL31/CK31-1</f>
        <v>-7.3496659242761719E-2</v>
      </c>
      <c r="CM32" s="21">
        <f>CM31/CL31-1</f>
        <v>-8.4134615384615419E-2</v>
      </c>
      <c r="CN32" s="21">
        <f>CN31/CM31-1</f>
        <v>-7.6115485564304475E-2</v>
      </c>
      <c r="CO32" s="211"/>
    </row>
    <row r="33" spans="2:93" ht="13.9" customHeight="1">
      <c r="B33" s="20" t="s">
        <v>6</v>
      </c>
      <c r="C33" s="4"/>
      <c r="D33" s="22"/>
      <c r="E33" s="22"/>
      <c r="F33" s="22"/>
      <c r="G33" s="22"/>
      <c r="H33" s="4"/>
      <c r="I33" s="22"/>
      <c r="J33" s="22"/>
      <c r="K33" s="22"/>
      <c r="L33" s="21"/>
      <c r="M33" s="4"/>
      <c r="N33" s="22"/>
      <c r="O33" s="22"/>
      <c r="P33" s="22"/>
      <c r="Q33" s="21"/>
      <c r="R33" s="4"/>
      <c r="S33" s="22"/>
      <c r="T33" s="22"/>
      <c r="U33" s="22"/>
      <c r="V33" s="21"/>
      <c r="W33" s="211"/>
      <c r="X33" s="211"/>
      <c r="Y33" s="211"/>
      <c r="Z33" s="211"/>
      <c r="AA33" s="212"/>
      <c r="AB33" s="211"/>
      <c r="AC33" s="211"/>
      <c r="AD33" s="211"/>
      <c r="AE33" s="211"/>
      <c r="AF33" s="212"/>
      <c r="AG33" s="211"/>
      <c r="AH33" s="211"/>
      <c r="AI33" s="211"/>
      <c r="AJ33" s="211"/>
      <c r="AK33" s="212"/>
      <c r="AL33" s="211"/>
      <c r="AM33" s="211"/>
      <c r="AN33" s="211"/>
      <c r="AO33" s="211"/>
      <c r="AP33" s="212"/>
      <c r="AQ33" s="211"/>
      <c r="AR33" s="211"/>
      <c r="AS33" s="211"/>
      <c r="AT33" s="211"/>
      <c r="AU33" s="212"/>
      <c r="AV33" s="211"/>
      <c r="AW33" s="211"/>
      <c r="AX33" s="211"/>
      <c r="AY33" s="211"/>
      <c r="AZ33" s="212"/>
      <c r="BA33" s="211"/>
      <c r="BB33" s="211"/>
      <c r="BC33" s="211"/>
      <c r="BD33" s="211"/>
      <c r="BE33" s="212"/>
      <c r="BF33" s="211"/>
      <c r="BG33" s="211"/>
      <c r="BH33" s="211"/>
      <c r="BI33" s="211"/>
      <c r="BJ33" s="212"/>
      <c r="BK33" s="211"/>
      <c r="BL33" s="211"/>
      <c r="BM33" s="211"/>
      <c r="BN33" s="211"/>
      <c r="BO33" s="212"/>
      <c r="BP33" s="211"/>
      <c r="BQ33" s="211"/>
      <c r="BR33" s="211"/>
      <c r="BS33" s="211"/>
      <c r="BT33" s="212"/>
      <c r="BU33" s="211"/>
      <c r="BV33" s="22">
        <f t="shared" ref="BV33:CC33" si="52">BV31/BQ31-1</f>
        <v>-6.899999999999995E-2</v>
      </c>
      <c r="BW33" s="22">
        <f t="shared" si="52"/>
        <v>-9.1549295774647876E-2</v>
      </c>
      <c r="BX33" s="22">
        <f t="shared" si="52"/>
        <v>-0.11258955987717501</v>
      </c>
      <c r="BY33" s="21">
        <f t="shared" si="52"/>
        <v>-0.12943632567849683</v>
      </c>
      <c r="BZ33" s="211">
        <f t="shared" si="52"/>
        <v>-0.12943632567849683</v>
      </c>
      <c r="CA33" s="22">
        <f t="shared" si="52"/>
        <v>-0.1568206229860365</v>
      </c>
      <c r="CB33" s="22">
        <f t="shared" si="52"/>
        <v>-0.18161683277962348</v>
      </c>
      <c r="CC33" s="22">
        <f t="shared" si="52"/>
        <v>-0.19953863898500579</v>
      </c>
      <c r="CD33" s="21">
        <f t="shared" ref="CD33" si="53">CD31/BY31-1</f>
        <v>-0.20743405275779381</v>
      </c>
      <c r="CE33" s="211">
        <f t="shared" ref="CE33:CH33" si="54">CE31/BZ31-1</f>
        <v>-0.20743405275779381</v>
      </c>
      <c r="CF33" s="22">
        <f t="shared" si="54"/>
        <v>-0.22038216560509549</v>
      </c>
      <c r="CG33" s="22">
        <f t="shared" si="54"/>
        <v>-0.22598105548037895</v>
      </c>
      <c r="CH33" s="22">
        <f t="shared" si="54"/>
        <v>-0.23775216138328525</v>
      </c>
      <c r="CI33" s="21">
        <f t="shared" ref="CI33" si="55">CI31/CD31-1</f>
        <v>-0.26323751891074132</v>
      </c>
      <c r="CJ33" s="211">
        <f t="shared" ref="CJ33:CM33" si="56">CJ31/CE31-1</f>
        <v>-0.26323751891074132</v>
      </c>
      <c r="CK33" s="22">
        <f t="shared" si="56"/>
        <v>-0.2663398692810458</v>
      </c>
      <c r="CL33" s="22">
        <f t="shared" si="56"/>
        <v>-0.27272727272727271</v>
      </c>
      <c r="CM33" s="22">
        <f t="shared" si="56"/>
        <v>-0.27977315689981097</v>
      </c>
      <c r="CN33" s="21">
        <f t="shared" ref="CN33" si="57">CN31/CI31-1</f>
        <v>-0.2772073921971252</v>
      </c>
      <c r="CO33" s="211">
        <f t="shared" ref="CO33" si="58">CO31/CJ31-1</f>
        <v>-0.2772073921971252</v>
      </c>
    </row>
    <row r="34" spans="2:93" ht="13.9" customHeight="1">
      <c r="B34" s="20" t="s">
        <v>377</v>
      </c>
      <c r="C34" s="4"/>
      <c r="D34" s="22"/>
      <c r="E34" s="22"/>
      <c r="F34" s="22"/>
      <c r="G34" s="22"/>
      <c r="H34" s="4"/>
      <c r="I34" s="22"/>
      <c r="J34" s="22"/>
      <c r="K34" s="22"/>
      <c r="L34" s="21"/>
      <c r="M34" s="4"/>
      <c r="N34" s="22"/>
      <c r="O34" s="22"/>
      <c r="P34" s="22"/>
      <c r="Q34" s="21"/>
      <c r="R34" s="4"/>
      <c r="S34" s="22"/>
      <c r="T34" s="22"/>
      <c r="U34" s="22"/>
      <c r="V34" s="21"/>
      <c r="W34" s="211"/>
      <c r="X34" s="211"/>
      <c r="Y34" s="211"/>
      <c r="Z34" s="211"/>
      <c r="AA34" s="212"/>
      <c r="AB34" s="211"/>
      <c r="AC34" s="211"/>
      <c r="AD34" s="211"/>
      <c r="AE34" s="211"/>
      <c r="AF34" s="212"/>
      <c r="AG34" s="211"/>
      <c r="AH34" s="211"/>
      <c r="AI34" s="211"/>
      <c r="AJ34" s="211"/>
      <c r="AK34" s="212"/>
      <c r="AL34" s="211"/>
      <c r="AM34" s="211"/>
      <c r="AN34" s="211"/>
      <c r="AO34" s="211"/>
      <c r="AP34" s="212"/>
      <c r="AQ34" s="211"/>
      <c r="AR34" s="211"/>
      <c r="AS34" s="211"/>
      <c r="AT34" s="211"/>
      <c r="AU34" s="212"/>
      <c r="AV34" s="211"/>
      <c r="AW34" s="211"/>
      <c r="AX34" s="211"/>
      <c r="AY34" s="211"/>
      <c r="AZ34" s="212"/>
      <c r="BA34" s="211"/>
      <c r="BB34" s="211"/>
      <c r="BC34" s="211"/>
      <c r="BD34" s="211"/>
      <c r="BE34" s="212"/>
      <c r="BF34" s="211"/>
      <c r="BG34" s="211"/>
      <c r="BH34" s="211"/>
      <c r="BI34" s="211"/>
      <c r="BJ34" s="212"/>
      <c r="BK34" s="211"/>
      <c r="BL34" s="211"/>
      <c r="BM34" s="211"/>
      <c r="BN34" s="211"/>
      <c r="BO34" s="212"/>
      <c r="BP34" s="211"/>
      <c r="BQ34" s="249"/>
      <c r="BR34" s="249">
        <f>BR31-BQ31</f>
        <v>-6</v>
      </c>
      <c r="BS34" s="249">
        <f>BS31-BR31</f>
        <v>-17</v>
      </c>
      <c r="BT34" s="249">
        <f>BT31-BS31</f>
        <v>-19</v>
      </c>
      <c r="BU34" s="249"/>
      <c r="BV34" s="113">
        <f>BV31-BT31</f>
        <v>-27</v>
      </c>
      <c r="BW34" s="113">
        <f>BW31-BV31</f>
        <v>-28</v>
      </c>
      <c r="BX34" s="113">
        <f>BX31-BW31</f>
        <v>-36</v>
      </c>
      <c r="BY34" s="113">
        <f>BY31-BX31</f>
        <v>-33</v>
      </c>
      <c r="BZ34" s="249">
        <f>BZ31-BU31</f>
        <v>-124</v>
      </c>
      <c r="CA34" s="113">
        <f>CA31-BY31</f>
        <v>-49</v>
      </c>
      <c r="CB34" s="113">
        <f>CB31-CA31</f>
        <v>-46</v>
      </c>
      <c r="CC34" s="113">
        <f>CC31-CB31</f>
        <v>-45</v>
      </c>
      <c r="CD34" s="113">
        <f>CD31-CC31</f>
        <v>-33</v>
      </c>
      <c r="CE34" s="249">
        <f>CE31-BZ31</f>
        <v>-173</v>
      </c>
      <c r="CF34" s="113">
        <f>CF31-CD31</f>
        <v>-49</v>
      </c>
      <c r="CG34" s="113">
        <f>CG31-CF31</f>
        <v>-40</v>
      </c>
      <c r="CH34" s="113">
        <f>CH31-CG31</f>
        <v>-43</v>
      </c>
      <c r="CI34" s="113">
        <f>CI31-CH31</f>
        <v>-42</v>
      </c>
      <c r="CJ34" s="249">
        <f>CJ31-CE31</f>
        <v>-174</v>
      </c>
      <c r="CK34" s="113">
        <f>CK31-CI31</f>
        <v>-38</v>
      </c>
      <c r="CL34" s="113">
        <f>CL31-CK31</f>
        <v>-33</v>
      </c>
      <c r="CM34" s="113">
        <f>CM31-CL31</f>
        <v>-35</v>
      </c>
      <c r="CN34" s="113">
        <f>CN31-CM31</f>
        <v>-29</v>
      </c>
      <c r="CO34" s="249">
        <f>CO31-CJ31</f>
        <v>-135</v>
      </c>
    </row>
    <row r="35" spans="2:93" ht="3.75" customHeight="1">
      <c r="B35" s="201"/>
      <c r="C35" s="201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  <c r="AN35" s="283"/>
      <c r="AO35" s="283"/>
      <c r="AP35" s="283"/>
      <c r="AQ35" s="283"/>
      <c r="AR35" s="283"/>
      <c r="AS35" s="283"/>
      <c r="AT35" s="283"/>
      <c r="AU35" s="283"/>
      <c r="AV35" s="283"/>
      <c r="AW35" s="283"/>
      <c r="AX35" s="283"/>
      <c r="AY35" s="283"/>
      <c r="AZ35" s="283"/>
      <c r="BA35" s="283"/>
      <c r="BB35" s="283"/>
      <c r="BC35" s="283"/>
      <c r="BD35" s="283"/>
      <c r="BE35" s="283"/>
      <c r="BF35" s="283"/>
      <c r="BG35" s="283"/>
      <c r="BH35" s="283"/>
      <c r="BI35" s="283"/>
      <c r="BJ35" s="283"/>
      <c r="BK35" s="283"/>
      <c r="BL35" s="283"/>
      <c r="BM35" s="283"/>
      <c r="BN35" s="283"/>
      <c r="BO35" s="283"/>
      <c r="BP35" s="283"/>
      <c r="BQ35" s="283"/>
      <c r="BR35" s="283"/>
      <c r="BS35" s="283"/>
      <c r="BT35" s="283"/>
      <c r="BU35" s="283"/>
      <c r="BV35" s="283"/>
      <c r="BW35" s="283"/>
      <c r="BX35" s="283"/>
      <c r="BY35" s="283"/>
      <c r="BZ35" s="283"/>
      <c r="CA35" s="283"/>
      <c r="CB35" s="283"/>
      <c r="CC35" s="283"/>
      <c r="CD35" s="283"/>
      <c r="CE35" s="283"/>
      <c r="CF35" s="283"/>
      <c r="CG35" s="283"/>
      <c r="CH35" s="283"/>
      <c r="CI35" s="283"/>
      <c r="CJ35" s="283"/>
      <c r="CK35" s="283"/>
      <c r="CL35" s="283"/>
      <c r="CM35" s="283"/>
      <c r="CN35" s="283"/>
      <c r="CO35" s="283"/>
    </row>
    <row r="36" spans="2:93" ht="13.9" customHeight="1">
      <c r="B36" s="12" t="s">
        <v>371</v>
      </c>
      <c r="C36" s="60" t="s">
        <v>92</v>
      </c>
      <c r="D36" s="29" t="s">
        <v>92</v>
      </c>
      <c r="E36" s="29" t="s">
        <v>92</v>
      </c>
      <c r="F36" s="29" t="s">
        <v>92</v>
      </c>
      <c r="G36" s="29" t="s">
        <v>92</v>
      </c>
      <c r="H36" s="60" t="s">
        <v>92</v>
      </c>
      <c r="I36" s="29" t="s">
        <v>92</v>
      </c>
      <c r="J36" s="29" t="s">
        <v>92</v>
      </c>
      <c r="K36" s="29" t="s">
        <v>92</v>
      </c>
      <c r="L36" s="29" t="s">
        <v>92</v>
      </c>
      <c r="M36" s="60" t="s">
        <v>92</v>
      </c>
      <c r="N36" s="29" t="s">
        <v>92</v>
      </c>
      <c r="O36" s="29" t="s">
        <v>92</v>
      </c>
      <c r="P36" s="29" t="s">
        <v>92</v>
      </c>
      <c r="Q36" s="29" t="s">
        <v>92</v>
      </c>
      <c r="R36" s="60" t="s">
        <v>92</v>
      </c>
      <c r="S36" s="29" t="s">
        <v>92</v>
      </c>
      <c r="T36" s="29" t="s">
        <v>92</v>
      </c>
      <c r="U36" s="29" t="s">
        <v>92</v>
      </c>
      <c r="V36" s="29" t="s">
        <v>92</v>
      </c>
      <c r="W36" s="252" t="s">
        <v>92</v>
      </c>
      <c r="X36" s="217" t="s">
        <v>92</v>
      </c>
      <c r="Y36" s="217" t="s">
        <v>92</v>
      </c>
      <c r="Z36" s="217" t="s">
        <v>92</v>
      </c>
      <c r="AA36" s="217" t="s">
        <v>92</v>
      </c>
      <c r="AB36" s="252" t="s">
        <v>92</v>
      </c>
      <c r="AC36" s="252" t="s">
        <v>92</v>
      </c>
      <c r="AD36" s="252" t="s">
        <v>92</v>
      </c>
      <c r="AE36" s="252" t="s">
        <v>92</v>
      </c>
      <c r="AF36" s="252" t="s">
        <v>92</v>
      </c>
      <c r="AG36" s="252" t="s">
        <v>92</v>
      </c>
      <c r="AH36" s="252" t="s">
        <v>92</v>
      </c>
      <c r="AI36" s="252" t="s">
        <v>92</v>
      </c>
      <c r="AJ36" s="252" t="s">
        <v>92</v>
      </c>
      <c r="AK36" s="252" t="s">
        <v>92</v>
      </c>
      <c r="AL36" s="252" t="s">
        <v>92</v>
      </c>
      <c r="AM36" s="210">
        <v>11</v>
      </c>
      <c r="AN36" s="210">
        <v>78</v>
      </c>
      <c r="AO36" s="210">
        <v>177</v>
      </c>
      <c r="AP36" s="210">
        <v>244</v>
      </c>
      <c r="AQ36" s="210">
        <v>244</v>
      </c>
      <c r="AR36" s="210">
        <v>290</v>
      </c>
      <c r="AS36" s="210">
        <v>323</v>
      </c>
      <c r="AT36" s="210">
        <v>347</v>
      </c>
      <c r="AU36" s="210">
        <v>377</v>
      </c>
      <c r="AV36" s="210">
        <v>377</v>
      </c>
      <c r="AW36" s="210">
        <v>414</v>
      </c>
      <c r="AX36" s="210">
        <v>444</v>
      </c>
      <c r="AY36" s="210">
        <v>484</v>
      </c>
      <c r="AZ36" s="210">
        <v>532</v>
      </c>
      <c r="BA36" s="210">
        <v>532</v>
      </c>
      <c r="BB36" s="210">
        <v>574</v>
      </c>
      <c r="BC36" s="210">
        <v>600</v>
      </c>
      <c r="BD36" s="210">
        <v>617</v>
      </c>
      <c r="BE36" s="210">
        <v>626</v>
      </c>
      <c r="BF36" s="210">
        <v>626</v>
      </c>
      <c r="BG36" s="210">
        <v>624</v>
      </c>
      <c r="BH36" s="210">
        <v>612</v>
      </c>
      <c r="BI36" s="210">
        <v>601</v>
      </c>
      <c r="BJ36" s="210">
        <f>BK36</f>
        <v>592</v>
      </c>
      <c r="BK36" s="210">
        <v>592</v>
      </c>
      <c r="BL36" s="210">
        <v>584</v>
      </c>
      <c r="BM36" s="210">
        <v>580</v>
      </c>
      <c r="BN36" s="210">
        <v>570</v>
      </c>
      <c r="BO36" s="210">
        <f>BP36</f>
        <v>557</v>
      </c>
      <c r="BP36" s="210">
        <v>557</v>
      </c>
      <c r="BQ36" s="210">
        <v>539</v>
      </c>
      <c r="BR36" s="210">
        <v>520</v>
      </c>
      <c r="BS36" s="210">
        <f t="shared" ref="BS36:CJ36" si="59">BS40+BS44</f>
        <v>510</v>
      </c>
      <c r="BT36" s="210">
        <f t="shared" si="59"/>
        <v>501</v>
      </c>
      <c r="BU36" s="210">
        <f t="shared" si="59"/>
        <v>501</v>
      </c>
      <c r="BV36" s="19">
        <f t="shared" si="59"/>
        <v>495</v>
      </c>
      <c r="BW36" s="19">
        <f t="shared" si="59"/>
        <v>490</v>
      </c>
      <c r="BX36" s="19">
        <f t="shared" si="59"/>
        <v>481</v>
      </c>
      <c r="BY36" s="19">
        <f t="shared" si="59"/>
        <v>472</v>
      </c>
      <c r="BZ36" s="210">
        <f t="shared" si="59"/>
        <v>472</v>
      </c>
      <c r="CA36" s="19">
        <f t="shared" si="59"/>
        <v>474</v>
      </c>
      <c r="CB36" s="19">
        <f t="shared" si="59"/>
        <v>477</v>
      </c>
      <c r="CC36" s="19">
        <f t="shared" si="59"/>
        <v>471</v>
      </c>
      <c r="CD36" s="19">
        <f t="shared" si="59"/>
        <v>467</v>
      </c>
      <c r="CE36" s="210">
        <f t="shared" si="59"/>
        <v>467</v>
      </c>
      <c r="CF36" s="19">
        <f t="shared" si="59"/>
        <v>470</v>
      </c>
      <c r="CG36" s="19">
        <f t="shared" si="59"/>
        <v>472</v>
      </c>
      <c r="CH36" s="19">
        <f t="shared" si="59"/>
        <v>474</v>
      </c>
      <c r="CI36" s="19">
        <f t="shared" si="59"/>
        <v>471</v>
      </c>
      <c r="CJ36" s="210">
        <f t="shared" si="59"/>
        <v>471</v>
      </c>
      <c r="CK36" s="19">
        <f t="shared" ref="CK36:CL36" si="60">CK40+CK44</f>
        <v>474</v>
      </c>
      <c r="CL36" s="19">
        <f t="shared" si="60"/>
        <v>477</v>
      </c>
      <c r="CM36" s="19">
        <f t="shared" ref="CM36:CO36" si="61">CM40+CM44</f>
        <v>483</v>
      </c>
      <c r="CN36" s="19">
        <f t="shared" si="61"/>
        <v>493</v>
      </c>
      <c r="CO36" s="210">
        <f t="shared" si="61"/>
        <v>493</v>
      </c>
    </row>
    <row r="37" spans="2:93" ht="13.9" customHeight="1">
      <c r="B37" s="20" t="s">
        <v>5</v>
      </c>
      <c r="C37" s="4"/>
      <c r="D37" s="22"/>
      <c r="E37" s="22"/>
      <c r="F37" s="22"/>
      <c r="G37" s="22"/>
      <c r="H37" s="4"/>
      <c r="I37" s="22"/>
      <c r="J37" s="22"/>
      <c r="K37" s="22"/>
      <c r="L37" s="21"/>
      <c r="M37" s="4"/>
      <c r="N37" s="22"/>
      <c r="O37" s="22"/>
      <c r="P37" s="22"/>
      <c r="Q37" s="21"/>
      <c r="R37" s="4"/>
      <c r="S37" s="22"/>
      <c r="T37" s="22"/>
      <c r="U37" s="22"/>
      <c r="V37" s="21"/>
      <c r="W37" s="211"/>
      <c r="X37" s="211"/>
      <c r="Y37" s="211"/>
      <c r="Z37" s="211"/>
      <c r="AA37" s="212"/>
      <c r="AB37" s="211"/>
      <c r="AC37" s="211"/>
      <c r="AD37" s="211"/>
      <c r="AE37" s="211"/>
      <c r="AF37" s="212"/>
      <c r="AG37" s="211"/>
      <c r="AH37" s="211"/>
      <c r="AI37" s="211"/>
      <c r="AJ37" s="211"/>
      <c r="AK37" s="212"/>
      <c r="AL37" s="211"/>
      <c r="AM37" s="211"/>
      <c r="AN37" s="212">
        <f>AN36/AM36-1</f>
        <v>6.0909090909090908</v>
      </c>
      <c r="AO37" s="212">
        <f>AO36/AN36-1</f>
        <v>1.2692307692307692</v>
      </c>
      <c r="AP37" s="212">
        <f>AP36/AO36-1</f>
        <v>0.37853107344632764</v>
      </c>
      <c r="AQ37" s="211"/>
      <c r="AR37" s="212">
        <f>AR36/AP36-1</f>
        <v>0.18852459016393452</v>
      </c>
      <c r="AS37" s="212">
        <f>AS36/AR36-1</f>
        <v>0.11379310344827576</v>
      </c>
      <c r="AT37" s="212">
        <f>AT36/AS36-1</f>
        <v>7.4303405572755388E-2</v>
      </c>
      <c r="AU37" s="212">
        <f>AU36/AT36-1</f>
        <v>8.6455331412103709E-2</v>
      </c>
      <c r="AV37" s="211"/>
      <c r="AW37" s="212">
        <f>AW36/AU36-1</f>
        <v>9.8143236074270668E-2</v>
      </c>
      <c r="AX37" s="212">
        <f>AX36/AW36-1</f>
        <v>7.2463768115942129E-2</v>
      </c>
      <c r="AY37" s="212">
        <f>AY36/AX36-1</f>
        <v>9.0090090090090058E-2</v>
      </c>
      <c r="AZ37" s="212">
        <f>AZ36/AY36-1</f>
        <v>9.9173553719008156E-2</v>
      </c>
      <c r="BA37" s="211"/>
      <c r="BB37" s="212">
        <f>BB36/AZ36-1</f>
        <v>7.8947368421052655E-2</v>
      </c>
      <c r="BC37" s="212">
        <f>BC36/BB36-1</f>
        <v>4.5296167247386832E-2</v>
      </c>
      <c r="BD37" s="212">
        <f>BD36/BC36-1</f>
        <v>2.8333333333333321E-2</v>
      </c>
      <c r="BE37" s="212">
        <f>BE36/BD36-1</f>
        <v>1.4586709886547755E-2</v>
      </c>
      <c r="BF37" s="211"/>
      <c r="BG37" s="212">
        <f>BG36/BE36-1</f>
        <v>-3.1948881789137795E-3</v>
      </c>
      <c r="BH37" s="212">
        <f>BH36/BG36-1</f>
        <v>-1.9230769230769273E-2</v>
      </c>
      <c r="BI37" s="212">
        <f>BI36/BH36-1</f>
        <v>-1.7973856209150374E-2</v>
      </c>
      <c r="BJ37" s="212">
        <f>BJ36/BI36-1</f>
        <v>-1.4975041597337757E-2</v>
      </c>
      <c r="BK37" s="211"/>
      <c r="BL37" s="212">
        <f>BL36/BJ36-1</f>
        <v>-1.3513513513513487E-2</v>
      </c>
      <c r="BM37" s="212">
        <f>BM36/BL36-1</f>
        <v>-6.8493150684931781E-3</v>
      </c>
      <c r="BN37" s="212">
        <f>BN36/BM36-1</f>
        <v>-1.7241379310344862E-2</v>
      </c>
      <c r="BO37" s="212">
        <f>BO36/BN36-1</f>
        <v>-2.2807017543859609E-2</v>
      </c>
      <c r="BP37" s="211"/>
      <c r="BQ37" s="212">
        <f>BQ36/BO36-1</f>
        <v>-3.2315978456014416E-2</v>
      </c>
      <c r="BR37" s="212">
        <f>BR36/BQ36-1</f>
        <v>-3.5250463821892342E-2</v>
      </c>
      <c r="BS37" s="212">
        <f>BS36/BR36-1</f>
        <v>-1.9230769230769273E-2</v>
      </c>
      <c r="BT37" s="212">
        <f>BT36/BS36-1</f>
        <v>-1.764705882352946E-2</v>
      </c>
      <c r="BU37" s="211"/>
      <c r="BV37" s="21">
        <f>BV36/BT36-1</f>
        <v>-1.19760479041916E-2</v>
      </c>
      <c r="BW37" s="21">
        <f>BW36/BV36-1</f>
        <v>-1.0101010101010055E-2</v>
      </c>
      <c r="BX37" s="21">
        <f>BX36/BW36-1</f>
        <v>-1.8367346938775508E-2</v>
      </c>
      <c r="BY37" s="21">
        <f>BY36/BX36-1</f>
        <v>-1.8711018711018657E-2</v>
      </c>
      <c r="BZ37" s="211"/>
      <c r="CA37" s="21">
        <f>CA36/BY36-1</f>
        <v>4.237288135593209E-3</v>
      </c>
      <c r="CB37" s="21">
        <f>CB36/CA36-1</f>
        <v>6.3291139240506666E-3</v>
      </c>
      <c r="CC37" s="21">
        <f>CC36/CB36-1</f>
        <v>-1.2578616352201255E-2</v>
      </c>
      <c r="CD37" s="21">
        <f>CD36/CC36-1</f>
        <v>-8.4925690021231404E-3</v>
      </c>
      <c r="CE37" s="211"/>
      <c r="CF37" s="21">
        <f>CF36/CD36-1</f>
        <v>6.4239828693790635E-3</v>
      </c>
      <c r="CG37" s="21">
        <f>CG36/CF36-1</f>
        <v>4.2553191489360653E-3</v>
      </c>
      <c r="CH37" s="21">
        <f>CH36/CG36-1</f>
        <v>4.237288135593209E-3</v>
      </c>
      <c r="CI37" s="21">
        <f>CI36/CH36-1</f>
        <v>-6.3291139240506666E-3</v>
      </c>
      <c r="CJ37" s="211"/>
      <c r="CK37" s="21">
        <f>CK36/CI36-1</f>
        <v>6.3694267515923553E-3</v>
      </c>
      <c r="CL37" s="21">
        <f>CL36/CK36-1</f>
        <v>6.3291139240506666E-3</v>
      </c>
      <c r="CM37" s="21">
        <f>CM36/CL36-1</f>
        <v>1.2578616352201255E-2</v>
      </c>
      <c r="CN37" s="21">
        <f>CN36/CM36-1</f>
        <v>2.0703933747411973E-2</v>
      </c>
      <c r="CO37" s="211"/>
    </row>
    <row r="38" spans="2:93" ht="13.9" customHeight="1">
      <c r="B38" s="20" t="s">
        <v>6</v>
      </c>
      <c r="C38" s="4"/>
      <c r="D38" s="22"/>
      <c r="E38" s="22"/>
      <c r="F38" s="22"/>
      <c r="G38" s="22"/>
      <c r="H38" s="4"/>
      <c r="I38" s="22"/>
      <c r="J38" s="22"/>
      <c r="K38" s="22"/>
      <c r="L38" s="21"/>
      <c r="M38" s="4"/>
      <c r="N38" s="22"/>
      <c r="O38" s="22"/>
      <c r="P38" s="22"/>
      <c r="Q38" s="21"/>
      <c r="R38" s="4"/>
      <c r="S38" s="22"/>
      <c r="T38" s="22"/>
      <c r="U38" s="22"/>
      <c r="V38" s="21"/>
      <c r="W38" s="211"/>
      <c r="X38" s="211"/>
      <c r="Y38" s="211"/>
      <c r="Z38" s="211"/>
      <c r="AA38" s="212"/>
      <c r="AB38" s="211"/>
      <c r="AC38" s="211"/>
      <c r="AD38" s="211"/>
      <c r="AE38" s="211"/>
      <c r="AF38" s="212"/>
      <c r="AG38" s="211"/>
      <c r="AH38" s="211"/>
      <c r="AI38" s="211"/>
      <c r="AJ38" s="211"/>
      <c r="AK38" s="212"/>
      <c r="AL38" s="211"/>
      <c r="AM38" s="211"/>
      <c r="AN38" s="211"/>
      <c r="AO38" s="211"/>
      <c r="AP38" s="212"/>
      <c r="AQ38" s="211"/>
      <c r="AR38" s="211">
        <f>AR36/AM36-1</f>
        <v>25.363636363636363</v>
      </c>
      <c r="AS38" s="211">
        <f>AS36/AN36-1</f>
        <v>3.1410256410256414</v>
      </c>
      <c r="AT38" s="211">
        <f>AT36/AO36-1</f>
        <v>0.96045197740112997</v>
      </c>
      <c r="AU38" s="212"/>
      <c r="AV38" s="211">
        <f>AV36/AQ36-1</f>
        <v>0.54508196721311486</v>
      </c>
      <c r="AW38" s="211">
        <f t="shared" ref="AW38:BD38" si="62">AW36/AR36-1</f>
        <v>0.42758620689655169</v>
      </c>
      <c r="AX38" s="211">
        <f t="shared" si="62"/>
        <v>0.37461300309597534</v>
      </c>
      <c r="AY38" s="211">
        <f t="shared" si="62"/>
        <v>0.39481268011527382</v>
      </c>
      <c r="AZ38" s="212">
        <f t="shared" si="62"/>
        <v>0.41114058355437666</v>
      </c>
      <c r="BA38" s="211">
        <f>BA36/AV36-1</f>
        <v>0.41114058355437666</v>
      </c>
      <c r="BB38" s="211">
        <f t="shared" si="62"/>
        <v>0.38647342995169076</v>
      </c>
      <c r="BC38" s="211">
        <f t="shared" si="62"/>
        <v>0.35135135135135132</v>
      </c>
      <c r="BD38" s="211">
        <f t="shared" si="62"/>
        <v>0.27479338842975198</v>
      </c>
      <c r="BE38" s="212">
        <f t="shared" ref="BE38:BX38" si="63">BE36/AZ36-1</f>
        <v>0.17669172932330834</v>
      </c>
      <c r="BF38" s="211">
        <f t="shared" si="63"/>
        <v>0.17669172932330834</v>
      </c>
      <c r="BG38" s="211">
        <f t="shared" si="63"/>
        <v>8.710801393728218E-2</v>
      </c>
      <c r="BH38" s="211">
        <f t="shared" si="63"/>
        <v>2.0000000000000018E-2</v>
      </c>
      <c r="BI38" s="211">
        <f t="shared" si="63"/>
        <v>-2.5931928687196071E-2</v>
      </c>
      <c r="BJ38" s="212">
        <f t="shared" si="63"/>
        <v>-5.4313099041533586E-2</v>
      </c>
      <c r="BK38" s="211">
        <f t="shared" si="63"/>
        <v>-5.4313099041533586E-2</v>
      </c>
      <c r="BL38" s="211">
        <f t="shared" si="63"/>
        <v>-6.4102564102564097E-2</v>
      </c>
      <c r="BM38" s="211">
        <f t="shared" si="63"/>
        <v>-5.2287581699346442E-2</v>
      </c>
      <c r="BN38" s="211">
        <f t="shared" si="63"/>
        <v>-5.1580698835274497E-2</v>
      </c>
      <c r="BO38" s="212">
        <f t="shared" si="63"/>
        <v>-5.9121621621621601E-2</v>
      </c>
      <c r="BP38" s="211">
        <f t="shared" si="63"/>
        <v>-5.9121621621621601E-2</v>
      </c>
      <c r="BQ38" s="211">
        <f t="shared" si="63"/>
        <v>-7.7054794520547976E-2</v>
      </c>
      <c r="BR38" s="211">
        <f t="shared" si="63"/>
        <v>-0.10344827586206895</v>
      </c>
      <c r="BS38" s="211">
        <f t="shared" si="63"/>
        <v>-0.10526315789473684</v>
      </c>
      <c r="BT38" s="212">
        <f t="shared" si="63"/>
        <v>-0.10053859964093359</v>
      </c>
      <c r="BU38" s="211">
        <f t="shared" si="63"/>
        <v>-0.10053859964093359</v>
      </c>
      <c r="BV38" s="22">
        <f t="shared" si="63"/>
        <v>-8.1632653061224469E-2</v>
      </c>
      <c r="BW38" s="22">
        <f t="shared" si="63"/>
        <v>-5.7692307692307709E-2</v>
      </c>
      <c r="BX38" s="22">
        <f t="shared" si="63"/>
        <v>-5.6862745098039236E-2</v>
      </c>
      <c r="BY38" s="21">
        <f>BY36/BT36-1</f>
        <v>-5.7884231536926123E-2</v>
      </c>
      <c r="BZ38" s="211">
        <f>BZ36/BU36-1</f>
        <v>-5.7884231536926123E-2</v>
      </c>
      <c r="CA38" s="22">
        <f>CA36/BV36-1</f>
        <v>-4.2424242424242475E-2</v>
      </c>
      <c r="CB38" s="22">
        <f>CB36/BW36-1</f>
        <v>-2.6530612244897944E-2</v>
      </c>
      <c r="CC38" s="22">
        <f t="shared" ref="CC38" si="64">CC36/BX36-1</f>
        <v>-2.0790020790020791E-2</v>
      </c>
      <c r="CD38" s="21">
        <f>CD36/BY36-1</f>
        <v>-1.0593220338983023E-2</v>
      </c>
      <c r="CE38" s="211">
        <f>CE36/BZ36-1</f>
        <v>-1.0593220338983023E-2</v>
      </c>
      <c r="CF38" s="22">
        <f>CF36/CA36-1</f>
        <v>-8.4388185654008518E-3</v>
      </c>
      <c r="CG38" s="22">
        <f>CG36/CB36-1</f>
        <v>-1.0482180293501009E-2</v>
      </c>
      <c r="CH38" s="22">
        <f t="shared" ref="CH38" si="65">CH36/CC36-1</f>
        <v>6.3694267515923553E-3</v>
      </c>
      <c r="CI38" s="21">
        <f>CI36/CD36-1</f>
        <v>8.565310492505418E-3</v>
      </c>
      <c r="CJ38" s="211">
        <f>CJ36/CE36-1</f>
        <v>8.565310492505418E-3</v>
      </c>
      <c r="CK38" s="22">
        <f t="shared" ref="CK38" si="66">CK36/CF36-1</f>
        <v>8.5106382978723527E-3</v>
      </c>
      <c r="CL38" s="22">
        <f>CL36/CG36-1</f>
        <v>1.0593220338983134E-2</v>
      </c>
      <c r="CM38" s="22">
        <f>CM36/CH36-1</f>
        <v>1.8987341772152E-2</v>
      </c>
      <c r="CN38" s="21">
        <f>CN36/CI36-1</f>
        <v>4.6709129511677272E-2</v>
      </c>
      <c r="CO38" s="211">
        <f>CO36/CJ36-1</f>
        <v>4.6709129511677272E-2</v>
      </c>
    </row>
    <row r="39" spans="2:93" ht="13.9" customHeight="1">
      <c r="B39" s="20" t="s">
        <v>377</v>
      </c>
      <c r="C39" s="4"/>
      <c r="D39" s="22"/>
      <c r="E39" s="22"/>
      <c r="F39" s="22"/>
      <c r="G39" s="22"/>
      <c r="H39" s="4"/>
      <c r="I39" s="22"/>
      <c r="J39" s="22"/>
      <c r="K39" s="22"/>
      <c r="L39" s="21"/>
      <c r="M39" s="4"/>
      <c r="N39" s="22"/>
      <c r="O39" s="22"/>
      <c r="P39" s="22"/>
      <c r="Q39" s="21"/>
      <c r="R39" s="4"/>
      <c r="S39" s="22"/>
      <c r="T39" s="22"/>
      <c r="U39" s="22"/>
      <c r="V39" s="21"/>
      <c r="W39" s="211"/>
      <c r="X39" s="211"/>
      <c r="Y39" s="211"/>
      <c r="Z39" s="211"/>
      <c r="AA39" s="212"/>
      <c r="AB39" s="211"/>
      <c r="AC39" s="211"/>
      <c r="AD39" s="211"/>
      <c r="AE39" s="211"/>
      <c r="AF39" s="212"/>
      <c r="AG39" s="211"/>
      <c r="AH39" s="211"/>
      <c r="AI39" s="211"/>
      <c r="AJ39" s="211"/>
      <c r="AK39" s="212"/>
      <c r="AL39" s="211"/>
      <c r="AM39" s="211"/>
      <c r="AN39" s="254">
        <f>AN36-AM36</f>
        <v>67</v>
      </c>
      <c r="AO39" s="254">
        <f>AO36-AN36</f>
        <v>99</v>
      </c>
      <c r="AP39" s="254">
        <f>AP36-AO36</f>
        <v>67</v>
      </c>
      <c r="AQ39" s="226"/>
      <c r="AR39" s="255">
        <f>AR36-AP36</f>
        <v>46</v>
      </c>
      <c r="AS39" s="255">
        <f>AS36-AR36</f>
        <v>33</v>
      </c>
      <c r="AT39" s="255">
        <f>AT36-AS36</f>
        <v>24</v>
      </c>
      <c r="AU39" s="255">
        <f>AU36-AT36</f>
        <v>30</v>
      </c>
      <c r="AV39" s="249">
        <f>AV36-AQ36</f>
        <v>133</v>
      </c>
      <c r="AW39" s="249">
        <f>AW36-AU36</f>
        <v>37</v>
      </c>
      <c r="AX39" s="249">
        <f>AX36-AW36</f>
        <v>30</v>
      </c>
      <c r="AY39" s="249">
        <f>AY36-AX36</f>
        <v>40</v>
      </c>
      <c r="AZ39" s="249">
        <f>AZ36-AY36</f>
        <v>48</v>
      </c>
      <c r="BA39" s="249">
        <f>BA36-AV36</f>
        <v>155</v>
      </c>
      <c r="BB39" s="249">
        <f>BB36-AZ36</f>
        <v>42</v>
      </c>
      <c r="BC39" s="249">
        <f>BC36-BB36</f>
        <v>26</v>
      </c>
      <c r="BD39" s="249">
        <f>BD36-BC36</f>
        <v>17</v>
      </c>
      <c r="BE39" s="249">
        <f>BE36-BD36</f>
        <v>9</v>
      </c>
      <c r="BF39" s="249">
        <f>BF36-BA36</f>
        <v>94</v>
      </c>
      <c r="BG39" s="249">
        <f>BG36-BE36</f>
        <v>-2</v>
      </c>
      <c r="BH39" s="249">
        <f>BH36-BG36</f>
        <v>-12</v>
      </c>
      <c r="BI39" s="249">
        <f>BI36-BH36</f>
        <v>-11</v>
      </c>
      <c r="BJ39" s="249">
        <f>BJ36-BI36</f>
        <v>-9</v>
      </c>
      <c r="BK39" s="249">
        <f>BK36-BF36</f>
        <v>-34</v>
      </c>
      <c r="BL39" s="249">
        <f>BL36-BJ36</f>
        <v>-8</v>
      </c>
      <c r="BM39" s="249">
        <f>BM36-BL36</f>
        <v>-4</v>
      </c>
      <c r="BN39" s="249">
        <f>BN36-BM36</f>
        <v>-10</v>
      </c>
      <c r="BO39" s="249">
        <f>BO36-BN36</f>
        <v>-13</v>
      </c>
      <c r="BP39" s="249">
        <f>BP36-BK36</f>
        <v>-35</v>
      </c>
      <c r="BQ39" s="249">
        <f>BQ36-BO36</f>
        <v>-18</v>
      </c>
      <c r="BR39" s="249">
        <f>BR36-BQ36</f>
        <v>-19</v>
      </c>
      <c r="BS39" s="249">
        <f>BS36-BR36</f>
        <v>-10</v>
      </c>
      <c r="BT39" s="249">
        <f>BT36-BS36</f>
        <v>-9</v>
      </c>
      <c r="BU39" s="249">
        <f>BU36-BP36</f>
        <v>-56</v>
      </c>
      <c r="BV39" s="113">
        <f>BV36-BT36</f>
        <v>-6</v>
      </c>
      <c r="BW39" s="113">
        <f>BW36-BV36</f>
        <v>-5</v>
      </c>
      <c r="BX39" s="113">
        <f>BX36-BW36</f>
        <v>-9</v>
      </c>
      <c r="BY39" s="113">
        <f>BY36-BX36</f>
        <v>-9</v>
      </c>
      <c r="BZ39" s="249">
        <f>BZ36-BU36</f>
        <v>-29</v>
      </c>
      <c r="CA39" s="113">
        <f>CA36-BY36</f>
        <v>2</v>
      </c>
      <c r="CB39" s="113">
        <f>CB36-CA36</f>
        <v>3</v>
      </c>
      <c r="CC39" s="113">
        <f>CC36-CB36</f>
        <v>-6</v>
      </c>
      <c r="CD39" s="113">
        <f>CD36-CC36</f>
        <v>-4</v>
      </c>
      <c r="CE39" s="249">
        <f>CE36-BZ36</f>
        <v>-5</v>
      </c>
      <c r="CF39" s="113">
        <f>CF36-CD36</f>
        <v>3</v>
      </c>
      <c r="CG39" s="113">
        <f>CG36-CF36</f>
        <v>2</v>
      </c>
      <c r="CH39" s="113">
        <f>CH36-CG36</f>
        <v>2</v>
      </c>
      <c r="CI39" s="113">
        <f>CI36-CH36</f>
        <v>-3</v>
      </c>
      <c r="CJ39" s="249">
        <f>CJ36-CE36</f>
        <v>4</v>
      </c>
      <c r="CK39" s="113">
        <f>CK36-CI36</f>
        <v>3</v>
      </c>
      <c r="CL39" s="113">
        <f>CL36-CK36</f>
        <v>3</v>
      </c>
      <c r="CM39" s="113">
        <f>CM36-CL36</f>
        <v>6</v>
      </c>
      <c r="CN39" s="113">
        <f>CN36-CM36</f>
        <v>10</v>
      </c>
      <c r="CO39" s="249">
        <f>CO36-CJ36</f>
        <v>22</v>
      </c>
    </row>
    <row r="40" spans="2:93" ht="13.9" customHeight="1">
      <c r="B40" s="12" t="s">
        <v>372</v>
      </c>
      <c r="C40" s="60" t="s">
        <v>92</v>
      </c>
      <c r="D40" s="29" t="s">
        <v>92</v>
      </c>
      <c r="E40" s="29" t="s">
        <v>92</v>
      </c>
      <c r="F40" s="29" t="s">
        <v>92</v>
      </c>
      <c r="G40" s="29" t="s">
        <v>92</v>
      </c>
      <c r="H40" s="60" t="s">
        <v>92</v>
      </c>
      <c r="I40" s="29" t="s">
        <v>92</v>
      </c>
      <c r="J40" s="29" t="s">
        <v>92</v>
      </c>
      <c r="K40" s="29" t="s">
        <v>92</v>
      </c>
      <c r="L40" s="29" t="s">
        <v>92</v>
      </c>
      <c r="M40" s="60" t="s">
        <v>92</v>
      </c>
      <c r="N40" s="29" t="s">
        <v>92</v>
      </c>
      <c r="O40" s="29" t="s">
        <v>92</v>
      </c>
      <c r="P40" s="29" t="s">
        <v>92</v>
      </c>
      <c r="Q40" s="29" t="s">
        <v>92</v>
      </c>
      <c r="R40" s="60" t="s">
        <v>92</v>
      </c>
      <c r="S40" s="29" t="s">
        <v>92</v>
      </c>
      <c r="T40" s="29" t="s">
        <v>92</v>
      </c>
      <c r="U40" s="29" t="s">
        <v>92</v>
      </c>
      <c r="V40" s="29" t="s">
        <v>92</v>
      </c>
      <c r="W40" s="252" t="s">
        <v>92</v>
      </c>
      <c r="X40" s="217" t="s">
        <v>92</v>
      </c>
      <c r="Y40" s="217" t="s">
        <v>92</v>
      </c>
      <c r="Z40" s="217" t="s">
        <v>92</v>
      </c>
      <c r="AA40" s="217" t="s">
        <v>92</v>
      </c>
      <c r="AB40" s="252" t="s">
        <v>92</v>
      </c>
      <c r="AC40" s="252" t="s">
        <v>92</v>
      </c>
      <c r="AD40" s="252" t="s">
        <v>92</v>
      </c>
      <c r="AE40" s="252" t="s">
        <v>92</v>
      </c>
      <c r="AF40" s="252" t="s">
        <v>92</v>
      </c>
      <c r="AG40" s="252" t="s">
        <v>92</v>
      </c>
      <c r="AH40" s="252" t="s">
        <v>92</v>
      </c>
      <c r="AI40" s="252" t="s">
        <v>92</v>
      </c>
      <c r="AJ40" s="252" t="s">
        <v>92</v>
      </c>
      <c r="AK40" s="252" t="s">
        <v>92</v>
      </c>
      <c r="AL40" s="252" t="s">
        <v>92</v>
      </c>
      <c r="AM40" s="252" t="s">
        <v>92</v>
      </c>
      <c r="AN40" s="252" t="s">
        <v>92</v>
      </c>
      <c r="AO40" s="252" t="s">
        <v>92</v>
      </c>
      <c r="AP40" s="252" t="s">
        <v>92</v>
      </c>
      <c r="AQ40" s="252" t="s">
        <v>92</v>
      </c>
      <c r="AR40" s="252" t="s">
        <v>92</v>
      </c>
      <c r="AS40" s="252" t="s">
        <v>92</v>
      </c>
      <c r="AT40" s="252" t="s">
        <v>92</v>
      </c>
      <c r="AU40" s="252" t="s">
        <v>92</v>
      </c>
      <c r="AV40" s="252" t="s">
        <v>92</v>
      </c>
      <c r="AW40" s="252" t="s">
        <v>92</v>
      </c>
      <c r="AX40" s="252" t="s">
        <v>92</v>
      </c>
      <c r="AY40" s="252" t="s">
        <v>92</v>
      </c>
      <c r="AZ40" s="252" t="s">
        <v>92</v>
      </c>
      <c r="BA40" s="252" t="s">
        <v>92</v>
      </c>
      <c r="BB40" s="252" t="s">
        <v>92</v>
      </c>
      <c r="BC40" s="252" t="s">
        <v>92</v>
      </c>
      <c r="BD40" s="252" t="s">
        <v>92</v>
      </c>
      <c r="BE40" s="252" t="s">
        <v>92</v>
      </c>
      <c r="BF40" s="252" t="s">
        <v>92</v>
      </c>
      <c r="BG40" s="252" t="s">
        <v>92</v>
      </c>
      <c r="BH40" s="252" t="s">
        <v>92</v>
      </c>
      <c r="BI40" s="252" t="s">
        <v>92</v>
      </c>
      <c r="BJ40" s="252" t="s">
        <v>92</v>
      </c>
      <c r="BK40" s="252" t="s">
        <v>92</v>
      </c>
      <c r="BL40" s="252" t="s">
        <v>92</v>
      </c>
      <c r="BM40" s="252" t="s">
        <v>92</v>
      </c>
      <c r="BN40" s="252" t="s">
        <v>92</v>
      </c>
      <c r="BO40" s="252" t="s">
        <v>92</v>
      </c>
      <c r="BP40" s="210"/>
      <c r="BQ40" s="256">
        <v>0</v>
      </c>
      <c r="BR40" s="256">
        <v>0</v>
      </c>
      <c r="BS40" s="210">
        <v>8</v>
      </c>
      <c r="BT40" s="210">
        <f>BU40</f>
        <v>19</v>
      </c>
      <c r="BU40" s="210">
        <v>19</v>
      </c>
      <c r="BV40" s="19">
        <v>31</v>
      </c>
      <c r="BW40" s="19">
        <v>42</v>
      </c>
      <c r="BX40" s="19">
        <v>55</v>
      </c>
      <c r="BY40" s="19">
        <f>BZ40</f>
        <v>69</v>
      </c>
      <c r="BZ40" s="210">
        <v>69</v>
      </c>
      <c r="CA40" s="19">
        <v>105</v>
      </c>
      <c r="CB40" s="19">
        <v>135</v>
      </c>
      <c r="CC40" s="19">
        <v>171</v>
      </c>
      <c r="CD40" s="19">
        <f>CE40</f>
        <v>198</v>
      </c>
      <c r="CE40" s="210">
        <v>198</v>
      </c>
      <c r="CF40" s="19">
        <v>228</v>
      </c>
      <c r="CG40" s="19">
        <v>252</v>
      </c>
      <c r="CH40" s="19">
        <v>276</v>
      </c>
      <c r="CI40" s="19">
        <f>CJ40</f>
        <v>289</v>
      </c>
      <c r="CJ40" s="210">
        <v>289</v>
      </c>
      <c r="CK40" s="19">
        <v>309</v>
      </c>
      <c r="CL40" s="19">
        <v>324</v>
      </c>
      <c r="CM40" s="19">
        <v>345</v>
      </c>
      <c r="CN40" s="19">
        <f>CO40</f>
        <v>365</v>
      </c>
      <c r="CO40" s="210">
        <v>365</v>
      </c>
    </row>
    <row r="41" spans="2:93" ht="13.9" customHeight="1">
      <c r="B41" s="20" t="s">
        <v>5</v>
      </c>
      <c r="C41" s="4"/>
      <c r="D41" s="22"/>
      <c r="E41" s="22"/>
      <c r="F41" s="22"/>
      <c r="G41" s="22"/>
      <c r="H41" s="4"/>
      <c r="I41" s="22"/>
      <c r="J41" s="22"/>
      <c r="K41" s="22"/>
      <c r="L41" s="21"/>
      <c r="M41" s="4"/>
      <c r="N41" s="22"/>
      <c r="O41" s="22"/>
      <c r="P41" s="22"/>
      <c r="Q41" s="21"/>
      <c r="R41" s="4"/>
      <c r="S41" s="22"/>
      <c r="T41" s="22"/>
      <c r="U41" s="22"/>
      <c r="V41" s="21"/>
      <c r="W41" s="211"/>
      <c r="X41" s="211"/>
      <c r="Y41" s="211"/>
      <c r="Z41" s="211"/>
      <c r="AA41" s="212"/>
      <c r="AB41" s="211"/>
      <c r="AC41" s="211"/>
      <c r="AD41" s="211"/>
      <c r="AE41" s="211"/>
      <c r="AF41" s="212"/>
      <c r="AG41" s="211"/>
      <c r="AH41" s="211"/>
      <c r="AI41" s="211"/>
      <c r="AJ41" s="211"/>
      <c r="AK41" s="212"/>
      <c r="AL41" s="211"/>
      <c r="AM41" s="257"/>
      <c r="AN41" s="257"/>
      <c r="AO41" s="257"/>
      <c r="AP41" s="257"/>
      <c r="AQ41" s="257"/>
      <c r="AR41" s="257"/>
      <c r="AS41" s="257"/>
      <c r="AT41" s="257"/>
      <c r="AU41" s="257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12"/>
      <c r="BR41" s="212"/>
      <c r="BS41" s="212"/>
      <c r="BT41" s="212">
        <f>BT40/BS40-1</f>
        <v>1.375</v>
      </c>
      <c r="BU41" s="211"/>
      <c r="BV41" s="21">
        <f>BV40/BT40-1</f>
        <v>0.63157894736842102</v>
      </c>
      <c r="BW41" s="21">
        <f>BW40/BV40-1</f>
        <v>0.35483870967741926</v>
      </c>
      <c r="BX41" s="21">
        <f>BX40/BW40-1</f>
        <v>0.30952380952380953</v>
      </c>
      <c r="BY41" s="21">
        <f>BY40/BX40-1</f>
        <v>0.25454545454545463</v>
      </c>
      <c r="BZ41" s="211"/>
      <c r="CA41" s="21">
        <f>CA40/BY40-1</f>
        <v>0.52173913043478271</v>
      </c>
      <c r="CB41" s="21">
        <f>CB40/CA40-1</f>
        <v>0.28571428571428581</v>
      </c>
      <c r="CC41" s="21">
        <f>CC40/CB40-1</f>
        <v>0.26666666666666661</v>
      </c>
      <c r="CD41" s="21">
        <f>CD40/CC40-1</f>
        <v>0.15789473684210531</v>
      </c>
      <c r="CE41" s="211"/>
      <c r="CF41" s="21">
        <f>CF40/CD40-1</f>
        <v>0.1515151515151516</v>
      </c>
      <c r="CG41" s="21">
        <f>CG40/CF40-1</f>
        <v>0.10526315789473695</v>
      </c>
      <c r="CH41" s="21">
        <f>CH40/CG40-1</f>
        <v>9.5238095238095344E-2</v>
      </c>
      <c r="CI41" s="21">
        <f>CI40/CH40-1</f>
        <v>4.7101449275362306E-2</v>
      </c>
      <c r="CJ41" s="211"/>
      <c r="CK41" s="21">
        <f>CK40/CI40-1</f>
        <v>6.9204152249134898E-2</v>
      </c>
      <c r="CL41" s="21">
        <f>CL40/CK40-1</f>
        <v>4.8543689320388328E-2</v>
      </c>
      <c r="CM41" s="21">
        <f>CM40/CL40-1</f>
        <v>6.4814814814814881E-2</v>
      </c>
      <c r="CN41" s="21">
        <f>CN40/CM40-1</f>
        <v>5.7971014492753659E-2</v>
      </c>
      <c r="CO41" s="211"/>
    </row>
    <row r="42" spans="2:93" ht="13.9" customHeight="1">
      <c r="B42" s="20" t="s">
        <v>6</v>
      </c>
      <c r="C42" s="4"/>
      <c r="D42" s="22"/>
      <c r="E42" s="22"/>
      <c r="F42" s="22"/>
      <c r="G42" s="22"/>
      <c r="H42" s="4"/>
      <c r="I42" s="22"/>
      <c r="J42" s="22"/>
      <c r="K42" s="22"/>
      <c r="L42" s="21"/>
      <c r="M42" s="4"/>
      <c r="N42" s="22"/>
      <c r="O42" s="22"/>
      <c r="P42" s="22"/>
      <c r="Q42" s="21"/>
      <c r="R42" s="4"/>
      <c r="S42" s="22"/>
      <c r="T42" s="22"/>
      <c r="U42" s="22"/>
      <c r="V42" s="21"/>
      <c r="W42" s="211"/>
      <c r="X42" s="211"/>
      <c r="Y42" s="211"/>
      <c r="Z42" s="211"/>
      <c r="AA42" s="212"/>
      <c r="AB42" s="211"/>
      <c r="AC42" s="211"/>
      <c r="AD42" s="211"/>
      <c r="AE42" s="211"/>
      <c r="AF42" s="212"/>
      <c r="AG42" s="211"/>
      <c r="AH42" s="211"/>
      <c r="AI42" s="211"/>
      <c r="AJ42" s="211"/>
      <c r="AK42" s="212"/>
      <c r="AL42" s="211"/>
      <c r="AM42" s="257"/>
      <c r="AN42" s="257"/>
      <c r="AO42" s="257"/>
      <c r="AP42" s="257"/>
      <c r="AQ42" s="257"/>
      <c r="AR42" s="257"/>
      <c r="AS42" s="257"/>
      <c r="AT42" s="257"/>
      <c r="AU42" s="257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11"/>
      <c r="BR42" s="211"/>
      <c r="BS42" s="211"/>
      <c r="BT42" s="212"/>
      <c r="BU42" s="211"/>
      <c r="BV42" s="22"/>
      <c r="BW42" s="22"/>
      <c r="BX42" s="22">
        <f>BX40/BS40-1</f>
        <v>5.875</v>
      </c>
      <c r="BY42" s="21">
        <f>BY40/BT40-1</f>
        <v>2.6315789473684212</v>
      </c>
      <c r="BZ42" s="211">
        <f>BZ40/BU40-1</f>
        <v>2.6315789473684212</v>
      </c>
      <c r="CA42" s="22"/>
      <c r="CB42" s="22"/>
      <c r="CC42" s="22">
        <f t="shared" ref="CC42:CH42" si="67">CC40/BX40-1</f>
        <v>2.1090909090909089</v>
      </c>
      <c r="CD42" s="21">
        <f t="shared" si="67"/>
        <v>1.8695652173913042</v>
      </c>
      <c r="CE42" s="211">
        <f t="shared" si="67"/>
        <v>1.8695652173913042</v>
      </c>
      <c r="CF42" s="22">
        <f t="shared" si="67"/>
        <v>1.1714285714285713</v>
      </c>
      <c r="CG42" s="22">
        <f t="shared" si="67"/>
        <v>0.8666666666666667</v>
      </c>
      <c r="CH42" s="22">
        <f t="shared" si="67"/>
        <v>0.61403508771929816</v>
      </c>
      <c r="CI42" s="21">
        <f t="shared" ref="CI42" si="68">CI40/CD40-1</f>
        <v>0.45959595959595956</v>
      </c>
      <c r="CJ42" s="211">
        <f t="shared" ref="CJ42:CM42" si="69">CJ40/CE40-1</f>
        <v>0.45959595959595956</v>
      </c>
      <c r="CK42" s="22">
        <f t="shared" si="69"/>
        <v>0.35526315789473695</v>
      </c>
      <c r="CL42" s="22">
        <f t="shared" si="69"/>
        <v>0.28571428571428581</v>
      </c>
      <c r="CM42" s="22">
        <f t="shared" si="69"/>
        <v>0.25</v>
      </c>
      <c r="CN42" s="21">
        <f t="shared" ref="CN42" si="70">CN40/CI40-1</f>
        <v>0.26297577854671284</v>
      </c>
      <c r="CO42" s="211">
        <f t="shared" ref="CO42" si="71">CO40/CJ40-1</f>
        <v>0.26297577854671284</v>
      </c>
    </row>
    <row r="43" spans="2:93" ht="13.9" customHeight="1">
      <c r="B43" s="20" t="s">
        <v>377</v>
      </c>
      <c r="C43" s="4"/>
      <c r="D43" s="22"/>
      <c r="E43" s="22"/>
      <c r="F43" s="22"/>
      <c r="G43" s="22"/>
      <c r="H43" s="4"/>
      <c r="I43" s="22"/>
      <c r="J43" s="22"/>
      <c r="K43" s="22"/>
      <c r="L43" s="21"/>
      <c r="M43" s="4"/>
      <c r="N43" s="22"/>
      <c r="O43" s="22"/>
      <c r="P43" s="22"/>
      <c r="Q43" s="21"/>
      <c r="R43" s="4"/>
      <c r="S43" s="22"/>
      <c r="T43" s="22"/>
      <c r="U43" s="22"/>
      <c r="V43" s="21"/>
      <c r="W43" s="211"/>
      <c r="X43" s="211"/>
      <c r="Y43" s="211"/>
      <c r="Z43" s="211"/>
      <c r="AA43" s="212"/>
      <c r="AB43" s="211"/>
      <c r="AC43" s="211"/>
      <c r="AD43" s="211"/>
      <c r="AE43" s="211"/>
      <c r="AF43" s="212"/>
      <c r="AG43" s="211"/>
      <c r="AH43" s="211"/>
      <c r="AI43" s="211"/>
      <c r="AJ43" s="211"/>
      <c r="AK43" s="212"/>
      <c r="AL43" s="211"/>
      <c r="AM43" s="257"/>
      <c r="AN43" s="257"/>
      <c r="AO43" s="257"/>
      <c r="AP43" s="257"/>
      <c r="AQ43" s="257"/>
      <c r="AR43" s="257"/>
      <c r="AS43" s="257"/>
      <c r="AT43" s="257"/>
      <c r="AU43" s="257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6">
        <v>0</v>
      </c>
      <c r="BR43" s="256">
        <v>0</v>
      </c>
      <c r="BS43" s="249">
        <f>BS40-BR40</f>
        <v>8</v>
      </c>
      <c r="BT43" s="249">
        <f>BT40-BS40</f>
        <v>11</v>
      </c>
      <c r="BU43" s="249">
        <f>BT43+BS43</f>
        <v>19</v>
      </c>
      <c r="BV43" s="113">
        <f>BV40-BT40</f>
        <v>12</v>
      </c>
      <c r="BW43" s="113">
        <f>BW40-BV40</f>
        <v>11</v>
      </c>
      <c r="BX43" s="113">
        <f>BX40-BW40</f>
        <v>13</v>
      </c>
      <c r="BY43" s="113">
        <f>BY40-BX40</f>
        <v>14</v>
      </c>
      <c r="BZ43" s="249">
        <f>BZ40-BU40</f>
        <v>50</v>
      </c>
      <c r="CA43" s="113">
        <f>CA40-BY40</f>
        <v>36</v>
      </c>
      <c r="CB43" s="113">
        <f>CB40-CA40</f>
        <v>30</v>
      </c>
      <c r="CC43" s="113">
        <f>CC40-CB40</f>
        <v>36</v>
      </c>
      <c r="CD43" s="113">
        <f>CD40-CC40</f>
        <v>27</v>
      </c>
      <c r="CE43" s="249">
        <f>CE40-BZ40</f>
        <v>129</v>
      </c>
      <c r="CF43" s="113">
        <f>CF40-CD40</f>
        <v>30</v>
      </c>
      <c r="CG43" s="113">
        <f>CG40-CF40</f>
        <v>24</v>
      </c>
      <c r="CH43" s="113">
        <f>CH40-CG40</f>
        <v>24</v>
      </c>
      <c r="CI43" s="113">
        <f>CI40-CH40</f>
        <v>13</v>
      </c>
      <c r="CJ43" s="249">
        <f>CJ40-CE40</f>
        <v>91</v>
      </c>
      <c r="CK43" s="113">
        <f>CK40-CI40</f>
        <v>20</v>
      </c>
      <c r="CL43" s="113">
        <f>CL40-CK40</f>
        <v>15</v>
      </c>
      <c r="CM43" s="113">
        <f>CM40-CL40</f>
        <v>21</v>
      </c>
      <c r="CN43" s="113">
        <f>CN40-CM40</f>
        <v>20</v>
      </c>
      <c r="CO43" s="249">
        <f>CO40-CJ40</f>
        <v>76</v>
      </c>
    </row>
    <row r="44" spans="2:93" ht="13.9" customHeight="1">
      <c r="B44" s="12" t="s">
        <v>367</v>
      </c>
      <c r="C44" s="60" t="s">
        <v>92</v>
      </c>
      <c r="D44" s="29" t="s">
        <v>92</v>
      </c>
      <c r="E44" s="29" t="s">
        <v>92</v>
      </c>
      <c r="F44" s="29" t="s">
        <v>92</v>
      </c>
      <c r="G44" s="29" t="s">
        <v>92</v>
      </c>
      <c r="H44" s="60" t="s">
        <v>92</v>
      </c>
      <c r="I44" s="29" t="s">
        <v>92</v>
      </c>
      <c r="J44" s="29" t="s">
        <v>92</v>
      </c>
      <c r="K44" s="29" t="s">
        <v>92</v>
      </c>
      <c r="L44" s="29" t="s">
        <v>92</v>
      </c>
      <c r="M44" s="60" t="s">
        <v>92</v>
      </c>
      <c r="N44" s="29" t="s">
        <v>92</v>
      </c>
      <c r="O44" s="29" t="s">
        <v>92</v>
      </c>
      <c r="P44" s="29" t="s">
        <v>92</v>
      </c>
      <c r="Q44" s="29" t="s">
        <v>92</v>
      </c>
      <c r="R44" s="60" t="s">
        <v>92</v>
      </c>
      <c r="S44" s="29" t="s">
        <v>92</v>
      </c>
      <c r="T44" s="29" t="s">
        <v>92</v>
      </c>
      <c r="U44" s="29" t="s">
        <v>92</v>
      </c>
      <c r="V44" s="29" t="s">
        <v>92</v>
      </c>
      <c r="W44" s="252" t="s">
        <v>92</v>
      </c>
      <c r="X44" s="217" t="s">
        <v>92</v>
      </c>
      <c r="Y44" s="217" t="s">
        <v>92</v>
      </c>
      <c r="Z44" s="217" t="s">
        <v>92</v>
      </c>
      <c r="AA44" s="217" t="s">
        <v>92</v>
      </c>
      <c r="AB44" s="252" t="s">
        <v>92</v>
      </c>
      <c r="AC44" s="252" t="s">
        <v>92</v>
      </c>
      <c r="AD44" s="252" t="s">
        <v>92</v>
      </c>
      <c r="AE44" s="252" t="s">
        <v>92</v>
      </c>
      <c r="AF44" s="252" t="s">
        <v>92</v>
      </c>
      <c r="AG44" s="252" t="s">
        <v>92</v>
      </c>
      <c r="AH44" s="252" t="s">
        <v>92</v>
      </c>
      <c r="AI44" s="252" t="s">
        <v>92</v>
      </c>
      <c r="AJ44" s="252" t="s">
        <v>92</v>
      </c>
      <c r="AK44" s="252" t="s">
        <v>92</v>
      </c>
      <c r="AL44" s="252" t="s">
        <v>92</v>
      </c>
      <c r="AM44" s="252" t="s">
        <v>92</v>
      </c>
      <c r="AN44" s="252" t="s">
        <v>92</v>
      </c>
      <c r="AO44" s="252" t="s">
        <v>92</v>
      </c>
      <c r="AP44" s="252" t="s">
        <v>92</v>
      </c>
      <c r="AQ44" s="252" t="s">
        <v>92</v>
      </c>
      <c r="AR44" s="252" t="s">
        <v>92</v>
      </c>
      <c r="AS44" s="252" t="s">
        <v>92</v>
      </c>
      <c r="AT44" s="252" t="s">
        <v>92</v>
      </c>
      <c r="AU44" s="252" t="s">
        <v>92</v>
      </c>
      <c r="AV44" s="252" t="s">
        <v>92</v>
      </c>
      <c r="AW44" s="252" t="s">
        <v>92</v>
      </c>
      <c r="AX44" s="252" t="s">
        <v>92</v>
      </c>
      <c r="AY44" s="252" t="s">
        <v>92</v>
      </c>
      <c r="AZ44" s="252" t="s">
        <v>92</v>
      </c>
      <c r="BA44" s="252" t="s">
        <v>92</v>
      </c>
      <c r="BB44" s="252" t="s">
        <v>92</v>
      </c>
      <c r="BC44" s="252" t="s">
        <v>92</v>
      </c>
      <c r="BD44" s="252" t="s">
        <v>92</v>
      </c>
      <c r="BE44" s="252" t="s">
        <v>92</v>
      </c>
      <c r="BF44" s="252" t="s">
        <v>92</v>
      </c>
      <c r="BG44" s="252" t="s">
        <v>92</v>
      </c>
      <c r="BH44" s="252" t="s">
        <v>92</v>
      </c>
      <c r="BI44" s="252" t="s">
        <v>92</v>
      </c>
      <c r="BJ44" s="252" t="s">
        <v>92</v>
      </c>
      <c r="BK44" s="252" t="s">
        <v>92</v>
      </c>
      <c r="BL44" s="252" t="s">
        <v>92</v>
      </c>
      <c r="BM44" s="252" t="s">
        <v>92</v>
      </c>
      <c r="BN44" s="252" t="s">
        <v>92</v>
      </c>
      <c r="BO44" s="252" t="s">
        <v>92</v>
      </c>
      <c r="BP44" s="252" t="s">
        <v>92</v>
      </c>
      <c r="BQ44" s="234">
        <v>539</v>
      </c>
      <c r="BR44" s="234">
        <v>520</v>
      </c>
      <c r="BS44" s="210">
        <v>502</v>
      </c>
      <c r="BT44" s="210">
        <f>BU44</f>
        <v>482</v>
      </c>
      <c r="BU44" s="210">
        <v>482</v>
      </c>
      <c r="BV44" s="19">
        <v>464</v>
      </c>
      <c r="BW44" s="19">
        <v>448</v>
      </c>
      <c r="BX44" s="19">
        <v>426</v>
      </c>
      <c r="BY44" s="19">
        <f>BZ44</f>
        <v>403</v>
      </c>
      <c r="BZ44" s="210">
        <v>403</v>
      </c>
      <c r="CA44" s="19">
        <v>369</v>
      </c>
      <c r="CB44" s="19">
        <v>342</v>
      </c>
      <c r="CC44" s="19">
        <v>300</v>
      </c>
      <c r="CD44" s="19">
        <f>CE44</f>
        <v>269</v>
      </c>
      <c r="CE44" s="210">
        <v>269</v>
      </c>
      <c r="CF44" s="19">
        <v>242</v>
      </c>
      <c r="CG44" s="19">
        <v>220</v>
      </c>
      <c r="CH44" s="19">
        <v>198</v>
      </c>
      <c r="CI44" s="19">
        <f>CJ44</f>
        <v>182</v>
      </c>
      <c r="CJ44" s="210">
        <v>182</v>
      </c>
      <c r="CK44" s="19">
        <v>165</v>
      </c>
      <c r="CL44" s="19">
        <v>153</v>
      </c>
      <c r="CM44" s="19">
        <f>483-CM40</f>
        <v>138</v>
      </c>
      <c r="CN44" s="19">
        <f>CO44</f>
        <v>128</v>
      </c>
      <c r="CO44" s="210">
        <v>128</v>
      </c>
    </row>
    <row r="45" spans="2:93" ht="13.9" customHeight="1">
      <c r="B45" s="20" t="s">
        <v>5</v>
      </c>
      <c r="C45" s="4"/>
      <c r="D45" s="22"/>
      <c r="E45" s="22"/>
      <c r="F45" s="22"/>
      <c r="G45" s="22"/>
      <c r="H45" s="4"/>
      <c r="I45" s="22"/>
      <c r="J45" s="22"/>
      <c r="K45" s="22"/>
      <c r="L45" s="21"/>
      <c r="M45" s="4"/>
      <c r="N45" s="22"/>
      <c r="O45" s="22"/>
      <c r="P45" s="22"/>
      <c r="Q45" s="21"/>
      <c r="R45" s="4"/>
      <c r="S45" s="22"/>
      <c r="T45" s="22"/>
      <c r="U45" s="22"/>
      <c r="V45" s="21"/>
      <c r="W45" s="211"/>
      <c r="X45" s="211"/>
      <c r="Y45" s="211"/>
      <c r="Z45" s="211"/>
      <c r="AA45" s="212"/>
      <c r="AB45" s="211"/>
      <c r="AC45" s="211"/>
      <c r="AD45" s="211"/>
      <c r="AE45" s="211"/>
      <c r="AF45" s="212"/>
      <c r="AG45" s="211"/>
      <c r="AH45" s="211"/>
      <c r="AI45" s="211"/>
      <c r="AJ45" s="211"/>
      <c r="AK45" s="212"/>
      <c r="AL45" s="211"/>
      <c r="AM45" s="257"/>
      <c r="AN45" s="257"/>
      <c r="AO45" s="257"/>
      <c r="AP45" s="257"/>
      <c r="AQ45" s="257"/>
      <c r="AR45" s="257"/>
      <c r="AS45" s="257"/>
      <c r="AT45" s="257"/>
      <c r="AU45" s="257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12"/>
      <c r="BR45" s="212">
        <f>BR44/BQ44-1</f>
        <v>-3.5250463821892342E-2</v>
      </c>
      <c r="BS45" s="212">
        <f>BS44/BR44-1</f>
        <v>-3.4615384615384603E-2</v>
      </c>
      <c r="BT45" s="212">
        <f>BT44/BS44-1</f>
        <v>-3.9840637450199168E-2</v>
      </c>
      <c r="BU45" s="211"/>
      <c r="BV45" s="21">
        <f>BV44/BT44-1</f>
        <v>-3.7344398340248941E-2</v>
      </c>
      <c r="BW45" s="21">
        <f>BW44/BV44-1</f>
        <v>-3.4482758620689613E-2</v>
      </c>
      <c r="BX45" s="21">
        <f>BX44/BW44-1</f>
        <v>-4.9107142857142905E-2</v>
      </c>
      <c r="BY45" s="21">
        <f>BY44/BX44-1</f>
        <v>-5.39906103286385E-2</v>
      </c>
      <c r="BZ45" s="211"/>
      <c r="CA45" s="21">
        <f>CA44/BY44-1</f>
        <v>-8.4367245657568257E-2</v>
      </c>
      <c r="CB45" s="21">
        <f>CB44/CA44-1</f>
        <v>-7.3170731707317027E-2</v>
      </c>
      <c r="CC45" s="21">
        <f>CC44/CB44-1</f>
        <v>-0.1228070175438597</v>
      </c>
      <c r="CD45" s="21">
        <f>CD44/CC44-1</f>
        <v>-0.10333333333333339</v>
      </c>
      <c r="CE45" s="211"/>
      <c r="CF45" s="21">
        <f>CF44/CD44-1</f>
        <v>-0.1003717472118959</v>
      </c>
      <c r="CG45" s="21">
        <f>CG44/CF44-1</f>
        <v>-9.0909090909090939E-2</v>
      </c>
      <c r="CH45" s="21">
        <f>CH44/CG44-1</f>
        <v>-9.9999999999999978E-2</v>
      </c>
      <c r="CI45" s="21">
        <f>CI44/CH44-1</f>
        <v>-8.0808080808080773E-2</v>
      </c>
      <c r="CJ45" s="211"/>
      <c r="CK45" s="21">
        <f>CK44/CI44-1</f>
        <v>-9.3406593406593408E-2</v>
      </c>
      <c r="CL45" s="21">
        <f>CL44/CK44-1</f>
        <v>-7.2727272727272751E-2</v>
      </c>
      <c r="CM45" s="21">
        <f>CM44/CL44-1</f>
        <v>-9.8039215686274495E-2</v>
      </c>
      <c r="CN45" s="21">
        <f>CN44/CM44-1</f>
        <v>-7.2463768115942018E-2</v>
      </c>
      <c r="CO45" s="211"/>
    </row>
    <row r="46" spans="2:93" ht="13.9" customHeight="1">
      <c r="B46" s="20" t="s">
        <v>6</v>
      </c>
      <c r="C46" s="4"/>
      <c r="D46" s="22"/>
      <c r="E46" s="22"/>
      <c r="F46" s="22"/>
      <c r="G46" s="22"/>
      <c r="H46" s="4"/>
      <c r="I46" s="22"/>
      <c r="J46" s="22"/>
      <c r="K46" s="22"/>
      <c r="L46" s="21"/>
      <c r="M46" s="4"/>
      <c r="N46" s="22"/>
      <c r="O46" s="22"/>
      <c r="P46" s="22"/>
      <c r="Q46" s="21"/>
      <c r="R46" s="4"/>
      <c r="S46" s="22"/>
      <c r="T46" s="22"/>
      <c r="U46" s="22"/>
      <c r="V46" s="21"/>
      <c r="W46" s="211"/>
      <c r="X46" s="211"/>
      <c r="Y46" s="211"/>
      <c r="Z46" s="211"/>
      <c r="AA46" s="212"/>
      <c r="AB46" s="211"/>
      <c r="AC46" s="211"/>
      <c r="AD46" s="211"/>
      <c r="AE46" s="211"/>
      <c r="AF46" s="212"/>
      <c r="AG46" s="211"/>
      <c r="AH46" s="211"/>
      <c r="AI46" s="211"/>
      <c r="AJ46" s="211"/>
      <c r="AK46" s="212"/>
      <c r="AL46" s="211"/>
      <c r="AM46" s="257"/>
      <c r="AN46" s="257"/>
      <c r="AO46" s="257"/>
      <c r="AP46" s="257"/>
      <c r="AQ46" s="257"/>
      <c r="AR46" s="257"/>
      <c r="AS46" s="257"/>
      <c r="AT46" s="257"/>
      <c r="AU46" s="257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11"/>
      <c r="BR46" s="211"/>
      <c r="BS46" s="211"/>
      <c r="BT46" s="212"/>
      <c r="BU46" s="211"/>
      <c r="BV46" s="22">
        <f t="shared" ref="BV46:CC46" si="72">BV44/BQ44-1</f>
        <v>-0.13914656771799627</v>
      </c>
      <c r="BW46" s="22">
        <f t="shared" si="72"/>
        <v>-0.13846153846153841</v>
      </c>
      <c r="BX46" s="22">
        <f t="shared" si="72"/>
        <v>-0.15139442231075695</v>
      </c>
      <c r="BY46" s="21">
        <f t="shared" si="72"/>
        <v>-0.16390041493775931</v>
      </c>
      <c r="BZ46" s="211">
        <f t="shared" si="72"/>
        <v>-0.16390041493775931</v>
      </c>
      <c r="CA46" s="22">
        <f t="shared" si="72"/>
        <v>-0.20474137931034486</v>
      </c>
      <c r="CB46" s="22">
        <f t="shared" si="72"/>
        <v>-0.2366071428571429</v>
      </c>
      <c r="CC46" s="22">
        <f t="shared" si="72"/>
        <v>-0.29577464788732399</v>
      </c>
      <c r="CD46" s="21">
        <f t="shared" ref="CD46" si="73">CD44/BY44-1</f>
        <v>-0.33250620347394544</v>
      </c>
      <c r="CE46" s="211">
        <f t="shared" ref="CE46:CH46" si="74">CE44/BZ44-1</f>
        <v>-0.33250620347394544</v>
      </c>
      <c r="CF46" s="22">
        <f t="shared" si="74"/>
        <v>-0.34417344173441733</v>
      </c>
      <c r="CG46" s="22">
        <f t="shared" si="74"/>
        <v>-0.35672514619883045</v>
      </c>
      <c r="CH46" s="22">
        <f t="shared" si="74"/>
        <v>-0.33999999999999997</v>
      </c>
      <c r="CI46" s="21">
        <f t="shared" ref="CI46" si="75">CI44/CD44-1</f>
        <v>-0.32342007434944242</v>
      </c>
      <c r="CJ46" s="211">
        <f t="shared" ref="CJ46:CM46" si="76">CJ44/CE44-1</f>
        <v>-0.32342007434944242</v>
      </c>
      <c r="CK46" s="22">
        <f t="shared" si="76"/>
        <v>-0.31818181818181823</v>
      </c>
      <c r="CL46" s="22">
        <f t="shared" si="76"/>
        <v>-0.30454545454545456</v>
      </c>
      <c r="CM46" s="22">
        <f t="shared" si="76"/>
        <v>-0.30303030303030298</v>
      </c>
      <c r="CN46" s="21">
        <f t="shared" ref="CN46" si="77">CN44/CI44-1</f>
        <v>-0.29670329670329665</v>
      </c>
      <c r="CO46" s="211">
        <f t="shared" ref="CO46" si="78">CO44/CJ44-1</f>
        <v>-0.29670329670329665</v>
      </c>
    </row>
    <row r="47" spans="2:93" ht="13.9" customHeight="1">
      <c r="B47" s="20" t="s">
        <v>377</v>
      </c>
      <c r="C47" s="4"/>
      <c r="D47" s="22"/>
      <c r="E47" s="22"/>
      <c r="F47" s="22"/>
      <c r="G47" s="22"/>
      <c r="H47" s="4"/>
      <c r="I47" s="22"/>
      <c r="J47" s="22"/>
      <c r="K47" s="22"/>
      <c r="L47" s="21"/>
      <c r="M47" s="4"/>
      <c r="N47" s="22"/>
      <c r="O47" s="22"/>
      <c r="P47" s="22"/>
      <c r="Q47" s="21"/>
      <c r="R47" s="4"/>
      <c r="S47" s="22"/>
      <c r="T47" s="22"/>
      <c r="U47" s="22"/>
      <c r="V47" s="21"/>
      <c r="W47" s="211"/>
      <c r="X47" s="211"/>
      <c r="Y47" s="211"/>
      <c r="Z47" s="211"/>
      <c r="AA47" s="212"/>
      <c r="AB47" s="211"/>
      <c r="AC47" s="211"/>
      <c r="AD47" s="211"/>
      <c r="AE47" s="211"/>
      <c r="AF47" s="212"/>
      <c r="AG47" s="211"/>
      <c r="AH47" s="211"/>
      <c r="AI47" s="211"/>
      <c r="AJ47" s="211"/>
      <c r="AK47" s="212"/>
      <c r="AL47" s="211"/>
      <c r="AM47" s="257"/>
      <c r="AN47" s="257"/>
      <c r="AO47" s="257"/>
      <c r="AP47" s="257"/>
      <c r="AQ47" s="257"/>
      <c r="AR47" s="257"/>
      <c r="AS47" s="257"/>
      <c r="AT47" s="257"/>
      <c r="AU47" s="257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49"/>
      <c r="BR47" s="249">
        <f>BR44-BQ44</f>
        <v>-19</v>
      </c>
      <c r="BS47" s="249">
        <f>BS44-BR44</f>
        <v>-18</v>
      </c>
      <c r="BT47" s="249">
        <f>BT44-BS44</f>
        <v>-20</v>
      </c>
      <c r="BU47" s="249"/>
      <c r="BV47" s="113">
        <f>BV44-BT44</f>
        <v>-18</v>
      </c>
      <c r="BW47" s="113">
        <f>BW44-BV44</f>
        <v>-16</v>
      </c>
      <c r="BX47" s="113">
        <f>BX44-BW44</f>
        <v>-22</v>
      </c>
      <c r="BY47" s="113">
        <f>BY44-BX44</f>
        <v>-23</v>
      </c>
      <c r="BZ47" s="249">
        <f>BZ44-BU44</f>
        <v>-79</v>
      </c>
      <c r="CA47" s="113">
        <f>CA44-BY44</f>
        <v>-34</v>
      </c>
      <c r="CB47" s="113">
        <f>CB44-CA44</f>
        <v>-27</v>
      </c>
      <c r="CC47" s="113">
        <f>CC44-CB44</f>
        <v>-42</v>
      </c>
      <c r="CD47" s="113">
        <f>CD44-CC44</f>
        <v>-31</v>
      </c>
      <c r="CE47" s="249">
        <f>CE44-BZ44</f>
        <v>-134</v>
      </c>
      <c r="CF47" s="113">
        <f>CF44-CD44</f>
        <v>-27</v>
      </c>
      <c r="CG47" s="113">
        <f>CG44-CF44</f>
        <v>-22</v>
      </c>
      <c r="CH47" s="113">
        <f>CH44-CG44</f>
        <v>-22</v>
      </c>
      <c r="CI47" s="113">
        <f>CI44-CH44</f>
        <v>-16</v>
      </c>
      <c r="CJ47" s="249">
        <f>CJ44-CE44</f>
        <v>-87</v>
      </c>
      <c r="CK47" s="113">
        <f>CK44-CI44</f>
        <v>-17</v>
      </c>
      <c r="CL47" s="113">
        <f>CL44-CK44</f>
        <v>-12</v>
      </c>
      <c r="CM47" s="113">
        <f>CM44-CL44</f>
        <v>-15</v>
      </c>
      <c r="CN47" s="113">
        <f>CN44-CM44</f>
        <v>-10</v>
      </c>
      <c r="CO47" s="249">
        <f>CO44-CJ44</f>
        <v>-54</v>
      </c>
    </row>
    <row r="48" spans="2:93" ht="3.75" customHeight="1">
      <c r="B48" s="201"/>
      <c r="C48" s="201"/>
      <c r="D48" s="283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3"/>
      <c r="AG48" s="283"/>
      <c r="AH48" s="283"/>
      <c r="AI48" s="283"/>
      <c r="AJ48" s="283"/>
      <c r="AK48" s="283"/>
      <c r="AL48" s="283"/>
      <c r="AM48" s="283"/>
      <c r="AN48" s="283"/>
      <c r="AO48" s="283"/>
      <c r="AP48" s="283"/>
      <c r="AQ48" s="283"/>
      <c r="AR48" s="283"/>
      <c r="AS48" s="283"/>
      <c r="AT48" s="283"/>
      <c r="AU48" s="283"/>
      <c r="AV48" s="283"/>
      <c r="AW48" s="283"/>
      <c r="AX48" s="283"/>
      <c r="AY48" s="283"/>
      <c r="AZ48" s="283"/>
      <c r="BA48" s="283"/>
      <c r="BB48" s="283"/>
      <c r="BC48" s="283"/>
      <c r="BD48" s="283"/>
      <c r="BE48" s="283"/>
      <c r="BF48" s="283"/>
      <c r="BG48" s="283"/>
      <c r="BH48" s="283"/>
      <c r="BI48" s="283"/>
      <c r="BJ48" s="283"/>
      <c r="BK48" s="283"/>
      <c r="BL48" s="283"/>
      <c r="BM48" s="283"/>
      <c r="BN48" s="283"/>
      <c r="BO48" s="283"/>
      <c r="BP48" s="283"/>
      <c r="BQ48" s="283"/>
      <c r="BR48" s="283"/>
      <c r="BS48" s="283"/>
      <c r="BT48" s="283"/>
      <c r="BU48" s="283"/>
      <c r="BV48" s="283"/>
      <c r="BW48" s="283"/>
      <c r="BX48" s="283"/>
      <c r="BY48" s="283"/>
      <c r="BZ48" s="283"/>
      <c r="CA48" s="283"/>
      <c r="CB48" s="283"/>
      <c r="CC48" s="283"/>
      <c r="CD48" s="283"/>
      <c r="CE48" s="283"/>
      <c r="CF48" s="283"/>
      <c r="CG48" s="283"/>
      <c r="CH48" s="283"/>
      <c r="CI48" s="283"/>
      <c r="CJ48" s="283"/>
      <c r="CK48" s="283"/>
      <c r="CL48" s="283"/>
      <c r="CM48" s="283"/>
      <c r="CN48" s="283"/>
      <c r="CO48" s="283"/>
    </row>
    <row r="49" spans="1:203" ht="13.9" customHeight="1">
      <c r="B49" s="12" t="s">
        <v>329</v>
      </c>
      <c r="C49" s="60" t="s">
        <v>92</v>
      </c>
      <c r="D49" s="29" t="s">
        <v>92</v>
      </c>
      <c r="E49" s="29" t="s">
        <v>92</v>
      </c>
      <c r="F49" s="29" t="s">
        <v>92</v>
      </c>
      <c r="G49" s="29" t="s">
        <v>92</v>
      </c>
      <c r="H49" s="60" t="s">
        <v>92</v>
      </c>
      <c r="I49" s="29" t="s">
        <v>92</v>
      </c>
      <c r="J49" s="29" t="s">
        <v>92</v>
      </c>
      <c r="K49" s="29" t="s">
        <v>92</v>
      </c>
      <c r="L49" s="29" t="s">
        <v>92</v>
      </c>
      <c r="M49" s="60" t="s">
        <v>92</v>
      </c>
      <c r="N49" s="29" t="s">
        <v>92</v>
      </c>
      <c r="O49" s="29" t="s">
        <v>92</v>
      </c>
      <c r="P49" s="29" t="s">
        <v>92</v>
      </c>
      <c r="Q49" s="29" t="s">
        <v>92</v>
      </c>
      <c r="R49" s="60" t="s">
        <v>92</v>
      </c>
      <c r="S49" s="29" t="s">
        <v>92</v>
      </c>
      <c r="T49" s="29" t="s">
        <v>92</v>
      </c>
      <c r="U49" s="29" t="s">
        <v>92</v>
      </c>
      <c r="V49" s="29" t="s">
        <v>92</v>
      </c>
      <c r="W49" s="252" t="s">
        <v>92</v>
      </c>
      <c r="X49" s="217" t="s">
        <v>92</v>
      </c>
      <c r="Y49" s="217" t="s">
        <v>92</v>
      </c>
      <c r="Z49" s="217" t="s">
        <v>92</v>
      </c>
      <c r="AA49" s="217" t="s">
        <v>92</v>
      </c>
      <c r="AB49" s="252" t="s">
        <v>92</v>
      </c>
      <c r="AC49" s="252" t="s">
        <v>92</v>
      </c>
      <c r="AD49" s="252" t="s">
        <v>92</v>
      </c>
      <c r="AE49" s="252" t="s">
        <v>92</v>
      </c>
      <c r="AF49" s="252" t="s">
        <v>92</v>
      </c>
      <c r="AG49" s="252" t="s">
        <v>92</v>
      </c>
      <c r="AH49" s="252" t="s">
        <v>92</v>
      </c>
      <c r="AI49" s="252" t="s">
        <v>92</v>
      </c>
      <c r="AJ49" s="252" t="s">
        <v>92</v>
      </c>
      <c r="AK49" s="252" t="s">
        <v>92</v>
      </c>
      <c r="AL49" s="252" t="s">
        <v>92</v>
      </c>
      <c r="AM49" s="252" t="s">
        <v>92</v>
      </c>
      <c r="AN49" s="252" t="s">
        <v>92</v>
      </c>
      <c r="AO49" s="252" t="s">
        <v>92</v>
      </c>
      <c r="AP49" s="252" t="s">
        <v>92</v>
      </c>
      <c r="AQ49" s="252" t="s">
        <v>92</v>
      </c>
      <c r="AR49" s="252" t="s">
        <v>92</v>
      </c>
      <c r="AS49" s="252" t="s">
        <v>92</v>
      </c>
      <c r="AT49" s="252" t="s">
        <v>92</v>
      </c>
      <c r="AU49" s="252" t="s">
        <v>92</v>
      </c>
      <c r="AV49" s="252" t="s">
        <v>92</v>
      </c>
      <c r="AW49" s="252" t="s">
        <v>92</v>
      </c>
      <c r="AX49" s="252" t="s">
        <v>92</v>
      </c>
      <c r="AY49" s="252" t="s">
        <v>92</v>
      </c>
      <c r="AZ49" s="252" t="s">
        <v>92</v>
      </c>
      <c r="BA49" s="252" t="s">
        <v>92</v>
      </c>
      <c r="BB49" s="252" t="s">
        <v>92</v>
      </c>
      <c r="BC49" s="252" t="s">
        <v>92</v>
      </c>
      <c r="BD49" s="252" t="s">
        <v>92</v>
      </c>
      <c r="BE49" s="252" t="s">
        <v>92</v>
      </c>
      <c r="BF49" s="252" t="s">
        <v>92</v>
      </c>
      <c r="BG49" s="252" t="s">
        <v>92</v>
      </c>
      <c r="BH49" s="252" t="s">
        <v>92</v>
      </c>
      <c r="BI49" s="252" t="s">
        <v>92</v>
      </c>
      <c r="BJ49" s="252" t="s">
        <v>92</v>
      </c>
      <c r="BK49" s="259" t="s">
        <v>92</v>
      </c>
      <c r="BL49" s="256">
        <v>0</v>
      </c>
      <c r="BM49" s="256">
        <v>0</v>
      </c>
      <c r="BN49" s="256">
        <v>0</v>
      </c>
      <c r="BO49" s="256">
        <v>0</v>
      </c>
      <c r="BP49" s="259" t="s">
        <v>92</v>
      </c>
      <c r="BQ49" s="210">
        <v>310</v>
      </c>
      <c r="BR49" s="210">
        <v>597</v>
      </c>
      <c r="BS49" s="210">
        <v>848</v>
      </c>
      <c r="BT49" s="210">
        <v>1064</v>
      </c>
      <c r="BU49" s="210">
        <v>1064</v>
      </c>
      <c r="BV49" s="19">
        <v>1193</v>
      </c>
      <c r="BW49" s="19">
        <v>1308</v>
      </c>
      <c r="BX49" s="19">
        <v>1442</v>
      </c>
      <c r="BY49" s="19">
        <f>BZ49</f>
        <v>1526</v>
      </c>
      <c r="BZ49" s="210">
        <v>1526</v>
      </c>
      <c r="CA49" s="19">
        <v>1689</v>
      </c>
      <c r="CB49" s="19">
        <v>1835</v>
      </c>
      <c r="CC49" s="19">
        <v>1970</v>
      </c>
      <c r="CD49" s="19">
        <f>CE49</f>
        <v>2070</v>
      </c>
      <c r="CE49" s="210">
        <v>2070</v>
      </c>
      <c r="CF49" s="19">
        <v>2191</v>
      </c>
      <c r="CG49" s="19">
        <v>2312</v>
      </c>
      <c r="CH49" s="19">
        <v>2448</v>
      </c>
      <c r="CI49" s="19">
        <f>CJ49</f>
        <v>2571</v>
      </c>
      <c r="CJ49" s="210">
        <v>2571</v>
      </c>
      <c r="CK49" s="19">
        <v>2671</v>
      </c>
      <c r="CL49" s="19">
        <v>2774</v>
      </c>
      <c r="CM49" s="19">
        <v>2859</v>
      </c>
      <c r="CN49" s="19">
        <f>CO49</f>
        <v>2913</v>
      </c>
      <c r="CO49" s="210">
        <v>2913</v>
      </c>
    </row>
    <row r="50" spans="1:203" ht="13.9" customHeight="1">
      <c r="B50" s="20" t="s">
        <v>5</v>
      </c>
      <c r="C50" s="4"/>
      <c r="D50" s="22"/>
      <c r="E50" s="22"/>
      <c r="F50" s="22"/>
      <c r="G50" s="22"/>
      <c r="H50" s="4"/>
      <c r="I50" s="22"/>
      <c r="J50" s="22"/>
      <c r="K50" s="22"/>
      <c r="L50" s="21"/>
      <c r="M50" s="4"/>
      <c r="N50" s="22"/>
      <c r="O50" s="22"/>
      <c r="P50" s="22"/>
      <c r="Q50" s="21"/>
      <c r="R50" s="4"/>
      <c r="S50" s="22"/>
      <c r="T50" s="22"/>
      <c r="U50" s="22"/>
      <c r="V50" s="21"/>
      <c r="W50" s="260"/>
      <c r="X50" s="260"/>
      <c r="Y50" s="260"/>
      <c r="Z50" s="260"/>
      <c r="AA50" s="261"/>
      <c r="AB50" s="260"/>
      <c r="AC50" s="260"/>
      <c r="AD50" s="260"/>
      <c r="AE50" s="260"/>
      <c r="AF50" s="261"/>
      <c r="AG50" s="260"/>
      <c r="AH50" s="260"/>
      <c r="AI50" s="260"/>
      <c r="AJ50" s="260"/>
      <c r="AK50" s="261"/>
      <c r="AL50" s="260"/>
      <c r="AM50" s="260"/>
      <c r="AN50" s="260"/>
      <c r="AO50" s="260"/>
      <c r="AP50" s="261"/>
      <c r="AQ50" s="260"/>
      <c r="AR50" s="260"/>
      <c r="AS50" s="260"/>
      <c r="AT50" s="260"/>
      <c r="AU50" s="261"/>
      <c r="AV50" s="260"/>
      <c r="AW50" s="260"/>
      <c r="AX50" s="260"/>
      <c r="AY50" s="260"/>
      <c r="AZ50" s="261"/>
      <c r="BA50" s="260"/>
      <c r="BB50" s="260"/>
      <c r="BC50" s="260"/>
      <c r="BD50" s="260"/>
      <c r="BE50" s="261"/>
      <c r="BF50" s="260"/>
      <c r="BG50" s="260"/>
      <c r="BH50" s="260"/>
      <c r="BI50" s="260"/>
      <c r="BJ50" s="261"/>
      <c r="BK50" s="260"/>
      <c r="BL50" s="260"/>
      <c r="BM50" s="260"/>
      <c r="BN50" s="260"/>
      <c r="BO50" s="261"/>
      <c r="BP50" s="260"/>
      <c r="BQ50" s="212"/>
      <c r="BR50" s="212">
        <f>BR49/BQ49-1</f>
        <v>0.9258064516129032</v>
      </c>
      <c r="BS50" s="212">
        <f>BS49/BR49-1</f>
        <v>0.4204355108877722</v>
      </c>
      <c r="BT50" s="212">
        <f>BT49/BS49-1</f>
        <v>0.25471698113207553</v>
      </c>
      <c r="BU50" s="211"/>
      <c r="BV50" s="21">
        <f>BV49/BT49-1</f>
        <v>0.12124060150375948</v>
      </c>
      <c r="BW50" s="21">
        <f>BW49/BV49-1</f>
        <v>9.6395641240569985E-2</v>
      </c>
      <c r="BX50" s="21">
        <f>BX49/BW49-1</f>
        <v>0.10244648318042815</v>
      </c>
      <c r="BY50" s="21">
        <f>BY49/BX49-1</f>
        <v>5.8252427184465994E-2</v>
      </c>
      <c r="BZ50" s="211"/>
      <c r="CA50" s="21">
        <f>CA49/BY49-1</f>
        <v>0.10681520314547832</v>
      </c>
      <c r="CB50" s="21">
        <f>CB49/CA49-1</f>
        <v>8.6441681468324427E-2</v>
      </c>
      <c r="CC50" s="21">
        <f>CC49/CB49-1</f>
        <v>7.3569482288828425E-2</v>
      </c>
      <c r="CD50" s="21">
        <f>CD49/CC49-1</f>
        <v>5.0761421319796884E-2</v>
      </c>
      <c r="CE50" s="211"/>
      <c r="CF50" s="21">
        <f>CF49/CD49-1</f>
        <v>5.8454106280193319E-2</v>
      </c>
      <c r="CG50" s="21">
        <f>CG49/CF49-1</f>
        <v>5.5225924235508872E-2</v>
      </c>
      <c r="CH50" s="21">
        <f>CH49/CG49-1</f>
        <v>5.8823529411764719E-2</v>
      </c>
      <c r="CI50" s="21">
        <f>CI49/CH49-1</f>
        <v>5.024509803921573E-2</v>
      </c>
      <c r="CJ50" s="211"/>
      <c r="CK50" s="21">
        <f>CK49/CI49-1</f>
        <v>3.8895371450797356E-2</v>
      </c>
      <c r="CL50" s="21">
        <f>CL49/CK49-1</f>
        <v>3.8562336203669112E-2</v>
      </c>
      <c r="CM50" s="21">
        <f>CM49/CL49-1</f>
        <v>3.064167267483775E-2</v>
      </c>
      <c r="CN50" s="21">
        <f>CN49/CM49-1</f>
        <v>1.8887722980063026E-2</v>
      </c>
      <c r="CO50" s="211"/>
    </row>
    <row r="51" spans="1:203" ht="13.9" customHeight="1">
      <c r="B51" s="20" t="s">
        <v>6</v>
      </c>
      <c r="C51" s="4"/>
      <c r="D51" s="22"/>
      <c r="E51" s="22"/>
      <c r="F51" s="22"/>
      <c r="G51" s="22"/>
      <c r="H51" s="4"/>
      <c r="I51" s="22"/>
      <c r="J51" s="22"/>
      <c r="K51" s="22"/>
      <c r="L51" s="21"/>
      <c r="M51" s="4"/>
      <c r="N51" s="22"/>
      <c r="O51" s="22"/>
      <c r="P51" s="22"/>
      <c r="Q51" s="21"/>
      <c r="R51" s="4"/>
      <c r="S51" s="22"/>
      <c r="T51" s="22"/>
      <c r="U51" s="22"/>
      <c r="V51" s="21"/>
      <c r="W51" s="260"/>
      <c r="X51" s="260"/>
      <c r="Y51" s="260"/>
      <c r="Z51" s="260"/>
      <c r="AA51" s="261"/>
      <c r="AB51" s="260"/>
      <c r="AC51" s="260"/>
      <c r="AD51" s="260"/>
      <c r="AE51" s="260"/>
      <c r="AF51" s="261"/>
      <c r="AG51" s="260"/>
      <c r="AH51" s="260"/>
      <c r="AI51" s="260"/>
      <c r="AJ51" s="260"/>
      <c r="AK51" s="261"/>
      <c r="AL51" s="260"/>
      <c r="AM51" s="260"/>
      <c r="AN51" s="260"/>
      <c r="AO51" s="260"/>
      <c r="AP51" s="261"/>
      <c r="AQ51" s="260"/>
      <c r="AR51" s="260"/>
      <c r="AS51" s="260"/>
      <c r="AT51" s="260"/>
      <c r="AU51" s="261"/>
      <c r="AV51" s="260"/>
      <c r="AW51" s="260"/>
      <c r="AX51" s="260"/>
      <c r="AY51" s="260"/>
      <c r="AZ51" s="261"/>
      <c r="BA51" s="260"/>
      <c r="BB51" s="260"/>
      <c r="BC51" s="260"/>
      <c r="BD51" s="260"/>
      <c r="BE51" s="261"/>
      <c r="BF51" s="260"/>
      <c r="BG51" s="260"/>
      <c r="BH51" s="260"/>
      <c r="BI51" s="260"/>
      <c r="BJ51" s="261"/>
      <c r="BK51" s="260"/>
      <c r="BL51" s="260"/>
      <c r="BM51" s="260"/>
      <c r="BN51" s="260"/>
      <c r="BO51" s="261"/>
      <c r="BP51" s="260"/>
      <c r="BQ51" s="211"/>
      <c r="BR51" s="211"/>
      <c r="BS51" s="211"/>
      <c r="BT51" s="212"/>
      <c r="BU51" s="211"/>
      <c r="BV51" s="22">
        <f t="shared" ref="BV51:CC51" si="79">BV49/BQ49-1</f>
        <v>2.8483870967741933</v>
      </c>
      <c r="BW51" s="22">
        <f t="shared" si="79"/>
        <v>1.1909547738693469</v>
      </c>
      <c r="BX51" s="22">
        <f t="shared" si="79"/>
        <v>0.70047169811320753</v>
      </c>
      <c r="BY51" s="21">
        <f t="shared" si="79"/>
        <v>0.43421052631578938</v>
      </c>
      <c r="BZ51" s="211">
        <f t="shared" si="79"/>
        <v>0.43421052631578938</v>
      </c>
      <c r="CA51" s="22">
        <f t="shared" si="79"/>
        <v>0.41575859178541497</v>
      </c>
      <c r="CB51" s="22">
        <f t="shared" si="79"/>
        <v>0.40290519877675846</v>
      </c>
      <c r="CC51" s="22">
        <f t="shared" si="79"/>
        <v>0.36615811373092932</v>
      </c>
      <c r="CD51" s="21">
        <f t="shared" ref="CD51" si="80">CD49/BY49-1</f>
        <v>0.35648754914809966</v>
      </c>
      <c r="CE51" s="211">
        <f t="shared" ref="CE51:CH51" si="81">CE49/BZ49-1</f>
        <v>0.35648754914809966</v>
      </c>
      <c r="CF51" s="22">
        <f t="shared" si="81"/>
        <v>0.29721728833629357</v>
      </c>
      <c r="CG51" s="22">
        <f t="shared" si="81"/>
        <v>0.25994550408719341</v>
      </c>
      <c r="CH51" s="22">
        <f t="shared" si="81"/>
        <v>0.24263959390862944</v>
      </c>
      <c r="CI51" s="21">
        <f t="shared" ref="CI51" si="82">CI49/CD49-1</f>
        <v>0.24202898550724639</v>
      </c>
      <c r="CJ51" s="211">
        <f t="shared" ref="CJ51:CM51" si="83">CJ49/CE49-1</f>
        <v>0.24202898550724639</v>
      </c>
      <c r="CK51" s="22">
        <f t="shared" si="83"/>
        <v>0.21907804655408492</v>
      </c>
      <c r="CL51" s="22">
        <f t="shared" si="83"/>
        <v>0.19982698961937717</v>
      </c>
      <c r="CM51" s="22">
        <f t="shared" si="83"/>
        <v>0.16789215686274517</v>
      </c>
      <c r="CN51" s="21">
        <f t="shared" ref="CN51" si="84">CN49/CI49-1</f>
        <v>0.13302217036172692</v>
      </c>
      <c r="CO51" s="211">
        <f t="shared" ref="CO51" si="85">CO49/CJ49-1</f>
        <v>0.13302217036172692</v>
      </c>
    </row>
    <row r="52" spans="1:203" ht="13.9" customHeight="1">
      <c r="B52" s="20" t="s">
        <v>378</v>
      </c>
      <c r="C52" s="4"/>
      <c r="D52" s="22"/>
      <c r="E52" s="22"/>
      <c r="F52" s="22"/>
      <c r="G52" s="22"/>
      <c r="H52" s="4"/>
      <c r="I52" s="22"/>
      <c r="J52" s="22"/>
      <c r="K52" s="22"/>
      <c r="L52" s="21"/>
      <c r="M52" s="4"/>
      <c r="N52" s="22"/>
      <c r="O52" s="22"/>
      <c r="P52" s="22"/>
      <c r="Q52" s="21"/>
      <c r="R52" s="4"/>
      <c r="S52" s="22"/>
      <c r="T52" s="22"/>
      <c r="U52" s="22"/>
      <c r="V52" s="21"/>
      <c r="W52" s="260"/>
      <c r="X52" s="260"/>
      <c r="Y52" s="260"/>
      <c r="Z52" s="260"/>
      <c r="AA52" s="261"/>
      <c r="AB52" s="260"/>
      <c r="AC52" s="260"/>
      <c r="AD52" s="260"/>
      <c r="AE52" s="260"/>
      <c r="AF52" s="261"/>
      <c r="AG52" s="260"/>
      <c r="AH52" s="260"/>
      <c r="AI52" s="260"/>
      <c r="AJ52" s="260"/>
      <c r="AK52" s="261"/>
      <c r="AL52" s="260"/>
      <c r="AM52" s="260"/>
      <c r="AN52" s="260"/>
      <c r="AO52" s="260"/>
      <c r="AP52" s="261"/>
      <c r="AQ52" s="260"/>
      <c r="AR52" s="260"/>
      <c r="AS52" s="260"/>
      <c r="AT52" s="260"/>
      <c r="AU52" s="261"/>
      <c r="AV52" s="260"/>
      <c r="AW52" s="260"/>
      <c r="AX52" s="260"/>
      <c r="AY52" s="260"/>
      <c r="AZ52" s="261"/>
      <c r="BA52" s="260"/>
      <c r="BB52" s="260"/>
      <c r="BC52" s="260"/>
      <c r="BD52" s="260"/>
      <c r="BE52" s="261"/>
      <c r="BF52" s="260"/>
      <c r="BG52" s="260"/>
      <c r="BH52" s="260"/>
      <c r="BI52" s="260"/>
      <c r="BJ52" s="261"/>
      <c r="BK52" s="260"/>
      <c r="BL52" s="260"/>
      <c r="BM52" s="260"/>
      <c r="BN52" s="260"/>
      <c r="BO52" s="261"/>
      <c r="BP52" s="260"/>
      <c r="BQ52" s="211"/>
      <c r="BR52" s="249">
        <f>BR49-BQ49</f>
        <v>287</v>
      </c>
      <c r="BS52" s="249">
        <f>BS49-BR49</f>
        <v>251</v>
      </c>
      <c r="BT52" s="249">
        <f>BT49-BS49</f>
        <v>216</v>
      </c>
      <c r="BU52" s="249"/>
      <c r="BV52" s="113">
        <f>BV49-BT49</f>
        <v>129</v>
      </c>
      <c r="BW52" s="113">
        <f>BW49-BV49</f>
        <v>115</v>
      </c>
      <c r="BX52" s="113">
        <f>BX49-BW49</f>
        <v>134</v>
      </c>
      <c r="BY52" s="113">
        <f>BY49-BX49</f>
        <v>84</v>
      </c>
      <c r="BZ52" s="249">
        <f>BZ49-BU49</f>
        <v>462</v>
      </c>
      <c r="CA52" s="113">
        <f>CA49-BY49</f>
        <v>163</v>
      </c>
      <c r="CB52" s="113">
        <f>CB49-CA49</f>
        <v>146</v>
      </c>
      <c r="CC52" s="113">
        <f>CC49-CB49</f>
        <v>135</v>
      </c>
      <c r="CD52" s="113">
        <f>CD49-CC49</f>
        <v>100</v>
      </c>
      <c r="CE52" s="249">
        <f>CE49-BZ49</f>
        <v>544</v>
      </c>
      <c r="CF52" s="113">
        <f>CF49-CD49</f>
        <v>121</v>
      </c>
      <c r="CG52" s="113">
        <f>CG49-CF49</f>
        <v>121</v>
      </c>
      <c r="CH52" s="113">
        <f>CH49-CG49</f>
        <v>136</v>
      </c>
      <c r="CI52" s="113">
        <f>CI49-CH49</f>
        <v>123</v>
      </c>
      <c r="CJ52" s="249">
        <f>CJ49-CE49</f>
        <v>501</v>
      </c>
      <c r="CK52" s="113">
        <f>CK49-CI49</f>
        <v>100</v>
      </c>
      <c r="CL52" s="113">
        <f>CL49-CK49</f>
        <v>103</v>
      </c>
      <c r="CM52" s="113">
        <f>CM49-CL49</f>
        <v>85</v>
      </c>
      <c r="CN52" s="113">
        <f>CN49-CM49</f>
        <v>54</v>
      </c>
      <c r="CO52" s="249">
        <f>CO49-CJ49</f>
        <v>342</v>
      </c>
    </row>
    <row r="53" spans="1:203" s="2" customFormat="1" ht="13.9" customHeight="1">
      <c r="B53" s="12" t="s">
        <v>420</v>
      </c>
      <c r="C53" s="16">
        <v>64</v>
      </c>
      <c r="D53" s="24">
        <v>68</v>
      </c>
      <c r="E53" s="24">
        <v>66</v>
      </c>
      <c r="F53" s="24">
        <v>67</v>
      </c>
      <c r="G53" s="24">
        <v>66</v>
      </c>
      <c r="H53" s="16">
        <v>67</v>
      </c>
      <c r="I53" s="24">
        <v>67</v>
      </c>
      <c r="J53" s="24">
        <v>67</v>
      </c>
      <c r="K53" s="24">
        <v>70</v>
      </c>
      <c r="L53" s="19">
        <v>70</v>
      </c>
      <c r="M53" s="5">
        <v>69</v>
      </c>
      <c r="N53" s="24">
        <v>73</v>
      </c>
      <c r="O53" s="24">
        <v>72</v>
      </c>
      <c r="P53" s="24">
        <v>76</v>
      </c>
      <c r="Q53" s="19">
        <v>78</v>
      </c>
      <c r="R53" s="5">
        <v>75</v>
      </c>
      <c r="S53" s="24">
        <v>79</v>
      </c>
      <c r="T53" s="24">
        <v>80</v>
      </c>
      <c r="U53" s="24">
        <v>81</v>
      </c>
      <c r="V53" s="19">
        <v>81</v>
      </c>
      <c r="W53" s="234">
        <v>80</v>
      </c>
      <c r="X53" s="215">
        <v>84</v>
      </c>
      <c r="Y53" s="215">
        <v>80</v>
      </c>
      <c r="Z53" s="215">
        <v>80</v>
      </c>
      <c r="AA53" s="210">
        <v>80</v>
      </c>
      <c r="AB53" s="234">
        <v>81</v>
      </c>
      <c r="AC53" s="215">
        <v>83</v>
      </c>
      <c r="AD53" s="215">
        <v>85</v>
      </c>
      <c r="AE53" s="215">
        <v>86</v>
      </c>
      <c r="AF53" s="210">
        <v>82</v>
      </c>
      <c r="AG53" s="234">
        <v>84</v>
      </c>
      <c r="AH53" s="215">
        <v>82</v>
      </c>
      <c r="AI53" s="215">
        <v>84</v>
      </c>
      <c r="AJ53" s="215">
        <v>85</v>
      </c>
      <c r="AK53" s="210">
        <v>85</v>
      </c>
      <c r="AL53" s="234">
        <v>84</v>
      </c>
      <c r="AM53" s="215">
        <v>87</v>
      </c>
      <c r="AN53" s="215">
        <v>88</v>
      </c>
      <c r="AO53" s="215">
        <v>88</v>
      </c>
      <c r="AP53" s="210">
        <v>88</v>
      </c>
      <c r="AQ53" s="234">
        <v>88</v>
      </c>
      <c r="AR53" s="215">
        <v>90</v>
      </c>
      <c r="AS53" s="215">
        <v>90</v>
      </c>
      <c r="AT53" s="215">
        <v>88</v>
      </c>
      <c r="AU53" s="210">
        <v>90</v>
      </c>
      <c r="AV53" s="234">
        <v>89</v>
      </c>
      <c r="AW53" s="215">
        <v>90</v>
      </c>
      <c r="AX53" s="215">
        <v>90</v>
      </c>
      <c r="AY53" s="215">
        <v>90</v>
      </c>
      <c r="AZ53" s="210">
        <v>92</v>
      </c>
      <c r="BA53" s="234">
        <v>90</v>
      </c>
      <c r="BB53" s="215">
        <v>92</v>
      </c>
      <c r="BC53" s="215">
        <v>93</v>
      </c>
      <c r="BD53" s="215">
        <v>93</v>
      </c>
      <c r="BE53" s="210">
        <v>96</v>
      </c>
      <c r="BF53" s="234">
        <v>93</v>
      </c>
      <c r="BG53" s="215">
        <v>96</v>
      </c>
      <c r="BH53" s="215">
        <v>97</v>
      </c>
      <c r="BI53" s="215">
        <v>98</v>
      </c>
      <c r="BJ53" s="210">
        <v>98</v>
      </c>
      <c r="BK53" s="234">
        <v>97</v>
      </c>
      <c r="BL53" s="215">
        <v>98</v>
      </c>
      <c r="BM53" s="215">
        <v>98</v>
      </c>
      <c r="BN53" s="215">
        <v>100</v>
      </c>
      <c r="BO53" s="210">
        <v>102</v>
      </c>
      <c r="BP53" s="234">
        <v>99</v>
      </c>
      <c r="BQ53" s="215">
        <v>103</v>
      </c>
      <c r="BR53" s="215">
        <v>106</v>
      </c>
      <c r="BS53" s="215">
        <v>107</v>
      </c>
      <c r="BT53" s="210">
        <v>109</v>
      </c>
      <c r="BU53" s="234">
        <v>106</v>
      </c>
      <c r="BV53" s="24">
        <v>110</v>
      </c>
      <c r="BW53" s="24">
        <v>113</v>
      </c>
      <c r="BX53" s="24">
        <v>116</v>
      </c>
      <c r="BY53" s="19">
        <v>117</v>
      </c>
      <c r="BZ53" s="234">
        <v>114</v>
      </c>
      <c r="CA53" s="24">
        <v>120</v>
      </c>
      <c r="CB53" s="24">
        <v>122</v>
      </c>
      <c r="CC53" s="24">
        <v>124</v>
      </c>
      <c r="CD53" s="19">
        <v>125</v>
      </c>
      <c r="CE53" s="234">
        <v>123</v>
      </c>
      <c r="CF53" s="24">
        <v>127</v>
      </c>
      <c r="CG53" s="24">
        <v>129</v>
      </c>
      <c r="CH53" s="24">
        <v>131</v>
      </c>
      <c r="CI53" s="19">
        <v>133</v>
      </c>
      <c r="CJ53" s="234">
        <v>130</v>
      </c>
      <c r="CK53" s="24">
        <v>134</v>
      </c>
      <c r="CL53" s="24">
        <v>136</v>
      </c>
      <c r="CM53" s="24">
        <v>136</v>
      </c>
      <c r="CN53" s="19">
        <v>138</v>
      </c>
      <c r="CO53" s="234">
        <v>136</v>
      </c>
    </row>
    <row r="54" spans="1:203" ht="13.9" customHeight="1">
      <c r="B54" s="20" t="s">
        <v>5</v>
      </c>
      <c r="C54" s="4"/>
      <c r="D54" s="21"/>
      <c r="E54" s="21">
        <f>E53/D53-1</f>
        <v>-2.9411764705882359E-2</v>
      </c>
      <c r="F54" s="21">
        <f>F53/E53-1</f>
        <v>1.5151515151515138E-2</v>
      </c>
      <c r="G54" s="21">
        <f>G53/F53-1</f>
        <v>-1.4925373134328401E-2</v>
      </c>
      <c r="H54" s="4"/>
      <c r="I54" s="21">
        <f>I53/G53-1</f>
        <v>1.5151515151515138E-2</v>
      </c>
      <c r="J54" s="21">
        <f>J53/I53-1</f>
        <v>0</v>
      </c>
      <c r="K54" s="21">
        <f>K53/J53-1</f>
        <v>4.4776119402984982E-2</v>
      </c>
      <c r="L54" s="21">
        <f>L53/K53-1</f>
        <v>0</v>
      </c>
      <c r="M54" s="3"/>
      <c r="N54" s="21">
        <f>N53/L53-1</f>
        <v>4.2857142857142927E-2</v>
      </c>
      <c r="O54" s="21">
        <f>O53/N53-1</f>
        <v>-1.3698630136986356E-2</v>
      </c>
      <c r="P54" s="21">
        <f>P53/O53-1</f>
        <v>5.555555555555558E-2</v>
      </c>
      <c r="Q54" s="21">
        <f>Q53/P53-1</f>
        <v>2.6315789473684292E-2</v>
      </c>
      <c r="R54" s="3"/>
      <c r="S54" s="21">
        <f>S53/Q53-1</f>
        <v>1.2820512820512775E-2</v>
      </c>
      <c r="T54" s="21">
        <f>T53/S53-1</f>
        <v>1.2658227848101333E-2</v>
      </c>
      <c r="U54" s="21">
        <f>U53/T53-1</f>
        <v>1.2499999999999956E-2</v>
      </c>
      <c r="V54" s="21">
        <f>V53/U53-1</f>
        <v>0</v>
      </c>
      <c r="W54" s="226"/>
      <c r="X54" s="212">
        <f>X53/V53-1</f>
        <v>3.7037037037036979E-2</v>
      </c>
      <c r="Y54" s="212">
        <f>Y53/X53-1</f>
        <v>-4.7619047619047672E-2</v>
      </c>
      <c r="Z54" s="212">
        <f>Z53/Y53-1</f>
        <v>0</v>
      </c>
      <c r="AA54" s="212">
        <f>AA53/Z53-1</f>
        <v>0</v>
      </c>
      <c r="AB54" s="226"/>
      <c r="AC54" s="212">
        <f>AC53/AA53-1</f>
        <v>3.7500000000000089E-2</v>
      </c>
      <c r="AD54" s="212">
        <f>AD53/AC53-1</f>
        <v>2.4096385542168752E-2</v>
      </c>
      <c r="AE54" s="212">
        <f>AE53/AD53-1</f>
        <v>1.1764705882352899E-2</v>
      </c>
      <c r="AF54" s="212">
        <f>AF53/AE53-1</f>
        <v>-4.6511627906976716E-2</v>
      </c>
      <c r="AG54" s="226"/>
      <c r="AH54" s="212">
        <f>AH53/AF53-1</f>
        <v>0</v>
      </c>
      <c r="AI54" s="212">
        <f>AI53/AH53-1</f>
        <v>2.4390243902439046E-2</v>
      </c>
      <c r="AJ54" s="212">
        <f>AJ53/AI53-1</f>
        <v>1.1904761904761862E-2</v>
      </c>
      <c r="AK54" s="212">
        <f>AK53/AJ53-1</f>
        <v>0</v>
      </c>
      <c r="AL54" s="226"/>
      <c r="AM54" s="212">
        <f>AM53/AK53-1</f>
        <v>2.3529411764705799E-2</v>
      </c>
      <c r="AN54" s="212">
        <f>AN53/AM53-1</f>
        <v>1.1494252873563315E-2</v>
      </c>
      <c r="AO54" s="212">
        <f>AO53/AN53-1</f>
        <v>0</v>
      </c>
      <c r="AP54" s="212">
        <f>AP53/AO53-1</f>
        <v>0</v>
      </c>
      <c r="AQ54" s="226"/>
      <c r="AR54" s="212">
        <f>AR53/AP53-1</f>
        <v>2.2727272727272707E-2</v>
      </c>
      <c r="AS54" s="212">
        <f>AS53/AR53-1</f>
        <v>0</v>
      </c>
      <c r="AT54" s="212">
        <f>AT53/AS53-1</f>
        <v>-2.2222222222222254E-2</v>
      </c>
      <c r="AU54" s="212">
        <f>AU53/AT53-1</f>
        <v>2.2727272727272707E-2</v>
      </c>
      <c r="AV54" s="226"/>
      <c r="AW54" s="212">
        <f>AW53/AU53-1</f>
        <v>0</v>
      </c>
      <c r="AX54" s="212">
        <f>AX53/AW53-1</f>
        <v>0</v>
      </c>
      <c r="AY54" s="212">
        <f>AY53/AX53-1</f>
        <v>0</v>
      </c>
      <c r="AZ54" s="212">
        <f>AZ53/AY53-1</f>
        <v>2.2222222222222143E-2</v>
      </c>
      <c r="BA54" s="226"/>
      <c r="BB54" s="212">
        <f>BB53/AZ53-1</f>
        <v>0</v>
      </c>
      <c r="BC54" s="212">
        <f>BC53/BB53-1</f>
        <v>1.0869565217391353E-2</v>
      </c>
      <c r="BD54" s="212">
        <f>BD53/BC53-1</f>
        <v>0</v>
      </c>
      <c r="BE54" s="212">
        <f>BE53/BD53-1</f>
        <v>3.2258064516129004E-2</v>
      </c>
      <c r="BF54" s="226"/>
      <c r="BG54" s="212">
        <f>BG53/BE53-1</f>
        <v>0</v>
      </c>
      <c r="BH54" s="212">
        <f>BH53/BG53-1</f>
        <v>1.0416666666666741E-2</v>
      </c>
      <c r="BI54" s="212">
        <f>BI53/BH53-1</f>
        <v>1.0309278350515427E-2</v>
      </c>
      <c r="BJ54" s="212">
        <f>BJ53/BI53-1</f>
        <v>0</v>
      </c>
      <c r="BK54" s="226"/>
      <c r="BL54" s="212">
        <f>BL53/BJ53-1</f>
        <v>0</v>
      </c>
      <c r="BM54" s="212">
        <f>BM53/BL53-1</f>
        <v>0</v>
      </c>
      <c r="BN54" s="212">
        <f>BN53/BM53-1</f>
        <v>2.0408163265306145E-2</v>
      </c>
      <c r="BO54" s="212">
        <f>BO53/BN53-1</f>
        <v>2.0000000000000018E-2</v>
      </c>
      <c r="BP54" s="226"/>
      <c r="BQ54" s="212">
        <f>BQ53/BO53-1</f>
        <v>9.8039215686274161E-3</v>
      </c>
      <c r="BR54" s="212">
        <f>BR53/BQ53-1</f>
        <v>2.9126213592232997E-2</v>
      </c>
      <c r="BS54" s="212">
        <f>BS53/BR53-1</f>
        <v>9.4339622641510523E-3</v>
      </c>
      <c r="BT54" s="212">
        <f>BT53/BS53-1</f>
        <v>1.8691588785046731E-2</v>
      </c>
      <c r="BU54" s="226"/>
      <c r="BV54" s="21">
        <f>BV53/BT53-1</f>
        <v>9.1743119266054496E-3</v>
      </c>
      <c r="BW54" s="21">
        <f>BW53/BV53-1</f>
        <v>2.7272727272727337E-2</v>
      </c>
      <c r="BX54" s="21">
        <f>BX53/BW53-1</f>
        <v>2.6548672566371723E-2</v>
      </c>
      <c r="BY54" s="21">
        <f>BY53/BX53-1</f>
        <v>8.6206896551723755E-3</v>
      </c>
      <c r="BZ54" s="226"/>
      <c r="CA54" s="21">
        <f>CA53/BY53-1</f>
        <v>2.564102564102555E-2</v>
      </c>
      <c r="CB54" s="21">
        <f>CB53/CA53-1</f>
        <v>1.6666666666666607E-2</v>
      </c>
      <c r="CC54" s="21">
        <f>CC53/CB53-1</f>
        <v>1.6393442622950838E-2</v>
      </c>
      <c r="CD54" s="21">
        <f>CD53/CC53-1</f>
        <v>8.0645161290322509E-3</v>
      </c>
      <c r="CE54" s="226"/>
      <c r="CF54" s="21">
        <f>CF53/CD53-1</f>
        <v>1.6000000000000014E-2</v>
      </c>
      <c r="CG54" s="21">
        <f>CG53/CF53-1</f>
        <v>1.5748031496062964E-2</v>
      </c>
      <c r="CH54" s="21">
        <f>CH53/CG53-1</f>
        <v>1.5503875968992276E-2</v>
      </c>
      <c r="CI54" s="21">
        <f>CI53/CH53-1</f>
        <v>1.5267175572519109E-2</v>
      </c>
      <c r="CJ54" s="226"/>
      <c r="CK54" s="21">
        <f>CK53/CI53-1</f>
        <v>7.5187969924812581E-3</v>
      </c>
      <c r="CL54" s="21">
        <f>CL53/CK53-1</f>
        <v>1.4925373134328401E-2</v>
      </c>
      <c r="CM54" s="21">
        <f>CM53/CL53-1</f>
        <v>0</v>
      </c>
      <c r="CN54" s="21">
        <f>CN53/CM53-1</f>
        <v>1.4705882352941124E-2</v>
      </c>
      <c r="CO54" s="226"/>
    </row>
    <row r="55" spans="1:203" ht="13.9" customHeight="1">
      <c r="B55" s="20" t="s">
        <v>6</v>
      </c>
      <c r="C55" s="4"/>
      <c r="D55" s="22"/>
      <c r="E55" s="22"/>
      <c r="F55" s="22"/>
      <c r="G55" s="22"/>
      <c r="H55" s="4">
        <f t="shared" ref="H55:O55" si="86">H53/C53-1</f>
        <v>4.6875E-2</v>
      </c>
      <c r="I55" s="22">
        <f t="shared" si="86"/>
        <v>-1.4705882352941124E-2</v>
      </c>
      <c r="J55" s="22">
        <f t="shared" si="86"/>
        <v>1.5151515151515138E-2</v>
      </c>
      <c r="K55" s="22">
        <f t="shared" si="86"/>
        <v>4.4776119402984982E-2</v>
      </c>
      <c r="L55" s="21">
        <f t="shared" si="86"/>
        <v>6.0606060606060552E-2</v>
      </c>
      <c r="M55" s="4">
        <f t="shared" si="86"/>
        <v>2.9850746268656803E-2</v>
      </c>
      <c r="N55" s="21">
        <f t="shared" si="86"/>
        <v>8.9552238805970186E-2</v>
      </c>
      <c r="O55" s="22">
        <f t="shared" si="86"/>
        <v>7.4626865671641784E-2</v>
      </c>
      <c r="P55" s="22">
        <f t="shared" ref="P55:Z55" si="87">P53/K53-1</f>
        <v>8.5714285714285632E-2</v>
      </c>
      <c r="Q55" s="21">
        <f t="shared" si="87"/>
        <v>0.11428571428571432</v>
      </c>
      <c r="R55" s="4">
        <f t="shared" si="87"/>
        <v>8.6956521739130377E-2</v>
      </c>
      <c r="S55" s="21">
        <f t="shared" si="87"/>
        <v>8.2191780821917915E-2</v>
      </c>
      <c r="T55" s="22">
        <f t="shared" si="87"/>
        <v>0.11111111111111116</v>
      </c>
      <c r="U55" s="22">
        <f t="shared" si="87"/>
        <v>6.578947368421062E-2</v>
      </c>
      <c r="V55" s="21">
        <f t="shared" si="87"/>
        <v>3.8461538461538547E-2</v>
      </c>
      <c r="W55" s="211">
        <f t="shared" si="87"/>
        <v>6.6666666666666652E-2</v>
      </c>
      <c r="X55" s="212">
        <f t="shared" si="87"/>
        <v>6.3291139240506222E-2</v>
      </c>
      <c r="Y55" s="211">
        <f t="shared" si="87"/>
        <v>0</v>
      </c>
      <c r="Z55" s="211">
        <f t="shared" si="87"/>
        <v>-1.2345679012345734E-2</v>
      </c>
      <c r="AA55" s="212">
        <f t="shared" ref="AA55:AJ55" si="88">AA53/V53-1</f>
        <v>-1.2345679012345734E-2</v>
      </c>
      <c r="AB55" s="211">
        <f t="shared" si="88"/>
        <v>1.2499999999999956E-2</v>
      </c>
      <c r="AC55" s="212">
        <f t="shared" si="88"/>
        <v>-1.1904761904761862E-2</v>
      </c>
      <c r="AD55" s="211">
        <f t="shared" si="88"/>
        <v>6.25E-2</v>
      </c>
      <c r="AE55" s="211">
        <f t="shared" si="88"/>
        <v>7.4999999999999956E-2</v>
      </c>
      <c r="AF55" s="212">
        <f t="shared" si="88"/>
        <v>2.4999999999999911E-2</v>
      </c>
      <c r="AG55" s="211">
        <f t="shared" si="88"/>
        <v>3.7037037037036979E-2</v>
      </c>
      <c r="AH55" s="212">
        <f t="shared" si="88"/>
        <v>-1.2048192771084376E-2</v>
      </c>
      <c r="AI55" s="211">
        <f t="shared" si="88"/>
        <v>-1.1764705882352899E-2</v>
      </c>
      <c r="AJ55" s="211">
        <f t="shared" si="88"/>
        <v>-1.1627906976744207E-2</v>
      </c>
      <c r="AK55" s="212">
        <f t="shared" ref="AK55:AT55" si="89">AK53/AF53-1</f>
        <v>3.6585365853658569E-2</v>
      </c>
      <c r="AL55" s="211">
        <f t="shared" si="89"/>
        <v>0</v>
      </c>
      <c r="AM55" s="212">
        <f t="shared" si="89"/>
        <v>6.0975609756097615E-2</v>
      </c>
      <c r="AN55" s="211">
        <f t="shared" si="89"/>
        <v>4.7619047619047672E-2</v>
      </c>
      <c r="AO55" s="211">
        <f t="shared" si="89"/>
        <v>3.529411764705892E-2</v>
      </c>
      <c r="AP55" s="212">
        <f t="shared" si="89"/>
        <v>3.529411764705892E-2</v>
      </c>
      <c r="AQ55" s="211">
        <f t="shared" si="89"/>
        <v>4.7619047619047672E-2</v>
      </c>
      <c r="AR55" s="212">
        <f t="shared" si="89"/>
        <v>3.4482758620689724E-2</v>
      </c>
      <c r="AS55" s="211">
        <f t="shared" si="89"/>
        <v>2.2727272727272707E-2</v>
      </c>
      <c r="AT55" s="211">
        <f t="shared" si="89"/>
        <v>0</v>
      </c>
      <c r="AU55" s="212">
        <f t="shared" ref="AU55:BX55" si="90">AU53/AP53-1</f>
        <v>2.2727272727272707E-2</v>
      </c>
      <c r="AV55" s="211">
        <f t="shared" si="90"/>
        <v>1.1363636363636465E-2</v>
      </c>
      <c r="AW55" s="212">
        <f t="shared" si="90"/>
        <v>0</v>
      </c>
      <c r="AX55" s="211">
        <f t="shared" si="90"/>
        <v>0</v>
      </c>
      <c r="AY55" s="211">
        <f t="shared" si="90"/>
        <v>2.2727272727272707E-2</v>
      </c>
      <c r="AZ55" s="212">
        <f t="shared" si="90"/>
        <v>2.2222222222222143E-2</v>
      </c>
      <c r="BA55" s="211">
        <f t="shared" si="90"/>
        <v>1.1235955056179803E-2</v>
      </c>
      <c r="BB55" s="212">
        <f t="shared" si="90"/>
        <v>2.2222222222222143E-2</v>
      </c>
      <c r="BC55" s="211">
        <f t="shared" si="90"/>
        <v>3.3333333333333437E-2</v>
      </c>
      <c r="BD55" s="211">
        <f t="shared" si="90"/>
        <v>3.3333333333333437E-2</v>
      </c>
      <c r="BE55" s="212">
        <f t="shared" si="90"/>
        <v>4.3478260869565188E-2</v>
      </c>
      <c r="BF55" s="211">
        <f t="shared" si="90"/>
        <v>3.3333333333333437E-2</v>
      </c>
      <c r="BG55" s="212">
        <f t="shared" si="90"/>
        <v>4.3478260869565188E-2</v>
      </c>
      <c r="BH55" s="211">
        <f t="shared" si="90"/>
        <v>4.3010752688172005E-2</v>
      </c>
      <c r="BI55" s="211">
        <f t="shared" si="90"/>
        <v>5.3763440860215006E-2</v>
      </c>
      <c r="BJ55" s="212">
        <f t="shared" si="90"/>
        <v>2.0833333333333259E-2</v>
      </c>
      <c r="BK55" s="211">
        <f t="shared" si="90"/>
        <v>4.3010752688172005E-2</v>
      </c>
      <c r="BL55" s="212">
        <f t="shared" si="90"/>
        <v>2.0833333333333259E-2</v>
      </c>
      <c r="BM55" s="211">
        <f t="shared" si="90"/>
        <v>1.0309278350515427E-2</v>
      </c>
      <c r="BN55" s="211">
        <f t="shared" si="90"/>
        <v>2.0408163265306145E-2</v>
      </c>
      <c r="BO55" s="212">
        <f t="shared" si="90"/>
        <v>4.081632653061229E-2</v>
      </c>
      <c r="BP55" s="211">
        <f t="shared" si="90"/>
        <v>2.0618556701030855E-2</v>
      </c>
      <c r="BQ55" s="212">
        <f t="shared" si="90"/>
        <v>5.1020408163265252E-2</v>
      </c>
      <c r="BR55" s="211">
        <f t="shared" si="90"/>
        <v>8.163265306122458E-2</v>
      </c>
      <c r="BS55" s="211">
        <f t="shared" si="90"/>
        <v>7.0000000000000062E-2</v>
      </c>
      <c r="BT55" s="212">
        <f t="shared" si="90"/>
        <v>6.8627450980392135E-2</v>
      </c>
      <c r="BU55" s="211">
        <f t="shared" si="90"/>
        <v>7.0707070707070718E-2</v>
      </c>
      <c r="BV55" s="21">
        <f t="shared" si="90"/>
        <v>6.7961165048543659E-2</v>
      </c>
      <c r="BW55" s="22">
        <f t="shared" si="90"/>
        <v>6.60377358490567E-2</v>
      </c>
      <c r="BX55" s="22">
        <f t="shared" si="90"/>
        <v>8.4112149532710179E-2</v>
      </c>
      <c r="BY55" s="21">
        <f>BY53/BT53-1</f>
        <v>7.3394495412844041E-2</v>
      </c>
      <c r="BZ55" s="211">
        <f>BZ53/BU53-1</f>
        <v>7.547169811320753E-2</v>
      </c>
      <c r="CA55" s="21">
        <f>CA53/BV53-1</f>
        <v>9.0909090909090828E-2</v>
      </c>
      <c r="CB55" s="22">
        <f>CB53/BW53-1</f>
        <v>7.9646017699114946E-2</v>
      </c>
      <c r="CC55" s="22">
        <f t="shared" ref="CC55" si="91">CC53/BX53-1</f>
        <v>6.8965517241379226E-2</v>
      </c>
      <c r="CD55" s="21">
        <f>CD53/BY53-1</f>
        <v>6.8376068376068355E-2</v>
      </c>
      <c r="CE55" s="211">
        <f>CE53/BZ53-1</f>
        <v>7.8947368421052655E-2</v>
      </c>
      <c r="CF55" s="21">
        <f>CF53/CA53-1</f>
        <v>5.8333333333333348E-2</v>
      </c>
      <c r="CG55" s="22">
        <f>CG53/CB53-1</f>
        <v>5.7377049180327822E-2</v>
      </c>
      <c r="CH55" s="22">
        <f t="shared" ref="CH55" si="92">CH53/CC53-1</f>
        <v>5.6451612903225756E-2</v>
      </c>
      <c r="CI55" s="21">
        <f>CI53/CD53-1</f>
        <v>6.4000000000000057E-2</v>
      </c>
      <c r="CJ55" s="211">
        <f>CJ53/CE53-1</f>
        <v>5.6910569105691033E-2</v>
      </c>
      <c r="CK55" s="22">
        <f t="shared" ref="CK55" si="93">CK53/CF53-1</f>
        <v>5.5118110236220375E-2</v>
      </c>
      <c r="CL55" s="22">
        <f>CL53/CG53-1</f>
        <v>5.4263565891472965E-2</v>
      </c>
      <c r="CM55" s="22">
        <f>CM53/CH53-1</f>
        <v>3.8167938931297662E-2</v>
      </c>
      <c r="CN55" s="21">
        <f>CN53/CI53-1</f>
        <v>3.7593984962406068E-2</v>
      </c>
      <c r="CO55" s="211">
        <f>CO53/CJ53-1</f>
        <v>4.6153846153846212E-2</v>
      </c>
    </row>
    <row r="56" spans="1:203" ht="18" customHeight="1">
      <c r="B56" s="40" t="s">
        <v>400</v>
      </c>
      <c r="C56" s="38">
        <v>1.7</v>
      </c>
      <c r="D56" s="28">
        <v>1.9</v>
      </c>
      <c r="E56" s="28">
        <v>2</v>
      </c>
      <c r="F56" s="28">
        <v>2.1</v>
      </c>
      <c r="G56" s="28">
        <v>2.2000000000000002</v>
      </c>
      <c r="H56" s="38">
        <v>2.2000000000000002</v>
      </c>
      <c r="I56" s="28">
        <v>2.2999999999999998</v>
      </c>
      <c r="J56" s="28">
        <v>2.4</v>
      </c>
      <c r="K56" s="28">
        <v>2.5</v>
      </c>
      <c r="L56" s="28">
        <v>2.7</v>
      </c>
      <c r="M56" s="38">
        <v>2.7</v>
      </c>
      <c r="N56" s="28">
        <v>3</v>
      </c>
      <c r="O56" s="28">
        <v>3.4</v>
      </c>
      <c r="P56" s="28">
        <v>3.8</v>
      </c>
      <c r="Q56" s="28">
        <v>4.3</v>
      </c>
      <c r="R56" s="38">
        <v>4.3</v>
      </c>
      <c r="S56" s="28">
        <v>4.8</v>
      </c>
      <c r="T56" s="28">
        <v>5.3</v>
      </c>
      <c r="U56" s="28">
        <v>6</v>
      </c>
      <c r="V56" s="28">
        <v>6.7</v>
      </c>
      <c r="W56" s="220">
        <v>6.7</v>
      </c>
      <c r="X56" s="220">
        <v>7.5</v>
      </c>
      <c r="Y56" s="220">
        <v>8.3000000000000007</v>
      </c>
      <c r="Z56" s="220">
        <v>9</v>
      </c>
      <c r="AA56" s="220">
        <v>9.6</v>
      </c>
      <c r="AB56" s="220">
        <v>9.6</v>
      </c>
      <c r="AC56" s="220">
        <v>10.4</v>
      </c>
      <c r="AD56" s="220">
        <v>15.2</v>
      </c>
      <c r="AE56" s="220">
        <v>17.3</v>
      </c>
      <c r="AF56" s="220">
        <v>18.100000000000001</v>
      </c>
      <c r="AG56" s="220">
        <v>18.100000000000001</v>
      </c>
      <c r="AH56" s="220">
        <v>20</v>
      </c>
      <c r="AI56" s="220">
        <v>21.9</v>
      </c>
      <c r="AJ56" s="220">
        <v>24</v>
      </c>
      <c r="AK56" s="220">
        <v>32.5</v>
      </c>
      <c r="AL56" s="220">
        <v>32.5</v>
      </c>
      <c r="AM56" s="220">
        <v>33.200000000000003</v>
      </c>
      <c r="AN56" s="220">
        <v>34.9</v>
      </c>
      <c r="AO56" s="220">
        <v>36.700000000000003</v>
      </c>
      <c r="AP56" s="220">
        <v>37.799999999999997</v>
      </c>
      <c r="AQ56" s="220">
        <v>37.799999999999997</v>
      </c>
      <c r="AR56" s="220">
        <v>38.9</v>
      </c>
      <c r="AS56" s="220">
        <v>40.200000000000003</v>
      </c>
      <c r="AT56" s="220">
        <v>41.8</v>
      </c>
      <c r="AU56" s="220">
        <v>43.4</v>
      </c>
      <c r="AV56" s="220">
        <v>43.4</v>
      </c>
      <c r="AW56" s="220">
        <v>45.1</v>
      </c>
      <c r="AX56" s="220">
        <v>47.2</v>
      </c>
      <c r="AY56" s="220">
        <v>49.5</v>
      </c>
      <c r="AZ56" s="220">
        <v>51.5</v>
      </c>
      <c r="BA56" s="220">
        <v>51.5</v>
      </c>
      <c r="BB56" s="220">
        <v>53.5</v>
      </c>
      <c r="BC56" s="220">
        <v>55.4</v>
      </c>
      <c r="BD56" s="220">
        <v>57.41</v>
      </c>
      <c r="BE56" s="220">
        <v>59.1</v>
      </c>
      <c r="BF56" s="220">
        <v>59.1</v>
      </c>
      <c r="BG56" s="220">
        <v>61.5</v>
      </c>
      <c r="BH56" s="220">
        <v>64</v>
      </c>
      <c r="BI56" s="220">
        <v>66.180000000000007</v>
      </c>
      <c r="BJ56" s="220">
        <f>BK56</f>
        <v>67.8</v>
      </c>
      <c r="BK56" s="220">
        <v>67.8</v>
      </c>
      <c r="BL56" s="220">
        <v>69.099999999999994</v>
      </c>
      <c r="BM56" s="220">
        <v>70.400000000000006</v>
      </c>
      <c r="BN56" s="220">
        <v>71.599999999999994</v>
      </c>
      <c r="BO56" s="220">
        <v>74.2</v>
      </c>
      <c r="BP56" s="220">
        <v>74.2</v>
      </c>
      <c r="BQ56" s="220">
        <v>77.7</v>
      </c>
      <c r="BR56" s="220">
        <v>87.8</v>
      </c>
      <c r="BS56" s="220">
        <v>104.2</v>
      </c>
      <c r="BT56" s="220">
        <f>BU56</f>
        <v>129.6</v>
      </c>
      <c r="BU56" s="220">
        <v>129.6</v>
      </c>
      <c r="BV56" s="134">
        <v>150.5</v>
      </c>
      <c r="BW56" s="134">
        <v>164</v>
      </c>
      <c r="BX56" s="134">
        <v>192</v>
      </c>
      <c r="BY56" s="134">
        <f>BZ56</f>
        <v>220</v>
      </c>
      <c r="BZ56" s="220">
        <v>220</v>
      </c>
      <c r="CA56" s="134">
        <v>250</v>
      </c>
      <c r="CB56" s="134">
        <v>278</v>
      </c>
      <c r="CC56" s="134">
        <v>315</v>
      </c>
      <c r="CD56" s="134">
        <v>341</v>
      </c>
      <c r="CE56" s="220">
        <v>341.2</v>
      </c>
      <c r="CF56" s="134">
        <v>382</v>
      </c>
      <c r="CG56" s="134">
        <v>430</v>
      </c>
      <c r="CH56" s="134">
        <v>483</v>
      </c>
      <c r="CI56" s="89">
        <f>CJ56</f>
        <v>526</v>
      </c>
      <c r="CJ56" s="220">
        <v>526</v>
      </c>
      <c r="CK56" s="134">
        <v>572</v>
      </c>
      <c r="CL56" s="24">
        <v>620</v>
      </c>
      <c r="CM56" s="24">
        <v>673</v>
      </c>
      <c r="CN56" s="89">
        <f>CO56</f>
        <v>721</v>
      </c>
      <c r="CO56" s="220">
        <v>721</v>
      </c>
    </row>
    <row r="57" spans="1:203" ht="13.9" customHeight="1">
      <c r="B57" s="20" t="s">
        <v>5</v>
      </c>
      <c r="C57" s="4"/>
      <c r="D57" s="21"/>
      <c r="E57" s="21">
        <f>E56/D56-1</f>
        <v>5.2631578947368363E-2</v>
      </c>
      <c r="F57" s="21">
        <f>F56/E56-1</f>
        <v>5.0000000000000044E-2</v>
      </c>
      <c r="G57" s="21">
        <f>G56/F56-1</f>
        <v>4.7619047619047672E-2</v>
      </c>
      <c r="H57" s="4"/>
      <c r="I57" s="21">
        <f>I56/G56-1</f>
        <v>4.5454545454545192E-2</v>
      </c>
      <c r="J57" s="21">
        <f>J56/I56-1</f>
        <v>4.3478260869565188E-2</v>
      </c>
      <c r="K57" s="21">
        <f>K56/J56-1</f>
        <v>4.1666666666666741E-2</v>
      </c>
      <c r="L57" s="21">
        <f>L56/K56-1</f>
        <v>8.0000000000000071E-2</v>
      </c>
      <c r="M57" s="3"/>
      <c r="N57" s="21">
        <f>N56/L56-1</f>
        <v>0.11111111111111094</v>
      </c>
      <c r="O57" s="21">
        <f>O56/N56-1</f>
        <v>0.1333333333333333</v>
      </c>
      <c r="P57" s="21">
        <f>P56/O56-1</f>
        <v>0.11764705882352944</v>
      </c>
      <c r="Q57" s="21">
        <f>Q56/P56-1</f>
        <v>0.13157894736842102</v>
      </c>
      <c r="R57" s="3"/>
      <c r="S57" s="21">
        <f>S56/Q56-1</f>
        <v>0.11627906976744184</v>
      </c>
      <c r="T57" s="21">
        <f>T56/S56-1</f>
        <v>0.10416666666666674</v>
      </c>
      <c r="U57" s="21">
        <f>U56/T56-1</f>
        <v>0.13207547169811318</v>
      </c>
      <c r="V57" s="21">
        <f>V56/U56-1</f>
        <v>0.1166666666666667</v>
      </c>
      <c r="W57" s="226"/>
      <c r="X57" s="212">
        <f>X56/V56-1</f>
        <v>0.11940298507462677</v>
      </c>
      <c r="Y57" s="212">
        <f>Y56/X56-1</f>
        <v>0.10666666666666669</v>
      </c>
      <c r="Z57" s="212">
        <f>Z56/Y56-1</f>
        <v>8.43373493975903E-2</v>
      </c>
      <c r="AA57" s="212">
        <f>AA56/Z56-1</f>
        <v>6.6666666666666652E-2</v>
      </c>
      <c r="AB57" s="226"/>
      <c r="AC57" s="212">
        <f>AC56/AA56-1</f>
        <v>8.3333333333333481E-2</v>
      </c>
      <c r="AD57" s="212">
        <f>AD56/AC56-1</f>
        <v>0.46153846153846145</v>
      </c>
      <c r="AE57" s="212">
        <f>AE56/AD56-1</f>
        <v>0.13815789473684226</v>
      </c>
      <c r="AF57" s="212">
        <f>AF56/AE56-1</f>
        <v>4.6242774566473965E-2</v>
      </c>
      <c r="AG57" s="226"/>
      <c r="AH57" s="212">
        <f>AH56/AF56-1</f>
        <v>0.10497237569060758</v>
      </c>
      <c r="AI57" s="212">
        <f>AI56/AH56-1</f>
        <v>9.4999999999999973E-2</v>
      </c>
      <c r="AJ57" s="212">
        <f>AJ56/AI56-1</f>
        <v>9.5890410958904271E-2</v>
      </c>
      <c r="AK57" s="212">
        <f>AK56/AJ56-1</f>
        <v>0.35416666666666674</v>
      </c>
      <c r="AL57" s="226"/>
      <c r="AM57" s="212">
        <f>AM56/AK56-1</f>
        <v>2.1538461538461728E-2</v>
      </c>
      <c r="AN57" s="212">
        <f>AN56/AM56-1</f>
        <v>5.1204819277108404E-2</v>
      </c>
      <c r="AO57" s="212">
        <f>AO56/AN56-1</f>
        <v>5.157593123209181E-2</v>
      </c>
      <c r="AP57" s="212">
        <f>AP56/AO56-1</f>
        <v>2.9972752043596618E-2</v>
      </c>
      <c r="AQ57" s="226"/>
      <c r="AR57" s="212">
        <f>AR56/AP56-1</f>
        <v>2.9100529100529071E-2</v>
      </c>
      <c r="AS57" s="212">
        <f>AS56/AR56-1</f>
        <v>3.3419023136247006E-2</v>
      </c>
      <c r="AT57" s="212">
        <f>AT56/AS56-1</f>
        <v>3.9800995024875441E-2</v>
      </c>
      <c r="AU57" s="212">
        <f>AU56/AT56-1</f>
        <v>3.8277511961722466E-2</v>
      </c>
      <c r="AV57" s="226"/>
      <c r="AW57" s="212">
        <f>AW56/AU56-1</f>
        <v>3.9170506912442393E-2</v>
      </c>
      <c r="AX57" s="212">
        <f>AX56/AW56-1</f>
        <v>4.6563192904656381E-2</v>
      </c>
      <c r="AY57" s="212">
        <f>AY56/AX56-1</f>
        <v>4.8728813559322015E-2</v>
      </c>
      <c r="AZ57" s="212">
        <f>AZ56/AY56-1</f>
        <v>4.0404040404040442E-2</v>
      </c>
      <c r="BA57" s="226"/>
      <c r="BB57" s="212">
        <f>BB56/AZ56-1</f>
        <v>3.8834951456310662E-2</v>
      </c>
      <c r="BC57" s="212">
        <f>BC56/BB56-1</f>
        <v>3.5514018691588767E-2</v>
      </c>
      <c r="BD57" s="212">
        <f>BD56/BC56-1</f>
        <v>3.6281588447653501E-2</v>
      </c>
      <c r="BE57" s="212">
        <f>BE56/BD56-1</f>
        <v>2.943738024734377E-2</v>
      </c>
      <c r="BF57" s="226"/>
      <c r="BG57" s="212">
        <f>BG56/BE56-1</f>
        <v>4.0609137055837463E-2</v>
      </c>
      <c r="BH57" s="212">
        <f>BH56/BG56-1</f>
        <v>4.0650406504065151E-2</v>
      </c>
      <c r="BI57" s="212">
        <f>BI56/BH56-1</f>
        <v>3.4062500000000107E-2</v>
      </c>
      <c r="BJ57" s="212">
        <f>BJ56/BI56-1</f>
        <v>2.4478694469628248E-2</v>
      </c>
      <c r="BK57" s="226"/>
      <c r="BL57" s="212">
        <f>BL56/BJ56-1</f>
        <v>1.9174041297935096E-2</v>
      </c>
      <c r="BM57" s="212">
        <f>BM56/BL56-1</f>
        <v>1.881331403762676E-2</v>
      </c>
      <c r="BN57" s="212">
        <f>BN56/BM56-1</f>
        <v>1.7045454545454364E-2</v>
      </c>
      <c r="BO57" s="212">
        <f>BO56/BN56-1</f>
        <v>3.6312849162011274E-2</v>
      </c>
      <c r="BP57" s="226"/>
      <c r="BQ57" s="212">
        <f>BQ56/BO56-1</f>
        <v>4.7169811320754818E-2</v>
      </c>
      <c r="BR57" s="212">
        <f>BR56/BQ56-1</f>
        <v>0.1299871299871298</v>
      </c>
      <c r="BS57" s="212">
        <f>BS56/BR56-1</f>
        <v>0.18678815489749434</v>
      </c>
      <c r="BT57" s="212">
        <f>BT56/BS56-1</f>
        <v>0.24376199616122829</v>
      </c>
      <c r="BU57" s="226"/>
      <c r="BV57" s="21">
        <f>BV56/BT56-1</f>
        <v>0.16126543209876543</v>
      </c>
      <c r="BW57" s="21">
        <f>BW56/BV56-1</f>
        <v>8.9700996677740896E-2</v>
      </c>
      <c r="BX57" s="21">
        <f>BX56/BW56-1</f>
        <v>0.1707317073170731</v>
      </c>
      <c r="BY57" s="21">
        <f>BY56/BX56-1</f>
        <v>0.14583333333333326</v>
      </c>
      <c r="BZ57" s="226"/>
      <c r="CA57" s="21">
        <f>CA56/BY56-1</f>
        <v>0.13636363636363646</v>
      </c>
      <c r="CB57" s="21">
        <f>CB56/CA56-1</f>
        <v>0.1120000000000001</v>
      </c>
      <c r="CC57" s="21">
        <f>CC56/CB56-1</f>
        <v>0.13309352517985618</v>
      </c>
      <c r="CD57" s="21">
        <f>CD56/CC56-1</f>
        <v>8.2539682539682468E-2</v>
      </c>
      <c r="CE57" s="226"/>
      <c r="CF57" s="21">
        <f>CF56/CD56-1</f>
        <v>0.12023460410557174</v>
      </c>
      <c r="CG57" s="21">
        <f>CG56/CF56-1</f>
        <v>0.12565445026178002</v>
      </c>
      <c r="CH57" s="21">
        <f>CH56/CG56-1</f>
        <v>0.12325581395348828</v>
      </c>
      <c r="CI57" s="21">
        <f>CI56/CH56-1</f>
        <v>8.9026915113871619E-2</v>
      </c>
      <c r="CJ57" s="226"/>
      <c r="CK57" s="21">
        <f>CK56/CI56-1</f>
        <v>8.7452471482889704E-2</v>
      </c>
      <c r="CL57" s="21">
        <f>CL56/CK56-1</f>
        <v>8.3916083916083961E-2</v>
      </c>
      <c r="CM57" s="21">
        <f>CM56/CL56-1</f>
        <v>8.5483870967741904E-2</v>
      </c>
      <c r="CN57" s="21">
        <f>CN56/CM56-1</f>
        <v>7.1322436849925674E-2</v>
      </c>
      <c r="CO57" s="226"/>
    </row>
    <row r="58" spans="1:203" ht="13.9" customHeight="1">
      <c r="B58" s="20" t="s">
        <v>6</v>
      </c>
      <c r="C58" s="4"/>
      <c r="D58" s="22"/>
      <c r="E58" s="22"/>
      <c r="F58" s="22"/>
      <c r="G58" s="22"/>
      <c r="H58" s="4">
        <f t="shared" ref="H58:S58" si="94">H56/C56-1</f>
        <v>0.29411764705882359</v>
      </c>
      <c r="I58" s="22">
        <f t="shared" si="94"/>
        <v>0.21052631578947367</v>
      </c>
      <c r="J58" s="22">
        <f t="shared" si="94"/>
        <v>0.19999999999999996</v>
      </c>
      <c r="K58" s="22">
        <f t="shared" si="94"/>
        <v>0.19047619047619047</v>
      </c>
      <c r="L58" s="21">
        <f t="shared" si="94"/>
        <v>0.22727272727272729</v>
      </c>
      <c r="M58" s="4">
        <f t="shared" si="94"/>
        <v>0.22727272727272729</v>
      </c>
      <c r="N58" s="22">
        <f t="shared" si="94"/>
        <v>0.30434782608695654</v>
      </c>
      <c r="O58" s="22">
        <f t="shared" si="94"/>
        <v>0.41666666666666674</v>
      </c>
      <c r="P58" s="22">
        <f t="shared" si="94"/>
        <v>0.52</v>
      </c>
      <c r="Q58" s="21">
        <f t="shared" si="94"/>
        <v>0.59259259259259234</v>
      </c>
      <c r="R58" s="4">
        <f t="shared" si="94"/>
        <v>0.59259259259259234</v>
      </c>
      <c r="S58" s="22">
        <f t="shared" si="94"/>
        <v>0.59999999999999987</v>
      </c>
      <c r="T58" s="22">
        <f t="shared" ref="T58:Z58" si="95">T56/O56-1</f>
        <v>0.55882352941176472</v>
      </c>
      <c r="U58" s="22">
        <f t="shared" si="95"/>
        <v>0.57894736842105265</v>
      </c>
      <c r="V58" s="21">
        <f t="shared" si="95"/>
        <v>0.55813953488372103</v>
      </c>
      <c r="W58" s="211">
        <f t="shared" si="95"/>
        <v>0.55813953488372103</v>
      </c>
      <c r="X58" s="211">
        <f t="shared" si="95"/>
        <v>0.5625</v>
      </c>
      <c r="Y58" s="211">
        <f t="shared" si="95"/>
        <v>0.5660377358490567</v>
      </c>
      <c r="Z58" s="211">
        <f t="shared" si="95"/>
        <v>0.5</v>
      </c>
      <c r="AA58" s="212">
        <f t="shared" ref="AA58:AJ58" si="96">AA56/V56-1</f>
        <v>0.43283582089552231</v>
      </c>
      <c r="AB58" s="211">
        <f t="shared" si="96"/>
        <v>0.43283582089552231</v>
      </c>
      <c r="AC58" s="211">
        <f t="shared" si="96"/>
        <v>0.38666666666666671</v>
      </c>
      <c r="AD58" s="211">
        <f t="shared" si="96"/>
        <v>0.83132530120481896</v>
      </c>
      <c r="AE58" s="211">
        <f t="shared" si="96"/>
        <v>0.92222222222222228</v>
      </c>
      <c r="AF58" s="212">
        <f t="shared" si="96"/>
        <v>0.88541666666666696</v>
      </c>
      <c r="AG58" s="211">
        <f t="shared" si="96"/>
        <v>0.88541666666666696</v>
      </c>
      <c r="AH58" s="211">
        <f t="shared" si="96"/>
        <v>0.92307692307692291</v>
      </c>
      <c r="AI58" s="211">
        <f t="shared" si="96"/>
        <v>0.4407894736842104</v>
      </c>
      <c r="AJ58" s="211">
        <f t="shared" si="96"/>
        <v>0.38728323699421963</v>
      </c>
      <c r="AK58" s="212">
        <f t="shared" ref="AK58:AT58" si="97">AK56/AF56-1</f>
        <v>0.79558011049723754</v>
      </c>
      <c r="AL58" s="211">
        <f t="shared" si="97"/>
        <v>0.79558011049723754</v>
      </c>
      <c r="AM58" s="211">
        <f t="shared" si="97"/>
        <v>0.66000000000000014</v>
      </c>
      <c r="AN58" s="211">
        <f t="shared" si="97"/>
        <v>0.59360730593607314</v>
      </c>
      <c r="AO58" s="211">
        <f t="shared" si="97"/>
        <v>0.52916666666666679</v>
      </c>
      <c r="AP58" s="212">
        <f t="shared" si="97"/>
        <v>0.1630769230769229</v>
      </c>
      <c r="AQ58" s="211">
        <f t="shared" si="97"/>
        <v>0.1630769230769229</v>
      </c>
      <c r="AR58" s="211">
        <f t="shared" si="97"/>
        <v>0.17168674698795172</v>
      </c>
      <c r="AS58" s="211">
        <f t="shared" si="97"/>
        <v>0.15186246418338123</v>
      </c>
      <c r="AT58" s="211">
        <f t="shared" si="97"/>
        <v>0.13896457765667569</v>
      </c>
      <c r="AU58" s="212">
        <f t="shared" ref="AU58:BX58" si="98">AU56/AP56-1</f>
        <v>0.14814814814814814</v>
      </c>
      <c r="AV58" s="211">
        <f t="shared" si="98"/>
        <v>0.14814814814814814</v>
      </c>
      <c r="AW58" s="211">
        <f t="shared" si="98"/>
        <v>0.15938303341902316</v>
      </c>
      <c r="AX58" s="211">
        <f t="shared" si="98"/>
        <v>0.17412935323383083</v>
      </c>
      <c r="AY58" s="211">
        <f t="shared" si="98"/>
        <v>0.1842105263157896</v>
      </c>
      <c r="AZ58" s="212">
        <f t="shared" si="98"/>
        <v>0.18663594470046085</v>
      </c>
      <c r="BA58" s="211">
        <f t="shared" si="98"/>
        <v>0.18663594470046085</v>
      </c>
      <c r="BB58" s="211">
        <f t="shared" si="98"/>
        <v>0.1862527716186253</v>
      </c>
      <c r="BC58" s="211">
        <f t="shared" si="98"/>
        <v>0.17372881355932202</v>
      </c>
      <c r="BD58" s="211">
        <f t="shared" si="98"/>
        <v>0.15979797979797983</v>
      </c>
      <c r="BE58" s="212">
        <f t="shared" si="98"/>
        <v>0.14757281553398061</v>
      </c>
      <c r="BF58" s="211">
        <f t="shared" si="98"/>
        <v>0.14757281553398061</v>
      </c>
      <c r="BG58" s="211">
        <f t="shared" si="98"/>
        <v>0.14953271028037385</v>
      </c>
      <c r="BH58" s="211">
        <f t="shared" si="98"/>
        <v>0.15523465703971118</v>
      </c>
      <c r="BI58" s="211">
        <f t="shared" si="98"/>
        <v>0.15276084305870086</v>
      </c>
      <c r="BJ58" s="212">
        <f t="shared" si="98"/>
        <v>0.14720812182741105</v>
      </c>
      <c r="BK58" s="211">
        <f t="shared" si="98"/>
        <v>0.14720812182741105</v>
      </c>
      <c r="BL58" s="211">
        <f t="shared" si="98"/>
        <v>0.12357723577235769</v>
      </c>
      <c r="BM58" s="211">
        <f t="shared" si="98"/>
        <v>0.10000000000000009</v>
      </c>
      <c r="BN58" s="211">
        <f t="shared" si="98"/>
        <v>8.1897854336657305E-2</v>
      </c>
      <c r="BO58" s="212">
        <f t="shared" si="98"/>
        <v>9.4395280235988199E-2</v>
      </c>
      <c r="BP58" s="211">
        <f t="shared" si="98"/>
        <v>9.4395280235988199E-2</v>
      </c>
      <c r="BQ58" s="211">
        <f t="shared" si="98"/>
        <v>0.12445730824891466</v>
      </c>
      <c r="BR58" s="211">
        <f t="shared" si="98"/>
        <v>0.24715909090909083</v>
      </c>
      <c r="BS58" s="211">
        <f t="shared" si="98"/>
        <v>0.45530726256983245</v>
      </c>
      <c r="BT58" s="212">
        <f t="shared" si="98"/>
        <v>0.74663072776280304</v>
      </c>
      <c r="BU58" s="211">
        <f t="shared" si="98"/>
        <v>0.74663072776280304</v>
      </c>
      <c r="BV58" s="22">
        <f t="shared" si="98"/>
        <v>0.93693693693693691</v>
      </c>
      <c r="BW58" s="22">
        <f t="shared" si="98"/>
        <v>0.86788154897494318</v>
      </c>
      <c r="BX58" s="22">
        <f t="shared" si="98"/>
        <v>0.84261036468330119</v>
      </c>
      <c r="BY58" s="21">
        <f>BY56/BT56-1</f>
        <v>0.69753086419753085</v>
      </c>
      <c r="BZ58" s="211">
        <f>BZ56/BU56-1</f>
        <v>0.69753086419753085</v>
      </c>
      <c r="CA58" s="22">
        <f>CA56/BV56-1</f>
        <v>0.66112956810631229</v>
      </c>
      <c r="CB58" s="22">
        <f>CB56/BW56-1</f>
        <v>0.69512195121951215</v>
      </c>
      <c r="CC58" s="22">
        <f t="shared" ref="CC58" si="99">CC56/BX56-1</f>
        <v>0.640625</v>
      </c>
      <c r="CD58" s="21">
        <f>CD56/BY56-1</f>
        <v>0.55000000000000004</v>
      </c>
      <c r="CE58" s="211">
        <f>CE56/BZ56-1</f>
        <v>0.55090909090909079</v>
      </c>
      <c r="CF58" s="22">
        <f>CF56/CA56-1</f>
        <v>0.52800000000000002</v>
      </c>
      <c r="CG58" s="22">
        <f>CG56/CB56-1</f>
        <v>0.54676258992805749</v>
      </c>
      <c r="CH58" s="22">
        <f t="shared" ref="CH58" si="100">CH56/CC56-1</f>
        <v>0.53333333333333344</v>
      </c>
      <c r="CI58" s="21">
        <f>CI56/CD56-1</f>
        <v>0.54252199413489732</v>
      </c>
      <c r="CJ58" s="211">
        <f>CJ56/CE56-1</f>
        <v>0.54161781946072685</v>
      </c>
      <c r="CK58" s="22">
        <f t="shared" ref="CK58" si="101">CK56/CF56-1</f>
        <v>0.4973821989528795</v>
      </c>
      <c r="CL58" s="22">
        <f>CL56/CG56-1</f>
        <v>0.44186046511627897</v>
      </c>
      <c r="CM58" s="22">
        <f>CM56/CH56-1</f>
        <v>0.39337474120082816</v>
      </c>
      <c r="CN58" s="21">
        <f>CN56/CI56-1</f>
        <v>0.37072243346007605</v>
      </c>
      <c r="CO58" s="211">
        <f>CO56/CJ56-1</f>
        <v>0.37072243346007605</v>
      </c>
    </row>
    <row r="59" spans="1:203" ht="13.9" customHeight="1">
      <c r="B59" s="12" t="s">
        <v>202</v>
      </c>
      <c r="C59" s="4"/>
      <c r="D59" s="22"/>
      <c r="E59" s="22"/>
      <c r="F59" s="22"/>
      <c r="G59" s="22"/>
      <c r="H59" s="4"/>
      <c r="I59" s="22"/>
      <c r="J59" s="22"/>
      <c r="K59" s="22"/>
      <c r="L59" s="21"/>
      <c r="M59" s="39" t="s">
        <v>25</v>
      </c>
      <c r="N59" s="39" t="s">
        <v>25</v>
      </c>
      <c r="O59" s="39" t="s">
        <v>25</v>
      </c>
      <c r="P59" s="39" t="s">
        <v>25</v>
      </c>
      <c r="Q59" s="39" t="s">
        <v>25</v>
      </c>
      <c r="R59" s="39" t="s">
        <v>25</v>
      </c>
      <c r="S59" s="39" t="s">
        <v>25</v>
      </c>
      <c r="T59" s="39" t="s">
        <v>25</v>
      </c>
      <c r="U59" s="39" t="s">
        <v>25</v>
      </c>
      <c r="V59" s="39" t="s">
        <v>25</v>
      </c>
      <c r="W59" s="236" t="s">
        <v>25</v>
      </c>
      <c r="X59" s="236" t="s">
        <v>25</v>
      </c>
      <c r="Y59" s="236" t="s">
        <v>25</v>
      </c>
      <c r="Z59" s="236" t="s">
        <v>25</v>
      </c>
      <c r="AA59" s="236" t="s">
        <v>25</v>
      </c>
      <c r="AB59" s="236" t="s">
        <v>25</v>
      </c>
      <c r="AC59" s="236" t="s">
        <v>25</v>
      </c>
      <c r="AD59" s="236" t="s">
        <v>25</v>
      </c>
      <c r="AE59" s="236" t="s">
        <v>25</v>
      </c>
      <c r="AF59" s="236" t="s">
        <v>25</v>
      </c>
      <c r="AG59" s="236" t="s">
        <v>25</v>
      </c>
      <c r="AH59" s="236" t="s">
        <v>25</v>
      </c>
      <c r="AI59" s="236" t="s">
        <v>25</v>
      </c>
      <c r="AJ59" s="236" t="s">
        <v>25</v>
      </c>
      <c r="AK59" s="236" t="s">
        <v>25</v>
      </c>
      <c r="AL59" s="236" t="s">
        <v>25</v>
      </c>
      <c r="AM59" s="236" t="s">
        <v>25</v>
      </c>
      <c r="AN59" s="236" t="s">
        <v>25</v>
      </c>
      <c r="AO59" s="236" t="s">
        <v>25</v>
      </c>
      <c r="AP59" s="236" t="s">
        <v>25</v>
      </c>
      <c r="AQ59" s="236" t="s">
        <v>25</v>
      </c>
      <c r="AR59" s="236" t="s">
        <v>25</v>
      </c>
      <c r="AS59" s="236" t="s">
        <v>25</v>
      </c>
      <c r="AT59" s="236" t="s">
        <v>25</v>
      </c>
      <c r="AU59" s="236" t="s">
        <v>25</v>
      </c>
      <c r="AV59" s="236" t="s">
        <v>25</v>
      </c>
      <c r="AW59" s="236" t="s">
        <v>25</v>
      </c>
      <c r="AX59" s="236" t="s">
        <v>25</v>
      </c>
      <c r="AY59" s="236" t="s">
        <v>25</v>
      </c>
      <c r="AZ59" s="236" t="s">
        <v>25</v>
      </c>
      <c r="BA59" s="236" t="s">
        <v>25</v>
      </c>
      <c r="BB59" s="217" t="s">
        <v>24</v>
      </c>
      <c r="BC59" s="217" t="s">
        <v>24</v>
      </c>
      <c r="BD59" s="217" t="s">
        <v>24</v>
      </c>
      <c r="BE59" s="210">
        <v>100</v>
      </c>
      <c r="BF59" s="234">
        <v>100</v>
      </c>
      <c r="BG59" s="210">
        <v>159</v>
      </c>
      <c r="BH59" s="210">
        <v>215</v>
      </c>
      <c r="BI59" s="210">
        <v>272</v>
      </c>
      <c r="BJ59" s="210">
        <v>321</v>
      </c>
      <c r="BK59" s="234">
        <v>321</v>
      </c>
      <c r="BL59" s="210">
        <v>378</v>
      </c>
      <c r="BM59" s="210">
        <v>433</v>
      </c>
      <c r="BN59" s="210">
        <v>487</v>
      </c>
      <c r="BO59" s="210">
        <f>BP59</f>
        <v>537</v>
      </c>
      <c r="BP59" s="234">
        <v>537</v>
      </c>
      <c r="BQ59" s="210">
        <v>579</v>
      </c>
      <c r="BR59" s="210">
        <v>609</v>
      </c>
      <c r="BS59" s="210">
        <v>635</v>
      </c>
      <c r="BT59" s="210">
        <f>BU59</f>
        <v>666</v>
      </c>
      <c r="BU59" s="234">
        <v>666</v>
      </c>
      <c r="BV59" s="19">
        <v>688</v>
      </c>
      <c r="BW59" s="19">
        <v>708</v>
      </c>
      <c r="BX59" s="19">
        <v>733</v>
      </c>
      <c r="BY59" s="19">
        <f>BZ59</f>
        <v>764</v>
      </c>
      <c r="BZ59" s="234">
        <v>764</v>
      </c>
      <c r="CA59" s="19">
        <v>786</v>
      </c>
      <c r="CB59" s="19">
        <v>801</v>
      </c>
      <c r="CC59" s="19">
        <v>819</v>
      </c>
      <c r="CD59" s="19">
        <f>CE59</f>
        <v>831</v>
      </c>
      <c r="CE59" s="234">
        <v>831</v>
      </c>
      <c r="CF59" s="19">
        <v>837</v>
      </c>
      <c r="CG59" s="19">
        <v>846</v>
      </c>
      <c r="CH59" s="19">
        <v>858</v>
      </c>
      <c r="CI59" s="19">
        <f>CJ59</f>
        <v>862</v>
      </c>
      <c r="CJ59" s="234">
        <v>862</v>
      </c>
      <c r="CK59" s="19">
        <v>864</v>
      </c>
      <c r="CL59" s="19">
        <v>870</v>
      </c>
      <c r="CM59" s="19">
        <v>873</v>
      </c>
      <c r="CN59" s="19">
        <f>CO59</f>
        <v>875</v>
      </c>
      <c r="CO59" s="234">
        <v>875</v>
      </c>
    </row>
    <row r="60" spans="1:203" ht="13.9" customHeight="1">
      <c r="B60" s="20" t="s">
        <v>310</v>
      </c>
      <c r="C60" s="4"/>
      <c r="D60" s="22"/>
      <c r="E60" s="22"/>
      <c r="F60" s="22"/>
      <c r="G60" s="22"/>
      <c r="H60" s="4"/>
      <c r="I60" s="22"/>
      <c r="J60" s="22"/>
      <c r="K60" s="22"/>
      <c r="L60" s="21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36"/>
      <c r="AT60" s="236"/>
      <c r="AU60" s="236"/>
      <c r="AV60" s="236"/>
      <c r="AW60" s="236"/>
      <c r="AX60" s="236"/>
      <c r="AY60" s="236"/>
      <c r="AZ60" s="236"/>
      <c r="BA60" s="236"/>
      <c r="BB60" s="217"/>
      <c r="BC60" s="217"/>
      <c r="BD60" s="217"/>
      <c r="BE60" s="210"/>
      <c r="BF60" s="234"/>
      <c r="BG60" s="262">
        <f>BG59-BF59</f>
        <v>59</v>
      </c>
      <c r="BH60" s="262">
        <f>BH59-BG59</f>
        <v>56</v>
      </c>
      <c r="BI60" s="262">
        <f>BI59-BH59</f>
        <v>57</v>
      </c>
      <c r="BJ60" s="262">
        <f>BJ59-BI59</f>
        <v>49</v>
      </c>
      <c r="BK60" s="263"/>
      <c r="BL60" s="262">
        <f>BL59-BJ59</f>
        <v>57</v>
      </c>
      <c r="BM60" s="262">
        <f>BM59-BL59</f>
        <v>55</v>
      </c>
      <c r="BN60" s="262">
        <f>BN59-BM59</f>
        <v>54</v>
      </c>
      <c r="BO60" s="262">
        <f>BO59-BN59</f>
        <v>50</v>
      </c>
      <c r="BP60" s="263"/>
      <c r="BQ60" s="262">
        <f>BQ59-BO59</f>
        <v>42</v>
      </c>
      <c r="BR60" s="262">
        <f>BR59-BQ59</f>
        <v>30</v>
      </c>
      <c r="BS60" s="262">
        <f>BS59-BR59</f>
        <v>26</v>
      </c>
      <c r="BT60" s="262">
        <f>BT59-BS59</f>
        <v>31</v>
      </c>
      <c r="BU60" s="264">
        <f>BU59-BP59</f>
        <v>129</v>
      </c>
      <c r="BV60" s="111">
        <f>BV59-BT59</f>
        <v>22</v>
      </c>
      <c r="BW60" s="111">
        <f>BW59-BV59</f>
        <v>20</v>
      </c>
      <c r="BX60" s="111">
        <f>BX59-BW59</f>
        <v>25</v>
      </c>
      <c r="BY60" s="111">
        <f>BY59-BX59</f>
        <v>31</v>
      </c>
      <c r="BZ60" s="264">
        <f>BZ59-BU59</f>
        <v>98</v>
      </c>
      <c r="CA60" s="111">
        <f>CA59-BY59</f>
        <v>22</v>
      </c>
      <c r="CB60" s="111">
        <f>CB59-CA59</f>
        <v>15</v>
      </c>
      <c r="CC60" s="111">
        <f>CC59-CB59</f>
        <v>18</v>
      </c>
      <c r="CD60" s="111">
        <f>CD59-CC59</f>
        <v>12</v>
      </c>
      <c r="CE60" s="264">
        <f>CE59-BZ59</f>
        <v>67</v>
      </c>
      <c r="CF60" s="111">
        <f>CF59-CD59</f>
        <v>6</v>
      </c>
      <c r="CG60" s="111">
        <f>CG59-CF59</f>
        <v>9</v>
      </c>
      <c r="CH60" s="111">
        <f>CH59-CG59</f>
        <v>12</v>
      </c>
      <c r="CI60" s="111">
        <f>CI59-CH59</f>
        <v>4</v>
      </c>
      <c r="CJ60" s="264">
        <f>CJ59-CE59</f>
        <v>31</v>
      </c>
      <c r="CK60" s="111">
        <f>CK59-CI59</f>
        <v>2</v>
      </c>
      <c r="CL60" s="111">
        <f>CL59-CK59</f>
        <v>6</v>
      </c>
      <c r="CM60" s="111">
        <f>CM59-CL59</f>
        <v>3</v>
      </c>
      <c r="CN60" s="111">
        <f>CN59-CM59</f>
        <v>2</v>
      </c>
      <c r="CO60" s="264">
        <f>CO59-CJ59</f>
        <v>13</v>
      </c>
    </row>
    <row r="61" spans="1:203" ht="13.9" customHeight="1">
      <c r="B61" s="12"/>
      <c r="C61" s="4"/>
      <c r="D61" s="22"/>
      <c r="E61" s="22"/>
      <c r="F61" s="22"/>
      <c r="G61" s="22"/>
      <c r="H61" s="4"/>
      <c r="I61" s="22"/>
      <c r="J61" s="22"/>
      <c r="K61" s="22"/>
      <c r="L61" s="21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17"/>
      <c r="BC61" s="217"/>
      <c r="BD61" s="217"/>
      <c r="BE61" s="210"/>
      <c r="BF61" s="234"/>
      <c r="BG61" s="210"/>
      <c r="BH61" s="210"/>
      <c r="BI61" s="210"/>
      <c r="BJ61" s="210"/>
      <c r="BK61" s="234"/>
      <c r="BL61" s="210"/>
      <c r="BM61" s="210"/>
      <c r="BN61" s="210"/>
      <c r="BO61" s="210"/>
      <c r="BP61" s="234"/>
      <c r="BQ61" s="210"/>
      <c r="BR61" s="210"/>
      <c r="BS61" s="210"/>
      <c r="BT61" s="210"/>
      <c r="BU61" s="234"/>
      <c r="BV61" s="19"/>
      <c r="BW61" s="19"/>
      <c r="BX61" s="19"/>
      <c r="BY61" s="19"/>
      <c r="BZ61" s="234"/>
      <c r="CA61" s="19"/>
      <c r="CB61" s="19"/>
      <c r="CC61" s="19"/>
      <c r="CD61" s="19"/>
      <c r="CE61" s="234"/>
      <c r="CF61" s="19"/>
      <c r="CG61" s="19"/>
      <c r="CH61" s="19"/>
      <c r="CI61" s="19"/>
      <c r="CJ61" s="234"/>
      <c r="CK61" s="19"/>
      <c r="CL61" s="19"/>
      <c r="CM61" s="19"/>
      <c r="CN61" s="19"/>
      <c r="CO61" s="234"/>
    </row>
    <row r="62" spans="1:203" ht="13.9" customHeight="1">
      <c r="B62" s="12" t="s">
        <v>208</v>
      </c>
      <c r="C62" s="4"/>
      <c r="D62" s="22"/>
      <c r="E62" s="22"/>
      <c r="F62" s="22"/>
      <c r="G62" s="22"/>
      <c r="H62" s="4"/>
      <c r="I62" s="22"/>
      <c r="J62" s="22"/>
      <c r="K62" s="22"/>
      <c r="L62" s="21"/>
      <c r="M62" s="4"/>
      <c r="N62" s="22"/>
      <c r="O62" s="22"/>
      <c r="P62" s="22"/>
      <c r="Q62" s="21"/>
      <c r="R62" s="4"/>
      <c r="S62" s="22"/>
      <c r="T62" s="22"/>
      <c r="U62" s="22"/>
      <c r="V62" s="21"/>
      <c r="W62" s="236" t="s">
        <v>25</v>
      </c>
      <c r="X62" s="236" t="s">
        <v>25</v>
      </c>
      <c r="Y62" s="236" t="s">
        <v>25</v>
      </c>
      <c r="Z62" s="236" t="s">
        <v>25</v>
      </c>
      <c r="AA62" s="236" t="s">
        <v>25</v>
      </c>
      <c r="AB62" s="236" t="s">
        <v>25</v>
      </c>
      <c r="AC62" s="236" t="s">
        <v>25</v>
      </c>
      <c r="AD62" s="236" t="s">
        <v>25</v>
      </c>
      <c r="AE62" s="236" t="s">
        <v>25</v>
      </c>
      <c r="AF62" s="236" t="s">
        <v>25</v>
      </c>
      <c r="AG62" s="236" t="s">
        <v>25</v>
      </c>
      <c r="AH62" s="236" t="s">
        <v>25</v>
      </c>
      <c r="AI62" s="236" t="s">
        <v>25</v>
      </c>
      <c r="AJ62" s="236" t="s">
        <v>25</v>
      </c>
      <c r="AK62" s="236" t="s">
        <v>25</v>
      </c>
      <c r="AL62" s="236" t="s">
        <v>25</v>
      </c>
      <c r="AM62" s="236" t="s">
        <v>25</v>
      </c>
      <c r="AN62" s="236" t="s">
        <v>25</v>
      </c>
      <c r="AO62" s="236" t="s">
        <v>25</v>
      </c>
      <c r="AP62" s="236" t="s">
        <v>25</v>
      </c>
      <c r="AQ62" s="236" t="s">
        <v>25</v>
      </c>
      <c r="AR62" s="236" t="s">
        <v>25</v>
      </c>
      <c r="AS62" s="236" t="s">
        <v>25</v>
      </c>
      <c r="AT62" s="236" t="s">
        <v>25</v>
      </c>
      <c r="AU62" s="236" t="s">
        <v>25</v>
      </c>
      <c r="AV62" s="236" t="s">
        <v>25</v>
      </c>
      <c r="AW62" s="236" t="s">
        <v>25</v>
      </c>
      <c r="AX62" s="236" t="s">
        <v>25</v>
      </c>
      <c r="AY62" s="236" t="s">
        <v>25</v>
      </c>
      <c r="AZ62" s="236" t="s">
        <v>25</v>
      </c>
      <c r="BA62" s="236" t="s">
        <v>25</v>
      </c>
      <c r="BB62" s="211"/>
      <c r="BC62" s="211"/>
      <c r="BD62" s="211"/>
      <c r="BE62" s="212"/>
      <c r="BF62" s="236" t="s">
        <v>25</v>
      </c>
      <c r="BG62" s="210">
        <v>60</v>
      </c>
      <c r="BH62" s="210">
        <v>77</v>
      </c>
      <c r="BI62" s="210">
        <v>100</v>
      </c>
      <c r="BJ62" s="210">
        <v>116</v>
      </c>
      <c r="BK62" s="234">
        <v>116</v>
      </c>
      <c r="BL62" s="210">
        <v>144</v>
      </c>
      <c r="BM62" s="210">
        <v>177</v>
      </c>
      <c r="BN62" s="210">
        <v>218</v>
      </c>
      <c r="BO62" s="210">
        <f>BP62</f>
        <v>248</v>
      </c>
      <c r="BP62" s="234">
        <v>248</v>
      </c>
      <c r="BQ62" s="210">
        <v>283</v>
      </c>
      <c r="BR62" s="210">
        <v>309</v>
      </c>
      <c r="BS62" s="210">
        <v>334</v>
      </c>
      <c r="BT62" s="210">
        <f>BU62</f>
        <v>356</v>
      </c>
      <c r="BU62" s="234">
        <v>356</v>
      </c>
      <c r="BV62" s="19">
        <v>374</v>
      </c>
      <c r="BW62" s="19">
        <v>386</v>
      </c>
      <c r="BX62" s="19">
        <v>402</v>
      </c>
      <c r="BY62" s="19">
        <f>BZ62</f>
        <v>416</v>
      </c>
      <c r="BZ62" s="234">
        <v>416</v>
      </c>
      <c r="CA62" s="19">
        <v>425</v>
      </c>
      <c r="CB62" s="19">
        <v>430</v>
      </c>
      <c r="CC62" s="19">
        <v>438</v>
      </c>
      <c r="CD62" s="19">
        <f>CE62</f>
        <v>442</v>
      </c>
      <c r="CE62" s="234">
        <v>442</v>
      </c>
      <c r="CF62" s="19">
        <v>445</v>
      </c>
      <c r="CG62" s="19">
        <v>449</v>
      </c>
      <c r="CH62" s="19">
        <v>457</v>
      </c>
      <c r="CI62" s="19">
        <f>CJ62</f>
        <v>462</v>
      </c>
      <c r="CJ62" s="234">
        <v>462</v>
      </c>
      <c r="CK62" s="19">
        <v>466</v>
      </c>
      <c r="CL62" s="19">
        <v>470</v>
      </c>
      <c r="CM62" s="19">
        <v>479</v>
      </c>
      <c r="CN62" s="19">
        <f>CO62</f>
        <v>474</v>
      </c>
      <c r="CO62" s="234">
        <v>474</v>
      </c>
    </row>
    <row r="63" spans="1:203" ht="13.9" customHeight="1">
      <c r="B63" s="20" t="s">
        <v>310</v>
      </c>
      <c r="R63" s="39"/>
      <c r="W63" s="211"/>
      <c r="X63" s="211"/>
      <c r="Y63" s="211"/>
      <c r="Z63" s="211"/>
      <c r="AA63" s="212"/>
      <c r="AB63" s="211"/>
      <c r="AC63" s="211"/>
      <c r="AD63" s="211"/>
      <c r="AE63" s="211"/>
      <c r="AF63" s="212"/>
      <c r="AG63" s="211"/>
      <c r="AH63" s="211"/>
      <c r="AI63" s="211"/>
      <c r="AJ63" s="211"/>
      <c r="AK63" s="212"/>
      <c r="AL63" s="211"/>
      <c r="AM63" s="211"/>
      <c r="AN63" s="211"/>
      <c r="AO63" s="211"/>
      <c r="AP63" s="212"/>
      <c r="AQ63" s="211"/>
      <c r="AR63" s="211"/>
      <c r="AS63" s="211"/>
      <c r="AT63" s="211"/>
      <c r="AU63" s="212"/>
      <c r="AV63" s="211"/>
      <c r="AW63" s="211"/>
      <c r="AX63" s="211"/>
      <c r="AY63" s="211"/>
      <c r="AZ63" s="212"/>
      <c r="BA63" s="211"/>
      <c r="BB63" s="211"/>
      <c r="BC63" s="211"/>
      <c r="BD63" s="211"/>
      <c r="BE63" s="212"/>
      <c r="BF63" s="211"/>
      <c r="BG63" s="226"/>
      <c r="BH63" s="262">
        <f>BH62-BG62</f>
        <v>17</v>
      </c>
      <c r="BI63" s="262">
        <f>BI62-BH62</f>
        <v>23</v>
      </c>
      <c r="BJ63" s="262">
        <f>BJ62-BI62</f>
        <v>16</v>
      </c>
      <c r="BK63" s="263"/>
      <c r="BL63" s="262">
        <f>BL62-BJ62</f>
        <v>28</v>
      </c>
      <c r="BM63" s="262">
        <f>BM62-BL62</f>
        <v>33</v>
      </c>
      <c r="BN63" s="262">
        <f>BN62-BM62</f>
        <v>41</v>
      </c>
      <c r="BO63" s="262">
        <f>BO62-BN62</f>
        <v>30</v>
      </c>
      <c r="BP63" s="263"/>
      <c r="BQ63" s="262">
        <f>BQ62-BO62</f>
        <v>35</v>
      </c>
      <c r="BR63" s="262">
        <f>BR62-BQ62</f>
        <v>26</v>
      </c>
      <c r="BS63" s="262">
        <f>BS62-BR62</f>
        <v>25</v>
      </c>
      <c r="BT63" s="262">
        <f>BT62-BS62</f>
        <v>22</v>
      </c>
      <c r="BU63" s="264">
        <f>BU62-BP62</f>
        <v>108</v>
      </c>
      <c r="BV63" s="111">
        <f>BV62-BT62</f>
        <v>18</v>
      </c>
      <c r="BW63" s="111">
        <f>BW62-BV62</f>
        <v>12</v>
      </c>
      <c r="BX63" s="111">
        <f>BX62-BW62</f>
        <v>16</v>
      </c>
      <c r="BY63" s="111">
        <f>BY62-BX62</f>
        <v>14</v>
      </c>
      <c r="BZ63" s="264">
        <f>BZ62-BU62</f>
        <v>60</v>
      </c>
      <c r="CA63" s="111">
        <f>CA62-BY62</f>
        <v>9</v>
      </c>
      <c r="CB63" s="111">
        <f>CB62-CA62</f>
        <v>5</v>
      </c>
      <c r="CC63" s="111">
        <f>CC62-CB62</f>
        <v>8</v>
      </c>
      <c r="CD63" s="111">
        <f>CD62-CC62</f>
        <v>4</v>
      </c>
      <c r="CE63" s="264">
        <f>CE62-BZ62</f>
        <v>26</v>
      </c>
      <c r="CF63" s="111">
        <f>CF62-CD62</f>
        <v>3</v>
      </c>
      <c r="CG63" s="111">
        <f>CG62-CF62</f>
        <v>4</v>
      </c>
      <c r="CH63" s="111">
        <f>CH62-CG62</f>
        <v>8</v>
      </c>
      <c r="CI63" s="111">
        <f>CI62-CH62</f>
        <v>5</v>
      </c>
      <c r="CJ63" s="264">
        <f>CJ62-CE62</f>
        <v>20</v>
      </c>
      <c r="CK63" s="111">
        <f>CK62-CI62</f>
        <v>4</v>
      </c>
      <c r="CL63" s="111">
        <f>CL62-CK62</f>
        <v>4</v>
      </c>
      <c r="CM63" s="111">
        <f>CM62-CL62</f>
        <v>9</v>
      </c>
      <c r="CN63" s="111">
        <f>CN62-CM62</f>
        <v>-5</v>
      </c>
      <c r="CO63" s="264">
        <f>CO62-CJ62</f>
        <v>12</v>
      </c>
    </row>
    <row r="64" spans="1:203" s="11" customFormat="1" ht="4.1500000000000004" customHeight="1">
      <c r="A64" s="1"/>
      <c r="B64" s="178"/>
      <c r="C64" s="178"/>
      <c r="D64" s="189"/>
      <c r="E64" s="189"/>
      <c r="F64" s="189"/>
      <c r="G64" s="189"/>
      <c r="H64" s="189"/>
      <c r="I64" s="189"/>
      <c r="J64" s="189"/>
      <c r="K64" s="189"/>
      <c r="L64" s="179"/>
      <c r="M64" s="179"/>
      <c r="N64" s="189"/>
      <c r="O64" s="189"/>
      <c r="P64" s="189"/>
      <c r="Q64" s="179"/>
      <c r="R64" s="179"/>
      <c r="S64" s="189"/>
      <c r="T64" s="189"/>
      <c r="U64" s="189"/>
      <c r="V64" s="179"/>
      <c r="W64" s="179"/>
      <c r="X64" s="189"/>
      <c r="Y64" s="189"/>
      <c r="Z64" s="189"/>
      <c r="AA64" s="179"/>
      <c r="AB64" s="179"/>
      <c r="AC64" s="189"/>
      <c r="AD64" s="189"/>
      <c r="AE64" s="189"/>
      <c r="AF64" s="179"/>
      <c r="AG64" s="179"/>
      <c r="AH64" s="189"/>
      <c r="AI64" s="189"/>
      <c r="AJ64" s="189"/>
      <c r="AK64" s="179"/>
      <c r="AL64" s="179"/>
      <c r="AM64" s="189"/>
      <c r="AN64" s="189"/>
      <c r="AO64" s="189"/>
      <c r="AP64" s="179"/>
      <c r="AQ64" s="179"/>
      <c r="AR64" s="189"/>
      <c r="AS64" s="189"/>
      <c r="AT64" s="189"/>
      <c r="AU64" s="179"/>
      <c r="AV64" s="179"/>
      <c r="AW64" s="189"/>
      <c r="AX64" s="189"/>
      <c r="AY64" s="189"/>
      <c r="AZ64" s="179"/>
      <c r="BA64" s="179"/>
      <c r="BB64" s="189"/>
      <c r="BC64" s="189"/>
      <c r="BD64" s="189"/>
      <c r="BE64" s="179"/>
      <c r="BF64" s="179"/>
      <c r="BG64" s="189"/>
      <c r="BH64" s="189"/>
      <c r="BI64" s="189"/>
      <c r="BJ64" s="179"/>
      <c r="BK64" s="179"/>
      <c r="BL64" s="189"/>
      <c r="BM64" s="189"/>
      <c r="BN64" s="189"/>
      <c r="BO64" s="179"/>
      <c r="BP64" s="179"/>
      <c r="BQ64" s="189"/>
      <c r="BR64" s="189"/>
      <c r="BS64" s="189"/>
      <c r="BT64" s="179"/>
      <c r="BU64" s="179"/>
      <c r="BV64" s="189"/>
      <c r="BW64" s="189"/>
      <c r="BX64" s="189"/>
      <c r="BY64" s="179"/>
      <c r="BZ64" s="179"/>
      <c r="CA64" s="189"/>
      <c r="CB64" s="189"/>
      <c r="CC64" s="189"/>
      <c r="CD64" s="179"/>
      <c r="CE64" s="179"/>
      <c r="CF64" s="189"/>
      <c r="CG64" s="189"/>
      <c r="CH64" s="189"/>
      <c r="CI64" s="179"/>
      <c r="CJ64" s="179"/>
      <c r="CK64" s="189"/>
      <c r="CL64" s="189"/>
      <c r="CM64" s="189"/>
      <c r="CN64" s="179"/>
      <c r="CO64" s="179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</row>
    <row r="65" spans="1:203" ht="13.9" customHeight="1">
      <c r="B65" s="20"/>
      <c r="R65" s="39"/>
      <c r="W65" s="211"/>
      <c r="X65" s="211"/>
      <c r="Y65" s="211"/>
      <c r="Z65" s="211"/>
      <c r="AA65" s="212"/>
      <c r="AB65" s="211"/>
      <c r="AC65" s="211"/>
      <c r="AD65" s="211"/>
      <c r="AE65" s="211"/>
      <c r="AF65" s="212"/>
      <c r="AG65" s="211"/>
      <c r="AH65" s="211"/>
      <c r="AI65" s="211"/>
      <c r="AJ65" s="211"/>
      <c r="AK65" s="212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</row>
    <row r="66" spans="1:203" s="11" customFormat="1" ht="4.1500000000000004" customHeight="1">
      <c r="A66" s="1"/>
      <c r="B66" s="178"/>
      <c r="C66" s="178"/>
      <c r="D66" s="189"/>
      <c r="E66" s="189"/>
      <c r="F66" s="189"/>
      <c r="G66" s="189"/>
      <c r="H66" s="189"/>
      <c r="I66" s="189"/>
      <c r="J66" s="189"/>
      <c r="K66" s="189"/>
      <c r="L66" s="179"/>
      <c r="M66" s="179"/>
      <c r="N66" s="189"/>
      <c r="O66" s="189"/>
      <c r="P66" s="189"/>
      <c r="Q66" s="179"/>
      <c r="R66" s="179"/>
      <c r="S66" s="189"/>
      <c r="T66" s="189"/>
      <c r="U66" s="189"/>
      <c r="V66" s="179"/>
      <c r="W66" s="179"/>
      <c r="X66" s="189"/>
      <c r="Y66" s="189"/>
      <c r="Z66" s="189"/>
      <c r="AA66" s="179"/>
      <c r="AB66" s="179"/>
      <c r="AC66" s="189"/>
      <c r="AD66" s="189"/>
      <c r="AE66" s="189"/>
      <c r="AF66" s="179"/>
      <c r="AG66" s="179"/>
      <c r="AH66" s="189"/>
      <c r="AI66" s="189"/>
      <c r="AJ66" s="189"/>
      <c r="AK66" s="179"/>
      <c r="AL66" s="179"/>
      <c r="AM66" s="189"/>
      <c r="AN66" s="189"/>
      <c r="AO66" s="189"/>
      <c r="AP66" s="179"/>
      <c r="AQ66" s="179"/>
      <c r="AR66" s="189"/>
      <c r="AS66" s="189"/>
      <c r="AT66" s="189"/>
      <c r="AU66" s="179"/>
      <c r="AV66" s="179"/>
      <c r="AW66" s="189"/>
      <c r="AX66" s="189"/>
      <c r="AY66" s="189"/>
      <c r="AZ66" s="179"/>
      <c r="BA66" s="179"/>
      <c r="BB66" s="189"/>
      <c r="BC66" s="189"/>
      <c r="BD66" s="189"/>
      <c r="BE66" s="179"/>
      <c r="BF66" s="179"/>
      <c r="BG66" s="189"/>
      <c r="BH66" s="189"/>
      <c r="BI66" s="189"/>
      <c r="BJ66" s="179"/>
      <c r="BK66" s="179"/>
      <c r="BL66" s="189"/>
      <c r="BM66" s="189"/>
      <c r="BN66" s="189"/>
      <c r="BO66" s="179"/>
      <c r="BP66" s="179"/>
      <c r="BQ66" s="189"/>
      <c r="BR66" s="189"/>
      <c r="BS66" s="189"/>
      <c r="BT66" s="179"/>
      <c r="BU66" s="179"/>
      <c r="BV66" s="189"/>
      <c r="BW66" s="189"/>
      <c r="BX66" s="189"/>
      <c r="BY66" s="179"/>
      <c r="BZ66" s="179"/>
      <c r="CA66" s="189"/>
      <c r="CB66" s="189"/>
      <c r="CC66" s="189"/>
      <c r="CD66" s="179"/>
      <c r="CE66" s="179"/>
      <c r="CF66" s="189"/>
      <c r="CG66" s="189"/>
      <c r="CH66" s="189"/>
      <c r="CI66" s="179"/>
      <c r="CJ66" s="179"/>
      <c r="CK66" s="189"/>
      <c r="CL66" s="189"/>
      <c r="CM66" s="189"/>
      <c r="CN66" s="179"/>
      <c r="CO66" s="179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</row>
    <row r="67" spans="1:203" ht="25.35" customHeight="1">
      <c r="B67" s="177" t="s">
        <v>26</v>
      </c>
      <c r="C67" s="175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  <c r="BD67" s="176"/>
      <c r="BE67" s="176"/>
      <c r="BF67" s="176"/>
      <c r="BG67" s="176"/>
      <c r="BH67" s="176"/>
      <c r="BI67" s="176"/>
      <c r="BJ67" s="176"/>
      <c r="BK67" s="176"/>
      <c r="BL67" s="176"/>
      <c r="BM67" s="176"/>
      <c r="BN67" s="176"/>
      <c r="BO67" s="176"/>
      <c r="BP67" s="176"/>
      <c r="BQ67" s="176"/>
      <c r="BR67" s="176"/>
      <c r="BS67" s="176"/>
      <c r="BT67" s="176"/>
      <c r="BU67" s="176"/>
      <c r="BV67" s="176"/>
      <c r="BW67" s="176"/>
      <c r="BX67" s="176"/>
      <c r="BY67" s="176"/>
      <c r="BZ67" s="176"/>
      <c r="CA67" s="176"/>
      <c r="CB67" s="176"/>
      <c r="CC67" s="176"/>
      <c r="CD67" s="176"/>
      <c r="CE67" s="176"/>
      <c r="CF67" s="176"/>
      <c r="CG67" s="176"/>
      <c r="CH67" s="176"/>
      <c r="CI67" s="176"/>
      <c r="CJ67" s="176"/>
      <c r="CK67" s="176"/>
      <c r="CL67" s="176"/>
      <c r="CM67" s="176"/>
      <c r="CN67" s="176"/>
      <c r="CO67" s="176"/>
    </row>
    <row r="68" spans="1:203" ht="13.9" customHeight="1">
      <c r="B68" s="201" t="s">
        <v>308</v>
      </c>
      <c r="C68" s="201"/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83"/>
      <c r="S68" s="283"/>
      <c r="T68" s="283"/>
      <c r="U68" s="283"/>
      <c r="V68" s="283"/>
      <c r="W68" s="283"/>
      <c r="X68" s="283"/>
      <c r="Y68" s="283"/>
      <c r="Z68" s="283"/>
      <c r="AA68" s="283"/>
      <c r="AB68" s="283"/>
      <c r="AC68" s="283"/>
      <c r="AD68" s="283"/>
      <c r="AE68" s="283"/>
      <c r="AF68" s="283"/>
      <c r="AG68" s="283"/>
      <c r="AH68" s="283"/>
      <c r="AI68" s="283"/>
      <c r="AJ68" s="283"/>
      <c r="AK68" s="283"/>
      <c r="AL68" s="283"/>
      <c r="AM68" s="283"/>
      <c r="AN68" s="283"/>
      <c r="AO68" s="283"/>
      <c r="AP68" s="283"/>
      <c r="AQ68" s="283"/>
      <c r="AR68" s="283"/>
      <c r="AS68" s="283"/>
      <c r="AT68" s="283"/>
      <c r="AU68" s="283"/>
      <c r="AV68" s="283"/>
      <c r="AW68" s="283"/>
      <c r="AX68" s="283"/>
      <c r="AY68" s="283"/>
      <c r="AZ68" s="283"/>
      <c r="BA68" s="283"/>
      <c r="BB68" s="283"/>
      <c r="BC68" s="283"/>
      <c r="BD68" s="283"/>
      <c r="BE68" s="283"/>
      <c r="BF68" s="283"/>
      <c r="BG68" s="283"/>
      <c r="BH68" s="283"/>
      <c r="BI68" s="283"/>
      <c r="BJ68" s="283"/>
      <c r="BK68" s="283"/>
      <c r="BL68" s="283"/>
      <c r="BM68" s="283"/>
      <c r="BN68" s="283"/>
      <c r="BO68" s="283"/>
      <c r="BP68" s="283"/>
      <c r="BQ68" s="283"/>
      <c r="BR68" s="283"/>
      <c r="BS68" s="283"/>
      <c r="BT68" s="283"/>
      <c r="BU68" s="283"/>
      <c r="BV68" s="283"/>
      <c r="BW68" s="283"/>
      <c r="BX68" s="283"/>
      <c r="BY68" s="283"/>
      <c r="BZ68" s="283"/>
      <c r="CA68" s="283"/>
      <c r="CB68" s="283"/>
      <c r="CC68" s="283"/>
      <c r="CD68" s="283"/>
      <c r="CE68" s="283"/>
      <c r="CF68" s="283"/>
      <c r="CG68" s="283"/>
      <c r="CH68" s="283"/>
      <c r="CI68" s="283"/>
      <c r="CJ68" s="283"/>
      <c r="CK68" s="283"/>
      <c r="CL68" s="283"/>
      <c r="CM68" s="283"/>
      <c r="CN68" s="283"/>
      <c r="CO68" s="283"/>
    </row>
    <row r="69" spans="1:203" ht="13.9" customHeight="1">
      <c r="B69" s="34" t="s">
        <v>341</v>
      </c>
      <c r="C69" s="9">
        <v>2749</v>
      </c>
      <c r="D69" s="24">
        <v>2701</v>
      </c>
      <c r="E69" s="24">
        <v>2670</v>
      </c>
      <c r="F69" s="24">
        <v>2634</v>
      </c>
      <c r="G69" s="24">
        <v>2604</v>
      </c>
      <c r="H69" s="9">
        <v>2604</v>
      </c>
      <c r="I69" s="24">
        <v>2571</v>
      </c>
      <c r="J69" s="24">
        <v>2540</v>
      </c>
      <c r="K69" s="24">
        <v>2513</v>
      </c>
      <c r="L69" s="19">
        <v>2483</v>
      </c>
      <c r="M69" s="8">
        <v>2483</v>
      </c>
      <c r="N69" s="24">
        <v>2454</v>
      </c>
      <c r="O69" s="24">
        <v>2422</v>
      </c>
      <c r="P69" s="24">
        <v>2394</v>
      </c>
      <c r="Q69" s="19">
        <v>2366</v>
      </c>
      <c r="R69" s="8">
        <v>2366</v>
      </c>
      <c r="S69" s="24">
        <v>2358</v>
      </c>
      <c r="T69" s="24">
        <v>2356</v>
      </c>
      <c r="U69" s="24">
        <v>2363</v>
      </c>
      <c r="V69" s="19">
        <v>2367</v>
      </c>
      <c r="W69" s="210">
        <v>2367</v>
      </c>
      <c r="X69" s="215">
        <v>2368</v>
      </c>
      <c r="Y69" s="215">
        <v>2335</v>
      </c>
      <c r="Z69" s="215">
        <v>2299</v>
      </c>
      <c r="AA69" s="210">
        <v>2268</v>
      </c>
      <c r="AB69" s="210">
        <v>2268</v>
      </c>
      <c r="AC69" s="215">
        <v>2242</v>
      </c>
      <c r="AD69" s="215">
        <v>2224</v>
      </c>
      <c r="AE69" s="215">
        <v>2223</v>
      </c>
      <c r="AF69" s="210">
        <v>2216</v>
      </c>
      <c r="AG69" s="210">
        <v>2216</v>
      </c>
      <c r="AH69" s="215">
        <v>2214</v>
      </c>
      <c r="AI69" s="215">
        <v>2205</v>
      </c>
      <c r="AJ69" s="215">
        <v>2205</v>
      </c>
      <c r="AK69" s="210">
        <v>2205</v>
      </c>
      <c r="AL69" s="210">
        <v>2205</v>
      </c>
      <c r="AM69" s="215">
        <v>2125</v>
      </c>
      <c r="AN69" s="215">
        <v>2117</v>
      </c>
      <c r="AO69" s="215">
        <v>2103</v>
      </c>
      <c r="AP69" s="210">
        <v>2087</v>
      </c>
      <c r="AQ69" s="210">
        <v>2087</v>
      </c>
      <c r="AR69" s="215">
        <v>2068</v>
      </c>
      <c r="AS69" s="215">
        <v>2050</v>
      </c>
      <c r="AT69" s="215">
        <v>2031</v>
      </c>
      <c r="AU69" s="210">
        <v>2010</v>
      </c>
      <c r="AV69" s="210">
        <v>2010</v>
      </c>
      <c r="AW69" s="215">
        <v>1986</v>
      </c>
      <c r="AX69" s="215">
        <v>1961</v>
      </c>
      <c r="AY69" s="215">
        <v>1942</v>
      </c>
      <c r="AZ69" s="210">
        <v>1916</v>
      </c>
      <c r="BA69" s="210">
        <v>1916</v>
      </c>
      <c r="BB69" s="215">
        <v>1889</v>
      </c>
      <c r="BC69" s="215">
        <v>1865</v>
      </c>
      <c r="BD69" s="215">
        <v>1843</v>
      </c>
      <c r="BE69" s="210">
        <f>BF69</f>
        <v>1818</v>
      </c>
      <c r="BF69" s="210">
        <v>1818</v>
      </c>
      <c r="BG69" s="215">
        <v>1792</v>
      </c>
      <c r="BH69" s="215">
        <v>1768</v>
      </c>
      <c r="BI69" s="215">
        <v>1743</v>
      </c>
      <c r="BJ69" s="210">
        <f>BK69</f>
        <v>1718</v>
      </c>
      <c r="BK69" s="210">
        <v>1718</v>
      </c>
      <c r="BL69" s="215">
        <v>1693</v>
      </c>
      <c r="BM69" s="215">
        <v>1675</v>
      </c>
      <c r="BN69" s="215">
        <v>1653</v>
      </c>
      <c r="BO69" s="210">
        <f>BP69</f>
        <v>1639</v>
      </c>
      <c r="BP69" s="210">
        <v>1639</v>
      </c>
      <c r="BQ69" s="215">
        <v>1630</v>
      </c>
      <c r="BR69" s="215">
        <v>1615</v>
      </c>
      <c r="BS69" s="215">
        <v>1602</v>
      </c>
      <c r="BT69" s="210">
        <f>BU69</f>
        <v>1583</v>
      </c>
      <c r="BU69" s="210">
        <v>1583</v>
      </c>
      <c r="BV69" s="24">
        <v>1563</v>
      </c>
      <c r="BW69" s="24">
        <v>1542</v>
      </c>
      <c r="BX69" s="24">
        <v>1522</v>
      </c>
      <c r="BY69" s="19">
        <f>BZ69</f>
        <v>1503</v>
      </c>
      <c r="BZ69" s="210">
        <v>1503</v>
      </c>
      <c r="CA69" s="24">
        <v>1488</v>
      </c>
      <c r="CB69" s="24">
        <v>1473</v>
      </c>
      <c r="CC69" s="24">
        <v>1454</v>
      </c>
      <c r="CD69" s="19">
        <f>CE69</f>
        <v>1442</v>
      </c>
      <c r="CE69" s="210">
        <v>1442</v>
      </c>
      <c r="CF69" s="24">
        <v>1419</v>
      </c>
      <c r="CG69" s="24">
        <v>1409</v>
      </c>
      <c r="CH69" s="24">
        <v>1397</v>
      </c>
      <c r="CI69" s="19">
        <f>CJ69</f>
        <v>1383</v>
      </c>
      <c r="CJ69" s="210">
        <v>1383</v>
      </c>
      <c r="CK69" s="24">
        <v>1366</v>
      </c>
      <c r="CL69" s="24">
        <v>1351</v>
      </c>
      <c r="CM69" s="24">
        <v>1339</v>
      </c>
      <c r="CN69" s="19">
        <f>CO69</f>
        <v>1329</v>
      </c>
      <c r="CO69" s="210">
        <v>1329</v>
      </c>
    </row>
    <row r="70" spans="1:203" ht="13.9" customHeight="1">
      <c r="B70" s="20" t="s">
        <v>5</v>
      </c>
      <c r="C70" s="4"/>
      <c r="D70" s="21"/>
      <c r="E70" s="21">
        <f>E69/D69-1</f>
        <v>-1.1477230655312809E-2</v>
      </c>
      <c r="F70" s="21">
        <f>F69/E69-1</f>
        <v>-1.3483146067415741E-2</v>
      </c>
      <c r="G70" s="21">
        <f>G69/F69-1</f>
        <v>-1.1389521640091105E-2</v>
      </c>
      <c r="H70" s="4"/>
      <c r="I70" s="21">
        <f>I69/G69-1</f>
        <v>-1.2672811059907807E-2</v>
      </c>
      <c r="J70" s="21">
        <f>J69/I69-1</f>
        <v>-1.2057565149747207E-2</v>
      </c>
      <c r="K70" s="21">
        <f>K69/J69-1</f>
        <v>-1.0629921259842523E-2</v>
      </c>
      <c r="L70" s="21">
        <f>L69/K69-1</f>
        <v>-1.1937922801432577E-2</v>
      </c>
      <c r="M70" s="3"/>
      <c r="N70" s="21">
        <f>N69/L69-1</f>
        <v>-1.1679420056383449E-2</v>
      </c>
      <c r="O70" s="21">
        <f>O69/N69-1</f>
        <v>-1.3039934800325947E-2</v>
      </c>
      <c r="P70" s="21">
        <f>P69/O69-1</f>
        <v>-1.1560693641618491E-2</v>
      </c>
      <c r="Q70" s="21">
        <f>Q69/P69-1</f>
        <v>-1.1695906432748537E-2</v>
      </c>
      <c r="R70" s="3"/>
      <c r="S70" s="21">
        <f>S69/Q69-1</f>
        <v>-3.3812341504648735E-3</v>
      </c>
      <c r="T70" s="21">
        <f>T69/S69-1</f>
        <v>-8.4817642069545673E-4</v>
      </c>
      <c r="U70" s="21">
        <f>U69/T69-1</f>
        <v>2.9711375212224667E-3</v>
      </c>
      <c r="V70" s="21">
        <f>V69/U69-1</f>
        <v>1.6927634363097521E-3</v>
      </c>
      <c r="W70" s="226"/>
      <c r="X70" s="212">
        <f>X69/V69-1</f>
        <v>4.2247570764675224E-4</v>
      </c>
      <c r="Y70" s="212">
        <f>Y69/X69-1</f>
        <v>-1.3935810810810856E-2</v>
      </c>
      <c r="Z70" s="212">
        <f>Z69/Y69-1</f>
        <v>-1.5417558886509641E-2</v>
      </c>
      <c r="AA70" s="212">
        <f>AA69/Z69-1</f>
        <v>-1.3484123531970371E-2</v>
      </c>
      <c r="AB70" s="226"/>
      <c r="AC70" s="212">
        <f>AC69/AA69-1</f>
        <v>-1.1463844797178102E-2</v>
      </c>
      <c r="AD70" s="212">
        <f>AD69/AC69-1</f>
        <v>-8.0285459411240101E-3</v>
      </c>
      <c r="AE70" s="212">
        <f>AE69/AD69-1</f>
        <v>-4.4964028776983689E-4</v>
      </c>
      <c r="AF70" s="212">
        <f>AF69/AE69-1</f>
        <v>-3.1488978857400207E-3</v>
      </c>
      <c r="AG70" s="226"/>
      <c r="AH70" s="212">
        <f>AH69/AF69-1</f>
        <v>-9.0252707581228719E-4</v>
      </c>
      <c r="AI70" s="212">
        <f>AI69/AH69-1</f>
        <v>-4.0650406504064707E-3</v>
      </c>
      <c r="AJ70" s="212">
        <f>AJ69/AI69-1</f>
        <v>0</v>
      </c>
      <c r="AK70" s="212">
        <f>AK69/AJ69-1</f>
        <v>0</v>
      </c>
      <c r="AL70" s="226"/>
      <c r="AM70" s="212">
        <f>AM69/AK69-1</f>
        <v>-3.6281179138321962E-2</v>
      </c>
      <c r="AN70" s="212">
        <f>AN69/AM69-1</f>
        <v>-3.7647058823528923E-3</v>
      </c>
      <c r="AO70" s="212">
        <f>AO69/AN69-1</f>
        <v>-6.6131317902692333E-3</v>
      </c>
      <c r="AP70" s="212">
        <f>AP69/AO69-1</f>
        <v>-7.6081787922016586E-3</v>
      </c>
      <c r="AQ70" s="226"/>
      <c r="AR70" s="212">
        <f>AR69/AP69-1</f>
        <v>-9.1039770004791576E-3</v>
      </c>
      <c r="AS70" s="212">
        <f>AS69/AR69-1</f>
        <v>-8.704061895551285E-3</v>
      </c>
      <c r="AT70" s="212">
        <f>AT69/AS69-1</f>
        <v>-9.2682926829268375E-3</v>
      </c>
      <c r="AU70" s="212">
        <f>AU69/AT69-1</f>
        <v>-1.0339734121122546E-2</v>
      </c>
      <c r="AV70" s="226"/>
      <c r="AW70" s="212">
        <f>AW69/AU69-1</f>
        <v>-1.1940298507462699E-2</v>
      </c>
      <c r="AX70" s="212">
        <f>AX69/AW69-1</f>
        <v>-1.2588116817724093E-2</v>
      </c>
      <c r="AY70" s="212">
        <f>AY69/AX69-1</f>
        <v>-9.6889342172361559E-3</v>
      </c>
      <c r="AZ70" s="212">
        <f>AZ69/AY69-1</f>
        <v>-1.3388259526261548E-2</v>
      </c>
      <c r="BA70" s="226"/>
      <c r="BB70" s="212">
        <f>BB69/AZ69-1</f>
        <v>-1.4091858037578286E-2</v>
      </c>
      <c r="BC70" s="212">
        <f>BC69/BB69-1</f>
        <v>-1.2705134992059275E-2</v>
      </c>
      <c r="BD70" s="212">
        <f>BD69/BC69-1</f>
        <v>-1.1796246648793529E-2</v>
      </c>
      <c r="BE70" s="212">
        <f>BE69/BD69-1</f>
        <v>-1.3564839934888773E-2</v>
      </c>
      <c r="BF70" s="226"/>
      <c r="BG70" s="212">
        <f>BG69/BE69-1</f>
        <v>-1.4301430143014326E-2</v>
      </c>
      <c r="BH70" s="212">
        <f>BH69/BG69-1</f>
        <v>-1.3392857142857095E-2</v>
      </c>
      <c r="BI70" s="212">
        <f>BI69/BH69-1</f>
        <v>-1.4140271493212619E-2</v>
      </c>
      <c r="BJ70" s="212">
        <f>BJ69/BI69-1</f>
        <v>-1.4343086632243263E-2</v>
      </c>
      <c r="BK70" s="226"/>
      <c r="BL70" s="212">
        <f>BL69/BJ69-1</f>
        <v>-1.4551804423748593E-2</v>
      </c>
      <c r="BM70" s="212">
        <f>BM69/BL69-1</f>
        <v>-1.0632014176018889E-2</v>
      </c>
      <c r="BN70" s="212">
        <f>BN69/BM69-1</f>
        <v>-1.3134328358208935E-2</v>
      </c>
      <c r="BO70" s="212">
        <f>BO69/BN69-1</f>
        <v>-8.4694494857834313E-3</v>
      </c>
      <c r="BP70" s="226"/>
      <c r="BQ70" s="212">
        <f>BQ69/BO69-1</f>
        <v>-5.4911531421598658E-3</v>
      </c>
      <c r="BR70" s="212">
        <f>BR69/BQ69-1</f>
        <v>-9.2024539877300082E-3</v>
      </c>
      <c r="BS70" s="212">
        <f>BS69/BR69-1</f>
        <v>-8.04953560371513E-3</v>
      </c>
      <c r="BT70" s="212">
        <f>BT69/BS69-1</f>
        <v>-1.1860174781523125E-2</v>
      </c>
      <c r="BU70" s="226"/>
      <c r="BV70" s="21">
        <f>BV69/BT69-1</f>
        <v>-1.2634238787113117E-2</v>
      </c>
      <c r="BW70" s="21">
        <f>BW69/BV69-1</f>
        <v>-1.3435700575815779E-2</v>
      </c>
      <c r="BX70" s="21">
        <f>BX69/BW69-1</f>
        <v>-1.2970168612191912E-2</v>
      </c>
      <c r="BY70" s="21">
        <f>BY69/BX69-1</f>
        <v>-1.2483574244415263E-2</v>
      </c>
      <c r="BZ70" s="226"/>
      <c r="CA70" s="21">
        <f>CA69/BY69-1</f>
        <v>-9.9800399201597223E-3</v>
      </c>
      <c r="CB70" s="21">
        <f>CB69/CA69-1</f>
        <v>-1.0080645161290369E-2</v>
      </c>
      <c r="CC70" s="21">
        <f>CC69/CB69-1</f>
        <v>-1.2898845892735933E-2</v>
      </c>
      <c r="CD70" s="21">
        <f>CD69/CC69-1</f>
        <v>-8.2530949105914519E-3</v>
      </c>
      <c r="CE70" s="226"/>
      <c r="CF70" s="21">
        <f>CF69/CD69-1</f>
        <v>-1.5950069348127593E-2</v>
      </c>
      <c r="CG70" s="21">
        <f>CG69/CF69-1</f>
        <v>-7.0472163495419737E-3</v>
      </c>
      <c r="CH70" s="21">
        <f>CH69/CG69-1</f>
        <v>-8.5166784953868424E-3</v>
      </c>
      <c r="CI70" s="21">
        <f>CI69/CH69-1</f>
        <v>-1.0021474588403745E-2</v>
      </c>
      <c r="CJ70" s="226"/>
      <c r="CK70" s="21">
        <f>CK69/CI69-1</f>
        <v>-1.2292118582791001E-2</v>
      </c>
      <c r="CL70" s="21">
        <f>CL69/CK69-1</f>
        <v>-1.0980966325036645E-2</v>
      </c>
      <c r="CM70" s="21">
        <f>CM69/CL69-1</f>
        <v>-8.8823094004440994E-3</v>
      </c>
      <c r="CN70" s="21">
        <f>CN69/CM69-1</f>
        <v>-7.4682598954443069E-3</v>
      </c>
      <c r="CO70" s="226"/>
    </row>
    <row r="71" spans="1:203" ht="13.9" customHeight="1">
      <c r="B71" s="20" t="s">
        <v>6</v>
      </c>
      <c r="C71" s="4"/>
      <c r="D71" s="22"/>
      <c r="E71" s="22"/>
      <c r="F71" s="22"/>
      <c r="G71" s="22"/>
      <c r="H71" s="4">
        <f t="shared" ref="H71:P71" si="102">H69/C69-1</f>
        <v>-5.2746453255729353E-2</v>
      </c>
      <c r="I71" s="22">
        <f t="shared" si="102"/>
        <v>-4.8130322102924894E-2</v>
      </c>
      <c r="J71" s="22">
        <f t="shared" si="102"/>
        <v>-4.8689138576779034E-2</v>
      </c>
      <c r="K71" s="22">
        <f t="shared" si="102"/>
        <v>-4.5937737281700808E-2</v>
      </c>
      <c r="L71" s="21">
        <f t="shared" si="102"/>
        <v>-4.64669738863287E-2</v>
      </c>
      <c r="M71" s="4">
        <f t="shared" si="102"/>
        <v>-4.64669738863287E-2</v>
      </c>
      <c r="N71" s="22">
        <f t="shared" si="102"/>
        <v>-4.5507584597432871E-2</v>
      </c>
      <c r="O71" s="22">
        <f t="shared" si="102"/>
        <v>-4.6456692913385833E-2</v>
      </c>
      <c r="P71" s="22">
        <f t="shared" si="102"/>
        <v>-4.7353760445682402E-2</v>
      </c>
      <c r="Q71" s="21">
        <f t="shared" ref="Q71:Z71" si="103">Q69/L69-1</f>
        <v>-4.7120418848167533E-2</v>
      </c>
      <c r="R71" s="4">
        <f t="shared" si="103"/>
        <v>-4.7120418848167533E-2</v>
      </c>
      <c r="S71" s="22">
        <v>0.15</v>
      </c>
      <c r="T71" s="22">
        <f t="shared" si="103"/>
        <v>-2.725020644095788E-2</v>
      </c>
      <c r="U71" s="22">
        <f t="shared" si="103"/>
        <v>-1.294903926482871E-2</v>
      </c>
      <c r="V71" s="21">
        <f t="shared" si="103"/>
        <v>4.226542688081647E-4</v>
      </c>
      <c r="W71" s="211">
        <f t="shared" si="103"/>
        <v>4.226542688081647E-4</v>
      </c>
      <c r="X71" s="211">
        <f t="shared" si="103"/>
        <v>4.2408821034776167E-3</v>
      </c>
      <c r="Y71" s="211">
        <f t="shared" si="103"/>
        <v>-8.9134125636671779E-3</v>
      </c>
      <c r="Z71" s="211">
        <f t="shared" si="103"/>
        <v>-2.7084214980956367E-2</v>
      </c>
      <c r="AA71" s="212">
        <f t="shared" ref="AA71:AJ71" si="104">AA69/V69-1</f>
        <v>-4.1825095057034245E-2</v>
      </c>
      <c r="AB71" s="211">
        <f t="shared" si="104"/>
        <v>-4.1825095057034245E-2</v>
      </c>
      <c r="AC71" s="211">
        <f t="shared" si="104"/>
        <v>-5.3209459459459429E-2</v>
      </c>
      <c r="AD71" s="211">
        <f t="shared" si="104"/>
        <v>-4.7537473233404737E-2</v>
      </c>
      <c r="AE71" s="211">
        <f t="shared" si="104"/>
        <v>-3.3057851239669422E-2</v>
      </c>
      <c r="AF71" s="212">
        <f t="shared" si="104"/>
        <v>-2.2927689594356315E-2</v>
      </c>
      <c r="AG71" s="211">
        <f t="shared" si="104"/>
        <v>-2.2927689594356315E-2</v>
      </c>
      <c r="AH71" s="211">
        <f t="shared" si="104"/>
        <v>-1.2488849241748423E-2</v>
      </c>
      <c r="AI71" s="211">
        <f t="shared" si="104"/>
        <v>-8.5431654676259017E-3</v>
      </c>
      <c r="AJ71" s="211">
        <f t="shared" si="104"/>
        <v>-8.0971659919027994E-3</v>
      </c>
      <c r="AK71" s="212">
        <f t="shared" ref="AK71:AT71" si="105">AK69/AF69-1</f>
        <v>-4.9638989169674685E-3</v>
      </c>
      <c r="AL71" s="211">
        <f t="shared" si="105"/>
        <v>-4.9638989169674685E-3</v>
      </c>
      <c r="AM71" s="211">
        <f t="shared" si="105"/>
        <v>-4.0198735320686518E-2</v>
      </c>
      <c r="AN71" s="211">
        <f t="shared" si="105"/>
        <v>-3.990929705215418E-2</v>
      </c>
      <c r="AO71" s="211">
        <f t="shared" si="105"/>
        <v>-4.6258503401360507E-2</v>
      </c>
      <c r="AP71" s="212">
        <f t="shared" si="105"/>
        <v>-5.3514739229024944E-2</v>
      </c>
      <c r="AQ71" s="211">
        <f t="shared" si="105"/>
        <v>-5.3514739229024944E-2</v>
      </c>
      <c r="AR71" s="211">
        <f t="shared" si="105"/>
        <v>-2.6823529411764691E-2</v>
      </c>
      <c r="AS71" s="211">
        <f t="shared" si="105"/>
        <v>-3.1648559282002831E-2</v>
      </c>
      <c r="AT71" s="211">
        <f t="shared" si="105"/>
        <v>-3.4236804564907297E-2</v>
      </c>
      <c r="AU71" s="212">
        <f t="shared" ref="AU71:BX71" si="106">AU69/AP69-1</f>
        <v>-3.6895064686152335E-2</v>
      </c>
      <c r="AV71" s="211">
        <f t="shared" si="106"/>
        <v>-3.6895064686152335E-2</v>
      </c>
      <c r="AW71" s="211">
        <f t="shared" si="106"/>
        <v>-3.9651837524178002E-2</v>
      </c>
      <c r="AX71" s="211">
        <f t="shared" si="106"/>
        <v>-4.3414634146341502E-2</v>
      </c>
      <c r="AY71" s="211">
        <f t="shared" si="106"/>
        <v>-4.3820777941900535E-2</v>
      </c>
      <c r="AZ71" s="212">
        <f t="shared" si="106"/>
        <v>-4.676616915422882E-2</v>
      </c>
      <c r="BA71" s="211">
        <f t="shared" si="106"/>
        <v>-4.676616915422882E-2</v>
      </c>
      <c r="BB71" s="211">
        <f t="shared" si="106"/>
        <v>-4.8841893252769331E-2</v>
      </c>
      <c r="BC71" s="211">
        <f t="shared" si="106"/>
        <v>-4.8954614992350876E-2</v>
      </c>
      <c r="BD71" s="211">
        <f t="shared" si="106"/>
        <v>-5.09783728115345E-2</v>
      </c>
      <c r="BE71" s="212">
        <f t="shared" si="106"/>
        <v>-5.1148225469728636E-2</v>
      </c>
      <c r="BF71" s="211">
        <f t="shared" si="106"/>
        <v>-5.1148225469728636E-2</v>
      </c>
      <c r="BG71" s="211">
        <f t="shared" si="106"/>
        <v>-5.1349920592906328E-2</v>
      </c>
      <c r="BH71" s="211">
        <f t="shared" si="106"/>
        <v>-5.2010723860589803E-2</v>
      </c>
      <c r="BI71" s="211">
        <f t="shared" si="106"/>
        <v>-5.4259359739555091E-2</v>
      </c>
      <c r="BJ71" s="212">
        <f t="shared" si="106"/>
        <v>-5.5005500550055042E-2</v>
      </c>
      <c r="BK71" s="211">
        <f t="shared" si="106"/>
        <v>-5.5005500550055042E-2</v>
      </c>
      <c r="BL71" s="211">
        <f t="shared" si="106"/>
        <v>-5.5245535714285698E-2</v>
      </c>
      <c r="BM71" s="211">
        <f t="shared" si="106"/>
        <v>-5.2601809954751166E-2</v>
      </c>
      <c r="BN71" s="211">
        <f t="shared" si="106"/>
        <v>-5.1635111876075723E-2</v>
      </c>
      <c r="BO71" s="212">
        <f t="shared" si="106"/>
        <v>-4.5983701979045444E-2</v>
      </c>
      <c r="BP71" s="211">
        <f t="shared" si="106"/>
        <v>-4.5983701979045444E-2</v>
      </c>
      <c r="BQ71" s="211">
        <f t="shared" si="106"/>
        <v>-3.7212049616066167E-2</v>
      </c>
      <c r="BR71" s="211">
        <f t="shared" si="106"/>
        <v>-3.5820895522388096E-2</v>
      </c>
      <c r="BS71" s="211">
        <f t="shared" si="106"/>
        <v>-3.0852994555353952E-2</v>
      </c>
      <c r="BT71" s="212">
        <f t="shared" si="106"/>
        <v>-3.4167175106772474E-2</v>
      </c>
      <c r="BU71" s="211">
        <f t="shared" si="106"/>
        <v>-3.4167175106772474E-2</v>
      </c>
      <c r="BV71" s="22">
        <f t="shared" si="106"/>
        <v>-4.1104294478527592E-2</v>
      </c>
      <c r="BW71" s="22">
        <f t="shared" si="106"/>
        <v>-4.5201238390092824E-2</v>
      </c>
      <c r="BX71" s="22">
        <f t="shared" si="106"/>
        <v>-4.9937578027465679E-2</v>
      </c>
      <c r="BY71" s="21">
        <f>BY69/BT69-1</f>
        <v>-5.0536955148452356E-2</v>
      </c>
      <c r="BZ71" s="211">
        <f>BZ69/BU69-1</f>
        <v>-5.0536955148452356E-2</v>
      </c>
      <c r="CA71" s="22">
        <f>CA69/BV69-1</f>
        <v>-4.7984644913627639E-2</v>
      </c>
      <c r="CB71" s="22">
        <f>CB69/BW69-1</f>
        <v>-4.4747081712062209E-2</v>
      </c>
      <c r="CC71" s="22">
        <f t="shared" ref="CC71" si="107">CC69/BX69-1</f>
        <v>-4.4678055190538801E-2</v>
      </c>
      <c r="CD71" s="21">
        <f>CD69/BY69-1</f>
        <v>-4.0585495675315997E-2</v>
      </c>
      <c r="CE71" s="211">
        <f>CE69/BZ69-1</f>
        <v>-4.0585495675315997E-2</v>
      </c>
      <c r="CF71" s="22">
        <f>CF69/CA69-1</f>
        <v>-4.6370967741935498E-2</v>
      </c>
      <c r="CG71" s="22">
        <f>CG69/CB69-1</f>
        <v>-4.3448744059741973E-2</v>
      </c>
      <c r="CH71" s="22">
        <f t="shared" ref="CH71" si="108">CH69/CC69-1</f>
        <v>-3.9202200825309452E-2</v>
      </c>
      <c r="CI71" s="21">
        <f>CI69/CD69-1</f>
        <v>-4.0915395284327305E-2</v>
      </c>
      <c r="CJ71" s="211">
        <f>CJ69/CE69-1</f>
        <v>-4.0915395284327305E-2</v>
      </c>
      <c r="CK71" s="22">
        <f t="shared" ref="CK71" si="109">CK69/CF69-1</f>
        <v>-3.735024665257225E-2</v>
      </c>
      <c r="CL71" s="22">
        <f>CL69/CG69-1</f>
        <v>-4.1163946061036238E-2</v>
      </c>
      <c r="CM71" s="22">
        <f>CM69/CH69-1</f>
        <v>-4.1517537580529673E-2</v>
      </c>
      <c r="CN71" s="21">
        <f>CN69/CI69-1</f>
        <v>-3.9045553145336198E-2</v>
      </c>
      <c r="CO71" s="211">
        <f>CO69/CJ69-1</f>
        <v>-3.9045553145336198E-2</v>
      </c>
    </row>
    <row r="72" spans="1:203" ht="13.9" customHeight="1">
      <c r="B72" s="20" t="s">
        <v>120</v>
      </c>
      <c r="C72" s="4"/>
      <c r="D72" s="22"/>
      <c r="E72" s="22"/>
      <c r="F72" s="22"/>
      <c r="G72" s="22"/>
      <c r="H72" s="80">
        <f>H69-C69</f>
        <v>-145</v>
      </c>
      <c r="I72" s="22"/>
      <c r="J72" s="22"/>
      <c r="K72" s="22"/>
      <c r="L72" s="21"/>
      <c r="M72" s="80">
        <f>M69-H69</f>
        <v>-121</v>
      </c>
      <c r="N72" s="22"/>
      <c r="O72" s="22"/>
      <c r="P72" s="22"/>
      <c r="Q72" s="21"/>
      <c r="R72" s="80">
        <f>R69-M69</f>
        <v>-117</v>
      </c>
      <c r="S72" s="22"/>
      <c r="T72" s="22"/>
      <c r="U72" s="22"/>
      <c r="V72" s="21"/>
      <c r="W72" s="249">
        <f>W69-R69</f>
        <v>1</v>
      </c>
      <c r="X72" s="239"/>
      <c r="Y72" s="239"/>
      <c r="Z72" s="239"/>
      <c r="AA72" s="250"/>
      <c r="AB72" s="249">
        <f>AB69-W69</f>
        <v>-99</v>
      </c>
      <c r="AC72" s="239"/>
      <c r="AD72" s="239"/>
      <c r="AE72" s="239"/>
      <c r="AF72" s="250"/>
      <c r="AG72" s="249">
        <f>AG69-AB69</f>
        <v>-52</v>
      </c>
      <c r="AH72" s="239"/>
      <c r="AI72" s="239"/>
      <c r="AJ72" s="239"/>
      <c r="AK72" s="250"/>
      <c r="AL72" s="249">
        <f>AL69-AG69</f>
        <v>-11</v>
      </c>
      <c r="AM72" s="251"/>
      <c r="AN72" s="251">
        <f>AN69-AM69</f>
        <v>-8</v>
      </c>
      <c r="AO72" s="251">
        <f>AO69-AN69</f>
        <v>-14</v>
      </c>
      <c r="AP72" s="251">
        <f>AP69-AO69</f>
        <v>-16</v>
      </c>
      <c r="AQ72" s="249">
        <f>AQ69-AL69</f>
        <v>-118</v>
      </c>
      <c r="AR72" s="249">
        <f>AR69-AP69</f>
        <v>-19</v>
      </c>
      <c r="AS72" s="249">
        <f>AS69-AR69</f>
        <v>-18</v>
      </c>
      <c r="AT72" s="249">
        <f>AT69-AS69</f>
        <v>-19</v>
      </c>
      <c r="AU72" s="249">
        <f>AU69-AT69</f>
        <v>-21</v>
      </c>
      <c r="AV72" s="249">
        <f>AV69-AQ69</f>
        <v>-77</v>
      </c>
      <c r="AW72" s="249">
        <f>AW69-AU69</f>
        <v>-24</v>
      </c>
      <c r="AX72" s="249">
        <f>AX69-AW69</f>
        <v>-25</v>
      </c>
      <c r="AY72" s="249">
        <f>AY69-AX69</f>
        <v>-19</v>
      </c>
      <c r="AZ72" s="249">
        <f>AZ69-AY69</f>
        <v>-26</v>
      </c>
      <c r="BA72" s="249">
        <f>BA69-AV69</f>
        <v>-94</v>
      </c>
      <c r="BB72" s="249">
        <f>BB69-AZ69</f>
        <v>-27</v>
      </c>
      <c r="BC72" s="249">
        <f>BC69-BB69</f>
        <v>-24</v>
      </c>
      <c r="BD72" s="249">
        <f>BD69-BC69</f>
        <v>-22</v>
      </c>
      <c r="BE72" s="249">
        <f>BE69-BD69</f>
        <v>-25</v>
      </c>
      <c r="BF72" s="249">
        <f>BF69-BA69</f>
        <v>-98</v>
      </c>
      <c r="BG72" s="249">
        <f>BG69-BE69</f>
        <v>-26</v>
      </c>
      <c r="BH72" s="249">
        <f>BH69-BG69</f>
        <v>-24</v>
      </c>
      <c r="BI72" s="249">
        <f>BI69-BH69</f>
        <v>-25</v>
      </c>
      <c r="BJ72" s="249">
        <f>BJ69-BI69</f>
        <v>-25</v>
      </c>
      <c r="BK72" s="249">
        <f>BK69-BF69</f>
        <v>-100</v>
      </c>
      <c r="BL72" s="249">
        <f>BL69-BJ69</f>
        <v>-25</v>
      </c>
      <c r="BM72" s="249">
        <f>BM69-BL69</f>
        <v>-18</v>
      </c>
      <c r="BN72" s="249">
        <f>BN69-BM69</f>
        <v>-22</v>
      </c>
      <c r="BO72" s="249">
        <f>BO69-BN69</f>
        <v>-14</v>
      </c>
      <c r="BP72" s="249">
        <f>BP69-BK69</f>
        <v>-79</v>
      </c>
      <c r="BQ72" s="249">
        <f>BQ69-BO69</f>
        <v>-9</v>
      </c>
      <c r="BR72" s="249">
        <f>BR69-BQ69</f>
        <v>-15</v>
      </c>
      <c r="BS72" s="249">
        <f>BS69-BR69</f>
        <v>-13</v>
      </c>
      <c r="BT72" s="249">
        <f>BT69-BS69</f>
        <v>-19</v>
      </c>
      <c r="BU72" s="249">
        <f>BU69-BP69</f>
        <v>-56</v>
      </c>
      <c r="BV72" s="113">
        <f>BV69-BT69</f>
        <v>-20</v>
      </c>
      <c r="BW72" s="113">
        <f>BW69-BV69</f>
        <v>-21</v>
      </c>
      <c r="BX72" s="113">
        <f>BX69-BW69</f>
        <v>-20</v>
      </c>
      <c r="BY72" s="113">
        <f>BY69-BX69</f>
        <v>-19</v>
      </c>
      <c r="BZ72" s="249">
        <f>BZ69-BU69</f>
        <v>-80</v>
      </c>
      <c r="CA72" s="113">
        <f>CA69-BY69</f>
        <v>-15</v>
      </c>
      <c r="CB72" s="113">
        <f>CB69-CA69</f>
        <v>-15</v>
      </c>
      <c r="CC72" s="113">
        <f>CC69-CB69</f>
        <v>-19</v>
      </c>
      <c r="CD72" s="113">
        <f>CD69-CC69</f>
        <v>-12</v>
      </c>
      <c r="CE72" s="249">
        <f>CE69-BZ69</f>
        <v>-61</v>
      </c>
      <c r="CF72" s="113">
        <f>CF69-CD69</f>
        <v>-23</v>
      </c>
      <c r="CG72" s="113">
        <f>CG69-CF69</f>
        <v>-10</v>
      </c>
      <c r="CH72" s="113">
        <f>CH69-CG69</f>
        <v>-12</v>
      </c>
      <c r="CI72" s="113">
        <f>CI69-CH69</f>
        <v>-14</v>
      </c>
      <c r="CJ72" s="249">
        <f>CJ69-CE69</f>
        <v>-59</v>
      </c>
      <c r="CK72" s="113">
        <f>CK69-CI69</f>
        <v>-17</v>
      </c>
      <c r="CL72" s="113">
        <f>CL69-CK69</f>
        <v>-15</v>
      </c>
      <c r="CM72" s="113">
        <f>CM69-CL69</f>
        <v>-12</v>
      </c>
      <c r="CN72" s="113">
        <f>CN69-CM69</f>
        <v>-10</v>
      </c>
      <c r="CO72" s="249">
        <f>CO69-CJ69</f>
        <v>-54</v>
      </c>
    </row>
    <row r="73" spans="1:203" ht="13.9" customHeight="1">
      <c r="B73" s="12" t="s">
        <v>119</v>
      </c>
      <c r="C73" s="39" t="s">
        <v>25</v>
      </c>
      <c r="D73" s="24">
        <v>114</v>
      </c>
      <c r="E73" s="24">
        <v>109</v>
      </c>
      <c r="F73" s="24">
        <v>113</v>
      </c>
      <c r="G73" s="24">
        <v>109</v>
      </c>
      <c r="H73" s="16">
        <v>111</v>
      </c>
      <c r="I73" s="24">
        <v>108</v>
      </c>
      <c r="J73" s="24">
        <v>108</v>
      </c>
      <c r="K73" s="24">
        <v>111</v>
      </c>
      <c r="L73" s="19">
        <v>110</v>
      </c>
      <c r="M73" s="5">
        <v>109</v>
      </c>
      <c r="N73" s="24">
        <v>106</v>
      </c>
      <c r="O73" s="24">
        <v>109</v>
      </c>
      <c r="P73" s="24">
        <v>109</v>
      </c>
      <c r="Q73" s="19">
        <v>111</v>
      </c>
      <c r="R73" s="5">
        <v>109</v>
      </c>
      <c r="S73" s="24">
        <v>87</v>
      </c>
      <c r="T73" s="24">
        <v>86</v>
      </c>
      <c r="U73" s="24">
        <v>87</v>
      </c>
      <c r="V73" s="19">
        <v>78</v>
      </c>
      <c r="W73" s="234">
        <v>85</v>
      </c>
      <c r="X73" s="215">
        <v>83</v>
      </c>
      <c r="Y73" s="215">
        <v>81</v>
      </c>
      <c r="Z73" s="215">
        <v>80</v>
      </c>
      <c r="AA73" s="210">
        <v>78</v>
      </c>
      <c r="AB73" s="234">
        <v>81</v>
      </c>
      <c r="AC73" s="215">
        <v>75</v>
      </c>
      <c r="AD73" s="215">
        <v>75</v>
      </c>
      <c r="AE73" s="215">
        <v>73</v>
      </c>
      <c r="AF73" s="210">
        <v>70</v>
      </c>
      <c r="AG73" s="234">
        <v>74</v>
      </c>
      <c r="AH73" s="215">
        <v>64</v>
      </c>
      <c r="AI73" s="215">
        <v>63</v>
      </c>
      <c r="AJ73" s="215">
        <v>63</v>
      </c>
      <c r="AK73" s="210">
        <v>62</v>
      </c>
      <c r="AL73" s="234">
        <v>63</v>
      </c>
      <c r="AM73" s="215">
        <v>60</v>
      </c>
      <c r="AN73" s="215">
        <v>59</v>
      </c>
      <c r="AO73" s="215">
        <v>59</v>
      </c>
      <c r="AP73" s="210">
        <v>59</v>
      </c>
      <c r="AQ73" s="234">
        <v>59</v>
      </c>
      <c r="AR73" s="215">
        <v>58</v>
      </c>
      <c r="AS73" s="215">
        <v>57</v>
      </c>
      <c r="AT73" s="215">
        <v>57</v>
      </c>
      <c r="AU73" s="210">
        <v>55</v>
      </c>
      <c r="AV73" s="234">
        <v>57</v>
      </c>
      <c r="AW73" s="215">
        <v>56</v>
      </c>
      <c r="AX73" s="215">
        <v>54</v>
      </c>
      <c r="AY73" s="215">
        <v>54</v>
      </c>
      <c r="AZ73" s="210">
        <v>53</v>
      </c>
      <c r="BA73" s="234">
        <v>54</v>
      </c>
      <c r="BB73" s="215">
        <v>53</v>
      </c>
      <c r="BC73" s="215">
        <v>52</v>
      </c>
      <c r="BD73" s="215">
        <v>51</v>
      </c>
      <c r="BE73" s="210">
        <v>51</v>
      </c>
      <c r="BF73" s="234">
        <v>52</v>
      </c>
      <c r="BG73" s="215">
        <v>50</v>
      </c>
      <c r="BH73" s="215">
        <v>49</v>
      </c>
      <c r="BI73" s="215">
        <v>49</v>
      </c>
      <c r="BJ73" s="210">
        <v>48</v>
      </c>
      <c r="BK73" s="234">
        <v>49</v>
      </c>
      <c r="BL73" s="215">
        <v>48</v>
      </c>
      <c r="BM73" s="215">
        <v>51</v>
      </c>
      <c r="BN73" s="215">
        <v>51</v>
      </c>
      <c r="BO73" s="210">
        <v>50</v>
      </c>
      <c r="BP73" s="234">
        <v>50</v>
      </c>
      <c r="BQ73" s="215">
        <v>49</v>
      </c>
      <c r="BR73" s="215">
        <v>47</v>
      </c>
      <c r="BS73" s="215">
        <v>46</v>
      </c>
      <c r="BT73" s="210">
        <v>46</v>
      </c>
      <c r="BU73" s="234">
        <v>47</v>
      </c>
      <c r="BV73" s="24">
        <v>47</v>
      </c>
      <c r="BW73" s="24">
        <v>41</v>
      </c>
      <c r="BX73" s="24">
        <v>41</v>
      </c>
      <c r="BY73" s="19">
        <v>40</v>
      </c>
      <c r="BZ73" s="234">
        <v>42</v>
      </c>
      <c r="CA73" s="24">
        <v>41</v>
      </c>
      <c r="CB73" s="24">
        <v>39</v>
      </c>
      <c r="CC73" s="24">
        <v>34</v>
      </c>
      <c r="CD73" s="19">
        <v>33</v>
      </c>
      <c r="CE73" s="234">
        <v>37</v>
      </c>
      <c r="CF73" s="24">
        <v>33</v>
      </c>
      <c r="CG73" s="24">
        <v>33</v>
      </c>
      <c r="CH73" s="24">
        <v>32</v>
      </c>
      <c r="CI73" s="19">
        <v>31</v>
      </c>
      <c r="CJ73" s="234">
        <v>32</v>
      </c>
      <c r="CK73" s="24">
        <v>31</v>
      </c>
      <c r="CL73" s="24">
        <v>30</v>
      </c>
      <c r="CM73" s="24">
        <v>30</v>
      </c>
      <c r="CN73" s="19">
        <v>29</v>
      </c>
      <c r="CO73" s="234">
        <v>30</v>
      </c>
    </row>
    <row r="74" spans="1:203" ht="13.9" customHeight="1">
      <c r="B74" s="20" t="s">
        <v>5</v>
      </c>
      <c r="C74" s="4"/>
      <c r="D74" s="21"/>
      <c r="E74" s="21">
        <f>E73/D73-1</f>
        <v>-4.3859649122807043E-2</v>
      </c>
      <c r="F74" s="21">
        <f>F73/E73-1</f>
        <v>3.669724770642202E-2</v>
      </c>
      <c r="G74" s="21">
        <f>G73/F73-1</f>
        <v>-3.539823008849563E-2</v>
      </c>
      <c r="H74" s="4"/>
      <c r="I74" s="21">
        <f>I73/G73-1</f>
        <v>-9.1743119266054496E-3</v>
      </c>
      <c r="J74" s="21">
        <f>J73/I73-1</f>
        <v>0</v>
      </c>
      <c r="K74" s="21">
        <f>K73/J73-1</f>
        <v>2.7777777777777679E-2</v>
      </c>
      <c r="L74" s="21">
        <f>L73/K73-1</f>
        <v>-9.009009009009028E-3</v>
      </c>
      <c r="M74" s="3"/>
      <c r="N74" s="21">
        <f>N73/L73-1</f>
        <v>-3.6363636363636376E-2</v>
      </c>
      <c r="O74" s="21">
        <f>O73/N73-1</f>
        <v>2.8301886792452935E-2</v>
      </c>
      <c r="P74" s="21">
        <f>P73/O73-1</f>
        <v>0</v>
      </c>
      <c r="Q74" s="21">
        <f>Q73/P73-1</f>
        <v>1.8348623853210899E-2</v>
      </c>
      <c r="R74" s="3"/>
      <c r="S74" s="21">
        <f>S73/Q73-1</f>
        <v>-0.21621621621621623</v>
      </c>
      <c r="T74" s="21">
        <f>T73/S73-1</f>
        <v>-1.1494252873563204E-2</v>
      </c>
      <c r="U74" s="21">
        <f>U73/T73-1</f>
        <v>1.1627906976744207E-2</v>
      </c>
      <c r="V74" s="21">
        <f>V73/U73-1</f>
        <v>-0.10344827586206895</v>
      </c>
      <c r="W74" s="226"/>
      <c r="X74" s="212">
        <f>X73/V73-1</f>
        <v>6.4102564102564097E-2</v>
      </c>
      <c r="Y74" s="212">
        <f>Y73/X73-1</f>
        <v>-2.4096385542168641E-2</v>
      </c>
      <c r="Z74" s="212">
        <f>Z73/Y73-1</f>
        <v>-1.2345679012345734E-2</v>
      </c>
      <c r="AA74" s="212">
        <f>AA73/Z73-1</f>
        <v>-2.5000000000000022E-2</v>
      </c>
      <c r="AB74" s="226"/>
      <c r="AC74" s="212">
        <f>AC73/AA73-1</f>
        <v>-3.8461538461538436E-2</v>
      </c>
      <c r="AD74" s="212">
        <f>AD73/AC73-1</f>
        <v>0</v>
      </c>
      <c r="AE74" s="212">
        <f>AE73/AD73-1</f>
        <v>-2.6666666666666616E-2</v>
      </c>
      <c r="AF74" s="212">
        <f>AF73/AE73-1</f>
        <v>-4.1095890410958957E-2</v>
      </c>
      <c r="AG74" s="226"/>
      <c r="AH74" s="212">
        <f>AH73/AF73-1</f>
        <v>-8.5714285714285743E-2</v>
      </c>
      <c r="AI74" s="212">
        <f>AI73/AH73-1</f>
        <v>-1.5625E-2</v>
      </c>
      <c r="AJ74" s="212">
        <f>AJ73/AI73-1</f>
        <v>0</v>
      </c>
      <c r="AK74" s="212">
        <f>AK73/AJ73-1</f>
        <v>-1.5873015873015928E-2</v>
      </c>
      <c r="AL74" s="226"/>
      <c r="AM74" s="212">
        <f>AM73/AK73-1</f>
        <v>-3.2258064516129004E-2</v>
      </c>
      <c r="AN74" s="212">
        <f>AN73/AM73-1</f>
        <v>-1.6666666666666718E-2</v>
      </c>
      <c r="AO74" s="212">
        <f>AO73/AN73-1</f>
        <v>0</v>
      </c>
      <c r="AP74" s="212">
        <f>AP73/AO73-1</f>
        <v>0</v>
      </c>
      <c r="AQ74" s="226"/>
      <c r="AR74" s="212">
        <f>AR73/AP73-1</f>
        <v>-1.6949152542372836E-2</v>
      </c>
      <c r="AS74" s="212">
        <f>AS73/AR73-1</f>
        <v>-1.7241379310344862E-2</v>
      </c>
      <c r="AT74" s="212">
        <f>AT73/AS73-1</f>
        <v>0</v>
      </c>
      <c r="AU74" s="212">
        <f>AU73/AT73-1</f>
        <v>-3.5087719298245612E-2</v>
      </c>
      <c r="AV74" s="226"/>
      <c r="AW74" s="212">
        <f>AW73/AU73-1</f>
        <v>1.8181818181818077E-2</v>
      </c>
      <c r="AX74" s="212">
        <f>AX73/AW73-1</f>
        <v>-3.5714285714285698E-2</v>
      </c>
      <c r="AY74" s="212">
        <f>AY73/AX73-1</f>
        <v>0</v>
      </c>
      <c r="AZ74" s="212">
        <f>AZ73/AY73-1</f>
        <v>-1.851851851851849E-2</v>
      </c>
      <c r="BA74" s="226"/>
      <c r="BB74" s="212">
        <f>BB73/AZ73-1</f>
        <v>0</v>
      </c>
      <c r="BC74" s="212">
        <f>BC73/BB73-1</f>
        <v>-1.8867924528301883E-2</v>
      </c>
      <c r="BD74" s="212">
        <f>BD73/BC73-1</f>
        <v>-1.9230769230769273E-2</v>
      </c>
      <c r="BE74" s="212">
        <f>BE73/BD73-1</f>
        <v>0</v>
      </c>
      <c r="BF74" s="226"/>
      <c r="BG74" s="212">
        <f>BG73/BE73-1</f>
        <v>-1.9607843137254943E-2</v>
      </c>
      <c r="BH74" s="212">
        <f>BH73/BG73-1</f>
        <v>-2.0000000000000018E-2</v>
      </c>
      <c r="BI74" s="212">
        <f>BI73/BH73-1</f>
        <v>0</v>
      </c>
      <c r="BJ74" s="212">
        <f>BJ73/BI73-1</f>
        <v>-2.0408163265306145E-2</v>
      </c>
      <c r="BK74" s="226"/>
      <c r="BL74" s="212">
        <f>BL73/BJ73-1</f>
        <v>0</v>
      </c>
      <c r="BM74" s="212">
        <f>BM73/BL73-1</f>
        <v>6.25E-2</v>
      </c>
      <c r="BN74" s="212">
        <f>BN73/BM73-1</f>
        <v>0</v>
      </c>
      <c r="BO74" s="212">
        <f>BO73/BN73-1</f>
        <v>-1.9607843137254943E-2</v>
      </c>
      <c r="BP74" s="226"/>
      <c r="BQ74" s="212">
        <f>BQ73/BO73-1</f>
        <v>-2.0000000000000018E-2</v>
      </c>
      <c r="BR74" s="212">
        <f>BR73/BQ73-1</f>
        <v>-4.081632653061229E-2</v>
      </c>
      <c r="BS74" s="212">
        <f>BS73/BR73-1</f>
        <v>-2.1276595744680882E-2</v>
      </c>
      <c r="BT74" s="212">
        <f>BT73/BS73-1</f>
        <v>0</v>
      </c>
      <c r="BU74" s="226"/>
      <c r="BV74" s="21">
        <f>BV73/BT73-1</f>
        <v>2.1739130434782705E-2</v>
      </c>
      <c r="BW74" s="21">
        <f>BW73/BV73-1</f>
        <v>-0.12765957446808507</v>
      </c>
      <c r="BX74" s="21">
        <f>BX73/BW73-1</f>
        <v>0</v>
      </c>
      <c r="BY74" s="21">
        <f>BY73/BX73-1</f>
        <v>-2.4390243902439046E-2</v>
      </c>
      <c r="BZ74" s="226"/>
      <c r="CA74" s="21">
        <f>CA73/BY73-1</f>
        <v>2.4999999999999911E-2</v>
      </c>
      <c r="CB74" s="21">
        <f>CB73/CA73-1</f>
        <v>-4.8780487804878092E-2</v>
      </c>
      <c r="CC74" s="21">
        <f>CC73/CB73-1</f>
        <v>-0.12820512820512819</v>
      </c>
      <c r="CD74" s="21">
        <f>CD73/CC73-1</f>
        <v>-2.9411764705882359E-2</v>
      </c>
      <c r="CE74" s="226"/>
      <c r="CF74" s="21">
        <f>CF73/CD73-1</f>
        <v>0</v>
      </c>
      <c r="CG74" s="21">
        <f>CG73/CF73-1</f>
        <v>0</v>
      </c>
      <c r="CH74" s="21">
        <f>CH73/CG73-1</f>
        <v>-3.0303030303030276E-2</v>
      </c>
      <c r="CI74" s="21">
        <f>CI73/CH73-1</f>
        <v>-3.125E-2</v>
      </c>
      <c r="CJ74" s="226"/>
      <c r="CK74" s="21">
        <f>CK73/CI73-1</f>
        <v>0</v>
      </c>
      <c r="CL74" s="21">
        <f>CL73/CK73-1</f>
        <v>-3.2258064516129004E-2</v>
      </c>
      <c r="CM74" s="21">
        <f>CM73/CL73-1</f>
        <v>0</v>
      </c>
      <c r="CN74" s="21">
        <f>CN73/CM73-1</f>
        <v>-3.3333333333333326E-2</v>
      </c>
      <c r="CO74" s="226"/>
    </row>
    <row r="75" spans="1:203" ht="13.9" customHeight="1">
      <c r="B75" s="20" t="s">
        <v>6</v>
      </c>
      <c r="C75" s="4"/>
      <c r="D75" s="22"/>
      <c r="E75" s="22"/>
      <c r="F75" s="22"/>
      <c r="G75" s="22"/>
      <c r="H75" s="4"/>
      <c r="I75" s="22">
        <f t="shared" ref="I75:AJ75" si="110">I73/D73-1</f>
        <v>-5.2631578947368474E-2</v>
      </c>
      <c r="J75" s="22">
        <f t="shared" si="110"/>
        <v>-9.1743119266054496E-3</v>
      </c>
      <c r="K75" s="22">
        <f t="shared" si="110"/>
        <v>-1.7699115044247815E-2</v>
      </c>
      <c r="L75" s="21">
        <f t="shared" si="110"/>
        <v>9.1743119266054496E-3</v>
      </c>
      <c r="M75" s="4">
        <f t="shared" si="110"/>
        <v>-1.8018018018018056E-2</v>
      </c>
      <c r="N75" s="22">
        <f t="shared" si="110"/>
        <v>-1.851851851851849E-2</v>
      </c>
      <c r="O75" s="22">
        <f t="shared" si="110"/>
        <v>9.2592592592593004E-3</v>
      </c>
      <c r="P75" s="22">
        <f t="shared" si="110"/>
        <v>-1.8018018018018056E-2</v>
      </c>
      <c r="Q75" s="21">
        <f t="shared" si="110"/>
        <v>9.0909090909090384E-3</v>
      </c>
      <c r="R75" s="4">
        <f t="shared" si="110"/>
        <v>0</v>
      </c>
      <c r="S75" s="22">
        <f t="shared" si="110"/>
        <v>-0.17924528301886788</v>
      </c>
      <c r="T75" s="22">
        <f t="shared" si="110"/>
        <v>-0.21100917431192656</v>
      </c>
      <c r="U75" s="22">
        <f t="shared" si="110"/>
        <v>-0.20183486238532111</v>
      </c>
      <c r="V75" s="21">
        <f t="shared" si="110"/>
        <v>-0.29729729729729726</v>
      </c>
      <c r="W75" s="211">
        <f t="shared" si="110"/>
        <v>-0.22018348623853212</v>
      </c>
      <c r="X75" s="211">
        <f t="shared" si="110"/>
        <v>-4.5977011494252928E-2</v>
      </c>
      <c r="Y75" s="211">
        <f t="shared" si="110"/>
        <v>-5.8139534883720922E-2</v>
      </c>
      <c r="Z75" s="211">
        <f t="shared" si="110"/>
        <v>-8.0459770114942541E-2</v>
      </c>
      <c r="AA75" s="212">
        <f t="shared" si="110"/>
        <v>0</v>
      </c>
      <c r="AB75" s="211">
        <f t="shared" si="110"/>
        <v>-4.705882352941182E-2</v>
      </c>
      <c r="AC75" s="211">
        <f t="shared" si="110"/>
        <v>-9.6385542168674676E-2</v>
      </c>
      <c r="AD75" s="211">
        <f t="shared" si="110"/>
        <v>-7.407407407407407E-2</v>
      </c>
      <c r="AE75" s="211">
        <f t="shared" si="110"/>
        <v>-8.7500000000000022E-2</v>
      </c>
      <c r="AF75" s="212">
        <f t="shared" si="110"/>
        <v>-0.10256410256410253</v>
      </c>
      <c r="AG75" s="211">
        <f t="shared" si="110"/>
        <v>-8.6419753086419804E-2</v>
      </c>
      <c r="AH75" s="211">
        <f t="shared" si="110"/>
        <v>-0.14666666666666661</v>
      </c>
      <c r="AI75" s="211">
        <f t="shared" si="110"/>
        <v>-0.16000000000000003</v>
      </c>
      <c r="AJ75" s="211">
        <f t="shared" si="110"/>
        <v>-0.13698630136986301</v>
      </c>
      <c r="AK75" s="212">
        <f t="shared" ref="AK75:AT75" si="111">AK73/AF73-1</f>
        <v>-0.11428571428571432</v>
      </c>
      <c r="AL75" s="211">
        <f t="shared" si="111"/>
        <v>-0.14864864864864868</v>
      </c>
      <c r="AM75" s="211">
        <f t="shared" si="111"/>
        <v>-6.25E-2</v>
      </c>
      <c r="AN75" s="211">
        <f t="shared" si="111"/>
        <v>-6.3492063492063489E-2</v>
      </c>
      <c r="AO75" s="211">
        <f t="shared" si="111"/>
        <v>-6.3492063492063489E-2</v>
      </c>
      <c r="AP75" s="212">
        <f t="shared" si="111"/>
        <v>-4.8387096774193505E-2</v>
      </c>
      <c r="AQ75" s="211">
        <f t="shared" si="111"/>
        <v>-6.3492063492063489E-2</v>
      </c>
      <c r="AR75" s="211">
        <f t="shared" si="111"/>
        <v>-3.3333333333333326E-2</v>
      </c>
      <c r="AS75" s="211">
        <f t="shared" si="111"/>
        <v>-3.3898305084745783E-2</v>
      </c>
      <c r="AT75" s="211">
        <f t="shared" si="111"/>
        <v>-3.3898305084745783E-2</v>
      </c>
      <c r="AU75" s="212">
        <f t="shared" ref="AU75:BX75" si="112">AU73/AP73-1</f>
        <v>-6.7796610169491567E-2</v>
      </c>
      <c r="AV75" s="211">
        <f t="shared" si="112"/>
        <v>-3.3898305084745783E-2</v>
      </c>
      <c r="AW75" s="211">
        <f t="shared" si="112"/>
        <v>-3.4482758620689613E-2</v>
      </c>
      <c r="AX75" s="211">
        <f t="shared" si="112"/>
        <v>-5.2631578947368474E-2</v>
      </c>
      <c r="AY75" s="211">
        <f t="shared" si="112"/>
        <v>-5.2631578947368474E-2</v>
      </c>
      <c r="AZ75" s="212">
        <f t="shared" si="112"/>
        <v>-3.6363636363636376E-2</v>
      </c>
      <c r="BA75" s="211">
        <f t="shared" si="112"/>
        <v>-5.2631578947368474E-2</v>
      </c>
      <c r="BB75" s="211">
        <f t="shared" si="112"/>
        <v>-5.3571428571428603E-2</v>
      </c>
      <c r="BC75" s="211">
        <f t="shared" si="112"/>
        <v>-3.703703703703709E-2</v>
      </c>
      <c r="BD75" s="211">
        <f t="shared" si="112"/>
        <v>-5.555555555555558E-2</v>
      </c>
      <c r="BE75" s="212">
        <f t="shared" si="112"/>
        <v>-3.7735849056603765E-2</v>
      </c>
      <c r="BF75" s="211">
        <f t="shared" si="112"/>
        <v>-3.703703703703709E-2</v>
      </c>
      <c r="BG75" s="211">
        <f t="shared" si="112"/>
        <v>-5.6603773584905648E-2</v>
      </c>
      <c r="BH75" s="211">
        <f t="shared" si="112"/>
        <v>-5.7692307692307709E-2</v>
      </c>
      <c r="BI75" s="211">
        <f t="shared" si="112"/>
        <v>-3.9215686274509776E-2</v>
      </c>
      <c r="BJ75" s="212">
        <f t="shared" si="112"/>
        <v>-5.8823529411764719E-2</v>
      </c>
      <c r="BK75" s="211">
        <f t="shared" si="112"/>
        <v>-5.7692307692307709E-2</v>
      </c>
      <c r="BL75" s="211">
        <f t="shared" si="112"/>
        <v>-4.0000000000000036E-2</v>
      </c>
      <c r="BM75" s="211">
        <f t="shared" si="112"/>
        <v>4.081632653061229E-2</v>
      </c>
      <c r="BN75" s="211">
        <f t="shared" si="112"/>
        <v>4.081632653061229E-2</v>
      </c>
      <c r="BO75" s="212">
        <f t="shared" si="112"/>
        <v>4.1666666666666741E-2</v>
      </c>
      <c r="BP75" s="211">
        <f t="shared" si="112"/>
        <v>2.0408163265306145E-2</v>
      </c>
      <c r="BQ75" s="211">
        <f t="shared" si="112"/>
        <v>2.0833333333333259E-2</v>
      </c>
      <c r="BR75" s="211">
        <f t="shared" si="112"/>
        <v>-7.8431372549019662E-2</v>
      </c>
      <c r="BS75" s="211">
        <f t="shared" si="112"/>
        <v>-9.8039215686274495E-2</v>
      </c>
      <c r="BT75" s="212">
        <f t="shared" si="112"/>
        <v>-7.999999999999996E-2</v>
      </c>
      <c r="BU75" s="211">
        <f t="shared" si="112"/>
        <v>-6.0000000000000053E-2</v>
      </c>
      <c r="BV75" s="22">
        <f t="shared" si="112"/>
        <v>-4.081632653061229E-2</v>
      </c>
      <c r="BW75" s="22">
        <f t="shared" si="112"/>
        <v>-0.12765957446808507</v>
      </c>
      <c r="BX75" s="22">
        <f t="shared" si="112"/>
        <v>-0.10869565217391308</v>
      </c>
      <c r="BY75" s="21">
        <f>BY73/BT73-1</f>
        <v>-0.13043478260869568</v>
      </c>
      <c r="BZ75" s="211">
        <f>BZ73/BU73-1</f>
        <v>-0.1063829787234043</v>
      </c>
      <c r="CA75" s="22">
        <f>CA73/BV73-1</f>
        <v>-0.12765957446808507</v>
      </c>
      <c r="CB75" s="22">
        <f>CB73/BW73-1</f>
        <v>-4.8780487804878092E-2</v>
      </c>
      <c r="CC75" s="22">
        <f t="shared" ref="CC75" si="113">CC73/BX73-1</f>
        <v>-0.17073170731707321</v>
      </c>
      <c r="CD75" s="21">
        <f>CD73/BY73-1</f>
        <v>-0.17500000000000004</v>
      </c>
      <c r="CE75" s="211">
        <f>CE73/BZ73-1</f>
        <v>-0.11904761904761907</v>
      </c>
      <c r="CF75" s="22">
        <f>CF73/CA73-1</f>
        <v>-0.19512195121951215</v>
      </c>
      <c r="CG75" s="22">
        <f>CG73/CB73-1</f>
        <v>-0.15384615384615385</v>
      </c>
      <c r="CH75" s="22">
        <f t="shared" ref="CH75" si="114">CH73/CC73-1</f>
        <v>-5.8823529411764719E-2</v>
      </c>
      <c r="CI75" s="21">
        <f>CI73/CD73-1</f>
        <v>-6.0606060606060552E-2</v>
      </c>
      <c r="CJ75" s="211">
        <f>CJ73/CE73-1</f>
        <v>-0.13513513513513509</v>
      </c>
      <c r="CK75" s="22">
        <f t="shared" ref="CK75" si="115">CK73/CF73-1</f>
        <v>-6.0606060606060552E-2</v>
      </c>
      <c r="CL75" s="22">
        <f>CL73/CG73-1</f>
        <v>-9.0909090909090939E-2</v>
      </c>
      <c r="CM75" s="22">
        <f>CM73/CH73-1</f>
        <v>-6.25E-2</v>
      </c>
      <c r="CN75" s="21">
        <f>CN73/CI73-1</f>
        <v>-6.4516129032258118E-2</v>
      </c>
      <c r="CO75" s="211">
        <f>CO73/CJ73-1</f>
        <v>-6.25E-2</v>
      </c>
    </row>
    <row r="76" spans="1:203" ht="13.9" customHeight="1">
      <c r="B76" s="12" t="s">
        <v>100</v>
      </c>
      <c r="C76" s="10">
        <v>9.5000000000000001E-2</v>
      </c>
      <c r="D76" s="35">
        <v>3.6999999999999998E-2</v>
      </c>
      <c r="E76" s="35">
        <v>2.8000000000000001E-2</v>
      </c>
      <c r="F76" s="35">
        <v>3.1E-2</v>
      </c>
      <c r="G76" s="35">
        <v>2.9000000000000001E-2</v>
      </c>
      <c r="H76" s="39" t="s">
        <v>25</v>
      </c>
      <c r="I76" s="49" t="s">
        <v>24</v>
      </c>
      <c r="J76" s="49" t="s">
        <v>24</v>
      </c>
      <c r="K76" s="49" t="s">
        <v>24</v>
      </c>
      <c r="L76" s="49" t="s">
        <v>24</v>
      </c>
      <c r="M76" s="39" t="s">
        <v>25</v>
      </c>
      <c r="N76" s="49" t="s">
        <v>24</v>
      </c>
      <c r="O76" s="49" t="s">
        <v>24</v>
      </c>
      <c r="P76" s="49" t="s">
        <v>24</v>
      </c>
      <c r="Q76" s="49" t="s">
        <v>24</v>
      </c>
      <c r="R76" s="39" t="s">
        <v>25</v>
      </c>
      <c r="S76" s="35">
        <v>3.3000000000000002E-2</v>
      </c>
      <c r="T76" s="35">
        <v>2.8000000000000001E-2</v>
      </c>
      <c r="U76" s="35">
        <v>2.8000000000000001E-2</v>
      </c>
      <c r="V76" s="35">
        <v>2.8000000000000001E-2</v>
      </c>
      <c r="W76" s="265">
        <v>0.11600000000000001</v>
      </c>
      <c r="X76" s="265">
        <v>3.2000000000000001E-2</v>
      </c>
      <c r="Y76" s="265">
        <v>3.9E-2</v>
      </c>
      <c r="Z76" s="265">
        <v>4.2000000000000003E-2</v>
      </c>
      <c r="AA76" s="265">
        <v>0.04</v>
      </c>
      <c r="AB76" s="265">
        <v>0.153</v>
      </c>
      <c r="AC76" s="265">
        <v>3.6999999999999998E-2</v>
      </c>
      <c r="AD76" s="265">
        <v>3.5000000000000003E-2</v>
      </c>
      <c r="AE76" s="265">
        <v>2.8000000000000001E-2</v>
      </c>
      <c r="AF76" s="265">
        <f>AG76-AE76-AD76-AC76</f>
        <v>3.1000000000000007E-2</v>
      </c>
      <c r="AG76" s="265">
        <v>0.13100000000000001</v>
      </c>
      <c r="AH76" s="265">
        <v>0.03</v>
      </c>
      <c r="AI76" s="265">
        <v>2.8000000000000001E-2</v>
      </c>
      <c r="AJ76" s="265">
        <v>2.8000000000000001E-2</v>
      </c>
      <c r="AK76" s="265">
        <v>2.5000000000000001E-2</v>
      </c>
      <c r="AL76" s="265">
        <v>0.111</v>
      </c>
      <c r="AM76" s="265">
        <v>2.4E-2</v>
      </c>
      <c r="AN76" s="265">
        <v>2.4E-2</v>
      </c>
      <c r="AO76" s="265">
        <v>2.5999999999999999E-2</v>
      </c>
      <c r="AP76" s="265">
        <v>2.7E-2</v>
      </c>
      <c r="AQ76" s="265">
        <v>0.10100000000000001</v>
      </c>
      <c r="AR76" s="265">
        <v>2.8000000000000001E-2</v>
      </c>
      <c r="AS76" s="265">
        <v>2.4E-2</v>
      </c>
      <c r="AT76" s="265">
        <v>2.5999999999999999E-2</v>
      </c>
      <c r="AU76" s="265">
        <v>2.4E-2</v>
      </c>
      <c r="AV76" s="265">
        <v>0.10199999999999999</v>
      </c>
      <c r="AW76" s="265">
        <v>2.7E-2</v>
      </c>
      <c r="AX76" s="265">
        <v>2.4E-2</v>
      </c>
      <c r="AY76" s="265">
        <v>2.3E-2</v>
      </c>
      <c r="AZ76" s="265">
        <v>2.4E-2</v>
      </c>
      <c r="BA76" s="265">
        <v>9.8000000000000004E-2</v>
      </c>
      <c r="BB76" s="265">
        <v>0.03</v>
      </c>
      <c r="BC76" s="265">
        <v>2.8000000000000001E-2</v>
      </c>
      <c r="BD76" s="265">
        <v>2.7E-2</v>
      </c>
      <c r="BE76" s="265">
        <v>3.1E-2</v>
      </c>
      <c r="BF76" s="265">
        <v>0.11600000000000001</v>
      </c>
      <c r="BG76" s="265">
        <v>0.03</v>
      </c>
      <c r="BH76" s="265">
        <v>2.7E-2</v>
      </c>
      <c r="BI76" s="265">
        <v>0.03</v>
      </c>
      <c r="BJ76" s="265">
        <v>2.9000000000000001E-2</v>
      </c>
      <c r="BK76" s="265">
        <v>0.11700000000000001</v>
      </c>
      <c r="BL76" s="265">
        <v>3.2000000000000001E-2</v>
      </c>
      <c r="BM76" s="265">
        <v>2.7E-2</v>
      </c>
      <c r="BN76" s="265">
        <v>3.4000000000000002E-2</v>
      </c>
      <c r="BO76" s="265">
        <f>BP76-BN76-BM76-BL76</f>
        <v>3.2000000000000001E-2</v>
      </c>
      <c r="BP76" s="265">
        <v>0.125</v>
      </c>
      <c r="BQ76" s="265">
        <v>2.8000000000000001E-2</v>
      </c>
      <c r="BR76" s="265">
        <v>2.5999999999999999E-2</v>
      </c>
      <c r="BS76" s="265">
        <v>2.4E-2</v>
      </c>
      <c r="BT76" s="265">
        <f>BU76-BS76-BR76-BQ76</f>
        <v>2.7999999999999994E-2</v>
      </c>
      <c r="BU76" s="265">
        <v>0.106</v>
      </c>
      <c r="BV76" s="35">
        <v>0.03</v>
      </c>
      <c r="BW76" s="35">
        <v>2.5999999999999999E-2</v>
      </c>
      <c r="BX76" s="35">
        <v>2.8000000000000001E-2</v>
      </c>
      <c r="BY76" s="35">
        <v>2.5000000000000001E-2</v>
      </c>
      <c r="BZ76" s="265">
        <f>BY76+BX76+BW76+BV76</f>
        <v>0.109</v>
      </c>
      <c r="CA76" s="35">
        <v>2.5000000000000001E-2</v>
      </c>
      <c r="CB76" s="35">
        <v>2.5999999999999999E-2</v>
      </c>
      <c r="CC76" s="35">
        <v>2.8000000000000001E-2</v>
      </c>
      <c r="CD76" s="35">
        <v>2.3E-2</v>
      </c>
      <c r="CE76" s="265">
        <f>CD76+CC76+CB76+CA76</f>
        <v>0.10200000000000001</v>
      </c>
      <c r="CF76" s="35">
        <v>3.1E-2</v>
      </c>
      <c r="CG76" s="35">
        <v>2.1000000000000001E-2</v>
      </c>
      <c r="CH76" s="35">
        <v>2.5000000000000001E-2</v>
      </c>
      <c r="CI76" s="35">
        <v>2.3E-2</v>
      </c>
      <c r="CJ76" s="265">
        <v>0.1</v>
      </c>
      <c r="CK76" s="35">
        <v>2.4E-2</v>
      </c>
      <c r="CL76" s="35">
        <v>2.3E-2</v>
      </c>
      <c r="CM76" s="35">
        <v>2.5999999999999999E-2</v>
      </c>
      <c r="CN76" s="35">
        <v>2.1999999999999999E-2</v>
      </c>
      <c r="CO76" s="265">
        <v>9.5000000000000001E-2</v>
      </c>
    </row>
    <row r="77" spans="1:203" ht="13.9" customHeight="1">
      <c r="B77" s="20"/>
      <c r="C77" s="4"/>
      <c r="D77" s="22"/>
      <c r="E77" s="22"/>
      <c r="F77" s="22"/>
      <c r="G77" s="22"/>
      <c r="H77" s="4"/>
      <c r="I77" s="22"/>
      <c r="J77" s="22"/>
      <c r="K77" s="22"/>
      <c r="L77" s="21"/>
      <c r="M77" s="4"/>
      <c r="N77" s="22"/>
      <c r="O77" s="22"/>
      <c r="P77" s="22"/>
      <c r="Q77" s="21"/>
      <c r="R77" s="4"/>
      <c r="S77" s="22"/>
      <c r="T77" s="22"/>
      <c r="U77" s="22"/>
      <c r="V77" s="21"/>
      <c r="W77" s="211"/>
      <c r="X77" s="211"/>
      <c r="Y77" s="211"/>
      <c r="Z77" s="211"/>
      <c r="AA77" s="212"/>
      <c r="AB77" s="211"/>
      <c r="AC77" s="211"/>
      <c r="AD77" s="211"/>
      <c r="AE77" s="211"/>
      <c r="AF77" s="212"/>
      <c r="AG77" s="211"/>
      <c r="AH77" s="211"/>
      <c r="AI77" s="211"/>
      <c r="AJ77" s="211"/>
      <c r="AK77" s="212"/>
      <c r="AL77" s="211"/>
      <c r="AM77" s="211"/>
      <c r="AN77" s="211"/>
      <c r="AO77" s="211"/>
      <c r="AP77" s="212"/>
      <c r="AQ77" s="211"/>
      <c r="AR77" s="211"/>
      <c r="AS77" s="211"/>
      <c r="AT77" s="211"/>
      <c r="AU77" s="212"/>
      <c r="AV77" s="211"/>
      <c r="AW77" s="211"/>
      <c r="AX77" s="211"/>
      <c r="AY77" s="211"/>
      <c r="AZ77" s="212"/>
      <c r="BA77" s="211"/>
      <c r="BB77" s="211"/>
      <c r="BC77" s="211"/>
      <c r="BD77" s="211"/>
      <c r="BE77" s="212"/>
      <c r="BF77" s="211"/>
      <c r="BG77" s="211"/>
      <c r="BH77" s="211"/>
      <c r="BI77" s="211"/>
      <c r="BJ77" s="212"/>
      <c r="BK77" s="211"/>
      <c r="BL77" s="211"/>
      <c r="BM77" s="211"/>
      <c r="BN77" s="211"/>
      <c r="BO77" s="212"/>
      <c r="BP77" s="211"/>
      <c r="BQ77" s="211"/>
      <c r="BR77" s="211"/>
      <c r="BS77" s="211"/>
      <c r="BT77" s="212"/>
      <c r="BU77" s="211"/>
      <c r="BV77" s="22"/>
      <c r="BW77" s="22"/>
      <c r="BX77" s="22"/>
      <c r="BY77" s="21"/>
      <c r="BZ77" s="211"/>
      <c r="CA77" s="22"/>
      <c r="CB77" s="22"/>
      <c r="CC77" s="22"/>
      <c r="CD77" s="21"/>
      <c r="CE77" s="211"/>
      <c r="CF77" s="22"/>
      <c r="CG77" s="22"/>
      <c r="CH77" s="22"/>
      <c r="CI77" s="21"/>
      <c r="CJ77" s="211"/>
      <c r="CK77" s="22"/>
      <c r="CL77" s="22"/>
      <c r="CM77" s="22"/>
      <c r="CN77" s="21"/>
      <c r="CO77" s="211"/>
    </row>
    <row r="78" spans="1:203" ht="3.75" customHeight="1">
      <c r="B78" s="201"/>
      <c r="C78" s="201"/>
      <c r="D78" s="283"/>
      <c r="E78" s="283"/>
      <c r="F78" s="283"/>
      <c r="G78" s="283"/>
      <c r="H78" s="283"/>
      <c r="I78" s="283"/>
      <c r="J78" s="283"/>
      <c r="K78" s="283"/>
      <c r="L78" s="283"/>
      <c r="M78" s="283"/>
      <c r="N78" s="283"/>
      <c r="O78" s="283"/>
      <c r="P78" s="283"/>
      <c r="Q78" s="283"/>
      <c r="R78" s="283"/>
      <c r="S78" s="283"/>
      <c r="T78" s="283"/>
      <c r="U78" s="283"/>
      <c r="V78" s="283"/>
      <c r="W78" s="283"/>
      <c r="X78" s="283"/>
      <c r="Y78" s="283"/>
      <c r="Z78" s="283"/>
      <c r="AA78" s="283"/>
      <c r="AB78" s="283"/>
      <c r="AC78" s="283"/>
      <c r="AD78" s="283"/>
      <c r="AE78" s="283"/>
      <c r="AF78" s="283"/>
      <c r="AG78" s="283"/>
      <c r="AH78" s="283"/>
      <c r="AI78" s="283"/>
      <c r="AJ78" s="283"/>
      <c r="AK78" s="283"/>
      <c r="AL78" s="283"/>
      <c r="AM78" s="283"/>
      <c r="AN78" s="283"/>
      <c r="AO78" s="283"/>
      <c r="AP78" s="283"/>
      <c r="AQ78" s="283"/>
      <c r="AR78" s="283"/>
      <c r="AS78" s="283"/>
      <c r="AT78" s="283"/>
      <c r="AU78" s="283"/>
      <c r="AV78" s="283"/>
      <c r="AW78" s="283"/>
      <c r="AX78" s="283"/>
      <c r="AY78" s="283"/>
      <c r="AZ78" s="283"/>
      <c r="BA78" s="283"/>
      <c r="BB78" s="283"/>
      <c r="BC78" s="283"/>
      <c r="BD78" s="283"/>
      <c r="BE78" s="283"/>
      <c r="BF78" s="283"/>
      <c r="BG78" s="283"/>
      <c r="BH78" s="283"/>
      <c r="BI78" s="283"/>
      <c r="BJ78" s="283"/>
      <c r="BK78" s="283"/>
      <c r="BL78" s="283"/>
      <c r="BM78" s="283"/>
      <c r="BN78" s="283"/>
      <c r="BO78" s="283"/>
      <c r="BP78" s="283"/>
      <c r="BQ78" s="283"/>
      <c r="BR78" s="283"/>
      <c r="BS78" s="283"/>
      <c r="BT78" s="283"/>
      <c r="BU78" s="283"/>
      <c r="BV78" s="283"/>
      <c r="BW78" s="283"/>
      <c r="BX78" s="283"/>
      <c r="BY78" s="283"/>
      <c r="BZ78" s="283"/>
      <c r="CA78" s="283"/>
      <c r="CB78" s="283"/>
      <c r="CC78" s="283"/>
      <c r="CD78" s="283"/>
      <c r="CE78" s="283"/>
      <c r="CF78" s="283"/>
      <c r="CG78" s="283"/>
      <c r="CH78" s="283"/>
      <c r="CI78" s="283"/>
      <c r="CJ78" s="283"/>
      <c r="CK78" s="283"/>
      <c r="CL78" s="283"/>
      <c r="CM78" s="283"/>
      <c r="CN78" s="283"/>
      <c r="CO78" s="283"/>
    </row>
    <row r="79" spans="1:203" s="2" customFormat="1" ht="13.9" customHeight="1">
      <c r="B79" s="12" t="s">
        <v>14</v>
      </c>
      <c r="C79" s="9">
        <v>7614</v>
      </c>
      <c r="D79" s="27" t="s">
        <v>25</v>
      </c>
      <c r="E79" s="27" t="s">
        <v>25</v>
      </c>
      <c r="F79" s="27" t="s">
        <v>25</v>
      </c>
      <c r="G79" s="27" t="s">
        <v>25</v>
      </c>
      <c r="H79" s="9">
        <v>7530</v>
      </c>
      <c r="I79" s="49" t="s">
        <v>24</v>
      </c>
      <c r="J79" s="49" t="s">
        <v>24</v>
      </c>
      <c r="K79" s="49" t="s">
        <v>24</v>
      </c>
      <c r="L79" s="49" t="s">
        <v>24</v>
      </c>
      <c r="M79" s="9">
        <v>7364</v>
      </c>
      <c r="N79" s="49" t="s">
        <v>24</v>
      </c>
      <c r="O79" s="49" t="s">
        <v>24</v>
      </c>
      <c r="P79" s="49" t="s">
        <v>24</v>
      </c>
      <c r="Q79" s="49" t="s">
        <v>24</v>
      </c>
      <c r="R79" s="9">
        <v>7216</v>
      </c>
      <c r="S79" s="49" t="s">
        <v>24</v>
      </c>
      <c r="T79" s="49" t="s">
        <v>24</v>
      </c>
      <c r="U79" s="49" t="s">
        <v>24</v>
      </c>
      <c r="V79" s="49" t="s">
        <v>24</v>
      </c>
      <c r="W79" s="210">
        <v>7076</v>
      </c>
      <c r="X79" s="266" t="s">
        <v>24</v>
      </c>
      <c r="Y79" s="266" t="s">
        <v>24</v>
      </c>
      <c r="Z79" s="266" t="s">
        <v>24</v>
      </c>
      <c r="AA79" s="266" t="s">
        <v>24</v>
      </c>
      <c r="AB79" s="210">
        <v>7422</v>
      </c>
      <c r="AC79" s="236" t="s">
        <v>24</v>
      </c>
      <c r="AD79" s="236" t="s">
        <v>24</v>
      </c>
      <c r="AE79" s="210">
        <v>6576</v>
      </c>
      <c r="AF79" s="210">
        <v>6479</v>
      </c>
      <c r="AG79" s="210">
        <v>6479</v>
      </c>
      <c r="AH79" s="236" t="s">
        <v>24</v>
      </c>
      <c r="AI79" s="236" t="s">
        <v>24</v>
      </c>
      <c r="AJ79" s="236" t="s">
        <v>24</v>
      </c>
      <c r="AK79" s="210">
        <v>5964</v>
      </c>
      <c r="AL79" s="210">
        <v>5964</v>
      </c>
      <c r="AM79" s="236" t="s">
        <v>24</v>
      </c>
      <c r="AN79" s="236" t="s">
        <v>24</v>
      </c>
      <c r="AO79" s="236" t="s">
        <v>24</v>
      </c>
      <c r="AP79" s="210">
        <v>5896</v>
      </c>
      <c r="AQ79" s="210">
        <v>5896</v>
      </c>
      <c r="AR79" s="236" t="s">
        <v>24</v>
      </c>
      <c r="AS79" s="236" t="s">
        <v>24</v>
      </c>
      <c r="AT79" s="236" t="s">
        <v>24</v>
      </c>
      <c r="AU79" s="210">
        <v>5649</v>
      </c>
      <c r="AV79" s="210">
        <v>5649</v>
      </c>
      <c r="AW79" s="236" t="s">
        <v>24</v>
      </c>
      <c r="AX79" s="236" t="s">
        <v>24</v>
      </c>
      <c r="AY79" s="236" t="s">
        <v>24</v>
      </c>
      <c r="AZ79" s="210">
        <v>5582</v>
      </c>
      <c r="BA79" s="210">
        <v>5582</v>
      </c>
      <c r="BB79" s="236" t="s">
        <v>24</v>
      </c>
      <c r="BC79" s="236" t="s">
        <v>24</v>
      </c>
      <c r="BD79" s="236" t="s">
        <v>24</v>
      </c>
      <c r="BE79" s="210">
        <f>BF79</f>
        <v>5494</v>
      </c>
      <c r="BF79" s="210">
        <v>5494</v>
      </c>
      <c r="BG79" s="210">
        <v>5358</v>
      </c>
      <c r="BH79" s="236" t="s">
        <v>24</v>
      </c>
      <c r="BI79" s="236" t="s">
        <v>24</v>
      </c>
      <c r="BJ79" s="210">
        <f>BK79</f>
        <v>5256</v>
      </c>
      <c r="BK79" s="210">
        <v>5256</v>
      </c>
      <c r="BL79" s="236" t="s">
        <v>24</v>
      </c>
      <c r="BM79" s="236" t="s">
        <v>24</v>
      </c>
      <c r="BN79" s="236" t="s">
        <v>24</v>
      </c>
      <c r="BO79" s="210">
        <v>5408</v>
      </c>
      <c r="BP79" s="210">
        <v>5408</v>
      </c>
      <c r="BQ79" s="236" t="s">
        <v>24</v>
      </c>
      <c r="BR79" s="236" t="s">
        <v>24</v>
      </c>
      <c r="BS79" s="236" t="s">
        <v>24</v>
      </c>
      <c r="BT79" s="210">
        <f>BU79</f>
        <v>5475</v>
      </c>
      <c r="BU79" s="210">
        <v>5475</v>
      </c>
      <c r="BV79" s="56" t="s">
        <v>24</v>
      </c>
      <c r="BW79" s="56" t="s">
        <v>24</v>
      </c>
      <c r="BX79" s="56" t="s">
        <v>24</v>
      </c>
      <c r="BY79" s="19">
        <f>BZ79</f>
        <v>5598</v>
      </c>
      <c r="BZ79" s="210">
        <v>5598</v>
      </c>
      <c r="CA79" s="56" t="s">
        <v>24</v>
      </c>
      <c r="CB79" s="56" t="s">
        <v>24</v>
      </c>
      <c r="CC79" s="56" t="s">
        <v>24</v>
      </c>
      <c r="CD79" s="19">
        <f>CE79</f>
        <v>5432</v>
      </c>
      <c r="CE79" s="210">
        <v>5432</v>
      </c>
      <c r="CF79" s="56" t="s">
        <v>24</v>
      </c>
      <c r="CG79" s="56" t="s">
        <v>24</v>
      </c>
      <c r="CH79" s="56" t="s">
        <v>24</v>
      </c>
      <c r="CI79" s="19">
        <f>CJ79</f>
        <v>5425</v>
      </c>
      <c r="CJ79" s="210">
        <v>5425</v>
      </c>
      <c r="CK79" s="56" t="s">
        <v>24</v>
      </c>
      <c r="CL79" s="56" t="s">
        <v>24</v>
      </c>
      <c r="CM79" s="56" t="s">
        <v>24</v>
      </c>
      <c r="CN79" s="19">
        <f>CO79</f>
        <v>5286</v>
      </c>
      <c r="CO79" s="210">
        <v>5286</v>
      </c>
    </row>
    <row r="80" spans="1:203" ht="13.9" customHeight="1">
      <c r="B80" s="20" t="s">
        <v>6</v>
      </c>
      <c r="C80" s="4"/>
      <c r="D80" s="22"/>
      <c r="E80" s="22"/>
      <c r="F80" s="22"/>
      <c r="G80" s="22"/>
      <c r="H80" s="4">
        <f>H79/C79-1</f>
        <v>-1.1032308904649346E-2</v>
      </c>
      <c r="I80" s="22"/>
      <c r="J80" s="22"/>
      <c r="K80" s="22"/>
      <c r="L80" s="21"/>
      <c r="M80" s="4">
        <f>M79/H79-1</f>
        <v>-2.2045152722443562E-2</v>
      </c>
      <c r="N80" s="22"/>
      <c r="O80" s="22"/>
      <c r="P80" s="22"/>
      <c r="Q80" s="21"/>
      <c r="R80" s="4">
        <f>R79/M79-1</f>
        <v>-2.0097772949484005E-2</v>
      </c>
      <c r="S80" s="22"/>
      <c r="T80" s="22"/>
      <c r="U80" s="22"/>
      <c r="V80" s="21"/>
      <c r="W80" s="211">
        <f>W79/R79-1</f>
        <v>-1.940133037694014E-2</v>
      </c>
      <c r="X80" s="211"/>
      <c r="Y80" s="211"/>
      <c r="Z80" s="211"/>
      <c r="AA80" s="212"/>
      <c r="AB80" s="211">
        <f>AB79/W79-1</f>
        <v>4.8897682306387802E-2</v>
      </c>
      <c r="AC80" s="211"/>
      <c r="AD80" s="211"/>
      <c r="AE80" s="211"/>
      <c r="AF80" s="212"/>
      <c r="AG80" s="211">
        <f>AG79/AB79-1</f>
        <v>-0.12705470223659387</v>
      </c>
      <c r="AH80" s="211"/>
      <c r="AI80" s="211"/>
      <c r="AJ80" s="211"/>
      <c r="AK80" s="212"/>
      <c r="AL80" s="211">
        <f>AL79/AG79-1</f>
        <v>-7.9487575243093023E-2</v>
      </c>
      <c r="AM80" s="211"/>
      <c r="AN80" s="211"/>
      <c r="AO80" s="211"/>
      <c r="AP80" s="212"/>
      <c r="AQ80" s="211">
        <f>AQ79/AL79-1</f>
        <v>-1.1401743796110031E-2</v>
      </c>
      <c r="AR80" s="211"/>
      <c r="AS80" s="211"/>
      <c r="AT80" s="211"/>
      <c r="AU80" s="212"/>
      <c r="AV80" s="211">
        <f>AV79/AQ79-1</f>
        <v>-4.1892808683853477E-2</v>
      </c>
      <c r="AW80" s="211"/>
      <c r="AX80" s="211"/>
      <c r="AY80" s="211"/>
      <c r="AZ80" s="212"/>
      <c r="BA80" s="211">
        <f>BA79/AV79-1</f>
        <v>-1.1860506284298133E-2</v>
      </c>
      <c r="BB80" s="211"/>
      <c r="BC80" s="211"/>
      <c r="BD80" s="211"/>
      <c r="BE80" s="212"/>
      <c r="BF80" s="211">
        <f>BF79/BA79-1</f>
        <v>-1.5764958796130379E-2</v>
      </c>
      <c r="BG80" s="211"/>
      <c r="BH80" s="211"/>
      <c r="BI80" s="211"/>
      <c r="BJ80" s="212"/>
      <c r="BK80" s="211">
        <f>BK79/BF79-1</f>
        <v>-4.3319985438660336E-2</v>
      </c>
      <c r="BL80" s="211"/>
      <c r="BM80" s="211"/>
      <c r="BN80" s="211"/>
      <c r="BO80" s="212"/>
      <c r="BP80" s="211">
        <f>BP79/BK79-1</f>
        <v>2.8919330289193246E-2</v>
      </c>
      <c r="BQ80" s="211"/>
      <c r="BR80" s="211"/>
      <c r="BS80" s="211"/>
      <c r="BT80" s="212"/>
      <c r="BU80" s="211">
        <f>BU79/BP79-1</f>
        <v>1.2389053254437954E-2</v>
      </c>
      <c r="BV80" s="22"/>
      <c r="BW80" s="22"/>
      <c r="BX80" s="22"/>
      <c r="BY80" s="21"/>
      <c r="BZ80" s="211">
        <f>BZ79/BU79-1</f>
        <v>2.2465753424657509E-2</v>
      </c>
      <c r="CA80" s="22"/>
      <c r="CB80" s="22"/>
      <c r="CC80" s="22"/>
      <c r="CD80" s="21"/>
      <c r="CE80" s="211">
        <f>CE79/BZ79-1</f>
        <v>-2.965344765987854E-2</v>
      </c>
      <c r="CF80" s="22"/>
      <c r="CG80" s="22"/>
      <c r="CH80" s="22"/>
      <c r="CI80" s="21"/>
      <c r="CJ80" s="211">
        <f>CJ79/CE79-1</f>
        <v>-1.2886597938144284E-3</v>
      </c>
      <c r="CK80" s="22"/>
      <c r="CL80" s="22"/>
      <c r="CM80" s="22"/>
      <c r="CN80" s="21"/>
      <c r="CO80" s="211">
        <f>CO79/CJ79-1</f>
        <v>-2.5622119815668198E-2</v>
      </c>
    </row>
    <row r="81" spans="1:203" ht="13.9" customHeight="1">
      <c r="B81" s="12" t="s">
        <v>513</v>
      </c>
      <c r="C81" s="4"/>
      <c r="D81" s="22"/>
      <c r="E81" s="22"/>
      <c r="F81" s="22"/>
      <c r="G81" s="22"/>
      <c r="H81" s="4"/>
      <c r="I81" s="22"/>
      <c r="J81" s="22"/>
      <c r="K81" s="22"/>
      <c r="L81" s="21"/>
      <c r="M81" s="4"/>
      <c r="N81" s="22"/>
      <c r="O81" s="22"/>
      <c r="P81" s="22"/>
      <c r="Q81" s="21"/>
      <c r="R81" s="4"/>
      <c r="S81" s="22"/>
      <c r="T81" s="22"/>
      <c r="U81" s="22"/>
      <c r="V81" s="21"/>
      <c r="W81" s="211"/>
      <c r="X81" s="211"/>
      <c r="Y81" s="211"/>
      <c r="Z81" s="211"/>
      <c r="AA81" s="212"/>
      <c r="AB81" s="211"/>
      <c r="AC81" s="211"/>
      <c r="AD81" s="211"/>
      <c r="AE81" s="211"/>
      <c r="AF81" s="212"/>
      <c r="AG81" s="211"/>
      <c r="AH81" s="211"/>
      <c r="AI81" s="211"/>
      <c r="AJ81" s="211"/>
      <c r="AK81" s="212"/>
      <c r="AL81" s="211"/>
      <c r="AM81" s="211"/>
      <c r="AN81" s="211"/>
      <c r="AO81" s="211"/>
      <c r="AP81" s="212"/>
      <c r="AQ81" s="211"/>
      <c r="AR81" s="211"/>
      <c r="AS81" s="211"/>
      <c r="AT81" s="211"/>
      <c r="AU81" s="212"/>
      <c r="AV81" s="211"/>
      <c r="AW81" s="211"/>
      <c r="AX81" s="211"/>
      <c r="AY81" s="211"/>
      <c r="AZ81" s="212"/>
      <c r="BA81" s="211"/>
      <c r="BB81" s="211"/>
      <c r="BC81" s="211"/>
      <c r="BD81" s="211"/>
      <c r="BE81" s="212"/>
      <c r="BF81" s="211"/>
      <c r="BG81" s="211"/>
      <c r="BH81" s="211"/>
      <c r="BI81" s="211"/>
      <c r="BJ81" s="212"/>
      <c r="BK81" s="211"/>
      <c r="BL81" s="211"/>
      <c r="BM81" s="211"/>
      <c r="BN81" s="211"/>
      <c r="BO81" s="212"/>
      <c r="BP81" s="211"/>
      <c r="BQ81" s="211"/>
      <c r="BR81" s="211"/>
      <c r="BS81" s="211"/>
      <c r="BT81" s="212"/>
      <c r="BU81" s="211"/>
      <c r="BV81" s="22"/>
      <c r="BW81" s="22"/>
      <c r="BX81" s="22"/>
      <c r="BY81" s="21"/>
      <c r="BZ81" s="211"/>
      <c r="CA81" s="22"/>
      <c r="CB81" s="22"/>
      <c r="CC81" s="22"/>
      <c r="CD81" s="21"/>
      <c r="CE81" s="211"/>
      <c r="CF81" s="56" t="s">
        <v>24</v>
      </c>
      <c r="CG81" s="56" t="s">
        <v>24</v>
      </c>
      <c r="CH81" s="56" t="s">
        <v>24</v>
      </c>
      <c r="CI81" s="19">
        <f>CJ81</f>
        <v>5495</v>
      </c>
      <c r="CJ81" s="210">
        <v>5495</v>
      </c>
      <c r="CK81" s="56" t="s">
        <v>24</v>
      </c>
      <c r="CL81" s="56" t="s">
        <v>24</v>
      </c>
      <c r="CM81" s="56" t="s">
        <v>24</v>
      </c>
      <c r="CN81" s="19">
        <f>CO81</f>
        <v>5464</v>
      </c>
      <c r="CO81" s="210">
        <v>5464</v>
      </c>
    </row>
    <row r="82" spans="1:203" ht="12.6" customHeight="1">
      <c r="B82" s="20" t="s">
        <v>6</v>
      </c>
      <c r="C82" s="4"/>
      <c r="D82" s="22"/>
      <c r="E82" s="22"/>
      <c r="F82" s="22"/>
      <c r="G82" s="22"/>
      <c r="H82" s="4"/>
      <c r="I82" s="22"/>
      <c r="J82" s="22"/>
      <c r="K82" s="22"/>
      <c r="L82" s="21"/>
      <c r="M82" s="4"/>
      <c r="N82" s="22"/>
      <c r="O82" s="22"/>
      <c r="P82" s="22"/>
      <c r="Q82" s="21"/>
      <c r="R82" s="4"/>
      <c r="S82" s="22"/>
      <c r="T82" s="22"/>
      <c r="U82" s="22"/>
      <c r="V82" s="21"/>
      <c r="W82" s="211"/>
      <c r="X82" s="211"/>
      <c r="Y82" s="211"/>
      <c r="Z82" s="211"/>
      <c r="AA82" s="212"/>
      <c r="AB82" s="211"/>
      <c r="AC82" s="211"/>
      <c r="AD82" s="211"/>
      <c r="AE82" s="211"/>
      <c r="AF82" s="212"/>
      <c r="AG82" s="211"/>
      <c r="AH82" s="211"/>
      <c r="AI82" s="211"/>
      <c r="AJ82" s="211"/>
      <c r="AK82" s="212"/>
      <c r="AL82" s="211"/>
      <c r="AM82" s="211"/>
      <c r="AN82" s="211"/>
      <c r="AO82" s="211"/>
      <c r="AP82" s="212"/>
      <c r="AQ82" s="211" t="s">
        <v>98</v>
      </c>
      <c r="AR82" s="211"/>
      <c r="AS82" s="211"/>
      <c r="AT82" s="211"/>
      <c r="AU82" s="212"/>
      <c r="AV82" s="211" t="s">
        <v>98</v>
      </c>
      <c r="AW82" s="211"/>
      <c r="AX82" s="211"/>
      <c r="AY82" s="211"/>
      <c r="AZ82" s="212"/>
      <c r="BA82" s="211" t="s">
        <v>98</v>
      </c>
      <c r="BB82" s="211"/>
      <c r="BC82" s="211"/>
      <c r="BD82" s="211"/>
      <c r="BE82" s="212"/>
      <c r="BF82" s="211" t="s">
        <v>98</v>
      </c>
      <c r="BG82" s="211"/>
      <c r="BH82" s="211"/>
      <c r="BI82" s="211"/>
      <c r="BJ82" s="212"/>
      <c r="BK82" s="211" t="s">
        <v>98</v>
      </c>
      <c r="BL82" s="211"/>
      <c r="BM82" s="211"/>
      <c r="BN82" s="211"/>
      <c r="BO82" s="212"/>
      <c r="BP82" s="211" t="s">
        <v>98</v>
      </c>
      <c r="BQ82" s="211"/>
      <c r="BR82" s="211"/>
      <c r="BS82" s="211"/>
      <c r="BT82" s="212"/>
      <c r="BU82" s="211" t="s">
        <v>98</v>
      </c>
      <c r="BV82" s="22"/>
      <c r="BW82" s="22"/>
      <c r="BX82" s="22"/>
      <c r="BY82" s="21"/>
      <c r="BZ82" s="211" t="s">
        <v>98</v>
      </c>
      <c r="CA82" s="22"/>
      <c r="CB82" s="22"/>
      <c r="CC82" s="22"/>
      <c r="CD82" s="21"/>
      <c r="CE82" s="211" t="s">
        <v>98</v>
      </c>
      <c r="CF82" s="22"/>
      <c r="CG82" s="22"/>
      <c r="CH82" s="22"/>
      <c r="CI82" s="21"/>
      <c r="CJ82" s="211" t="s">
        <v>98</v>
      </c>
      <c r="CK82" s="22"/>
      <c r="CL82" s="22"/>
      <c r="CM82" s="22"/>
      <c r="CN82" s="21"/>
      <c r="CO82" s="211">
        <f>CO81/CJ81-1</f>
        <v>-5.641492265696102E-3</v>
      </c>
    </row>
    <row r="83" spans="1:203" s="11" customFormat="1" ht="13.9" customHeight="1">
      <c r="A83" s="1"/>
      <c r="B83" s="12" t="s">
        <v>520</v>
      </c>
      <c r="C83" s="71" t="s">
        <v>24</v>
      </c>
      <c r="D83" s="10"/>
      <c r="E83" s="10"/>
      <c r="F83" s="10"/>
      <c r="G83" s="10"/>
      <c r="H83" s="71" t="s">
        <v>24</v>
      </c>
      <c r="I83" s="10"/>
      <c r="J83" s="10"/>
      <c r="K83" s="10"/>
      <c r="L83" s="10"/>
      <c r="M83" s="72">
        <v>0.59</v>
      </c>
      <c r="N83" s="72"/>
      <c r="O83" s="72"/>
      <c r="P83" s="72"/>
      <c r="Q83" s="72"/>
      <c r="R83" s="72">
        <v>0.59</v>
      </c>
      <c r="S83" s="72"/>
      <c r="T83" s="72"/>
      <c r="U83" s="72"/>
      <c r="V83" s="72"/>
      <c r="W83" s="267">
        <v>0.59</v>
      </c>
      <c r="X83" s="267"/>
      <c r="Y83" s="267"/>
      <c r="Z83" s="267"/>
      <c r="AA83" s="267"/>
      <c r="AB83" s="267">
        <v>0.6</v>
      </c>
      <c r="AC83" s="267"/>
      <c r="AD83" s="267"/>
      <c r="AE83" s="267"/>
      <c r="AF83" s="267"/>
      <c r="AG83" s="267">
        <v>0.63</v>
      </c>
      <c r="AH83" s="236" t="s">
        <v>24</v>
      </c>
      <c r="AI83" s="236" t="s">
        <v>24</v>
      </c>
      <c r="AJ83" s="236" t="s">
        <v>24</v>
      </c>
      <c r="AK83" s="236" t="s">
        <v>24</v>
      </c>
      <c r="AL83" s="267">
        <v>0.66</v>
      </c>
      <c r="AM83" s="236" t="s">
        <v>24</v>
      </c>
      <c r="AN83" s="236" t="s">
        <v>24</v>
      </c>
      <c r="AO83" s="236" t="s">
        <v>24</v>
      </c>
      <c r="AP83" s="236" t="s">
        <v>24</v>
      </c>
      <c r="AQ83" s="267">
        <v>0.68</v>
      </c>
      <c r="AR83" s="236" t="s">
        <v>24</v>
      </c>
      <c r="AS83" s="236" t="s">
        <v>24</v>
      </c>
      <c r="AT83" s="236" t="s">
        <v>24</v>
      </c>
      <c r="AU83" s="236" t="s">
        <v>24</v>
      </c>
      <c r="AV83" s="267">
        <v>0.69</v>
      </c>
      <c r="AW83" s="236" t="s">
        <v>24</v>
      </c>
      <c r="AX83" s="236" t="s">
        <v>24</v>
      </c>
      <c r="AY83" s="236" t="s">
        <v>24</v>
      </c>
      <c r="AZ83" s="236" t="s">
        <v>24</v>
      </c>
      <c r="BA83" s="267">
        <v>0.7</v>
      </c>
      <c r="BB83" s="236" t="s">
        <v>24</v>
      </c>
      <c r="BC83" s="236" t="s">
        <v>24</v>
      </c>
      <c r="BD83" s="236" t="s">
        <v>24</v>
      </c>
      <c r="BE83" s="236" t="s">
        <v>24</v>
      </c>
      <c r="BF83" s="267">
        <v>0.69</v>
      </c>
      <c r="BG83" s="236" t="s">
        <v>24</v>
      </c>
      <c r="BH83" s="236" t="s">
        <v>24</v>
      </c>
      <c r="BI83" s="236" t="s">
        <v>24</v>
      </c>
      <c r="BJ83" s="236" t="s">
        <v>24</v>
      </c>
      <c r="BK83" s="267">
        <v>0.63</v>
      </c>
      <c r="BL83" s="236" t="s">
        <v>24</v>
      </c>
      <c r="BM83" s="236" t="s">
        <v>24</v>
      </c>
      <c r="BN83" s="236" t="s">
        <v>24</v>
      </c>
      <c r="BO83" s="236" t="s">
        <v>24</v>
      </c>
      <c r="BP83" s="267">
        <v>0.61</v>
      </c>
      <c r="BQ83" s="236" t="s">
        <v>24</v>
      </c>
      <c r="BR83" s="236" t="s">
        <v>24</v>
      </c>
      <c r="BS83" s="236" t="s">
        <v>24</v>
      </c>
      <c r="BT83" s="236" t="s">
        <v>24</v>
      </c>
      <c r="BU83" s="267">
        <v>0.56999999999999995</v>
      </c>
      <c r="BV83" s="56" t="s">
        <v>24</v>
      </c>
      <c r="BW83" s="56" t="s">
        <v>24</v>
      </c>
      <c r="BX83" s="56" t="s">
        <v>24</v>
      </c>
      <c r="BY83" s="56" t="s">
        <v>24</v>
      </c>
      <c r="BZ83" s="267">
        <v>0.55000000000000004</v>
      </c>
      <c r="CA83" s="56" t="s">
        <v>24</v>
      </c>
      <c r="CB83" s="56" t="s">
        <v>24</v>
      </c>
      <c r="CC83" s="56" t="s">
        <v>24</v>
      </c>
      <c r="CD83" s="56" t="s">
        <v>24</v>
      </c>
      <c r="CE83" s="267">
        <v>0.55000000000000004</v>
      </c>
      <c r="CF83" s="56" t="s">
        <v>24</v>
      </c>
      <c r="CG83" s="56" t="s">
        <v>24</v>
      </c>
      <c r="CH83" s="56" t="s">
        <v>24</v>
      </c>
      <c r="CI83" s="56" t="s">
        <v>24</v>
      </c>
      <c r="CJ83" s="267">
        <v>0.53</v>
      </c>
      <c r="CK83" s="56" t="s">
        <v>24</v>
      </c>
      <c r="CL83" s="56" t="s">
        <v>24</v>
      </c>
      <c r="CM83" s="56" t="s">
        <v>24</v>
      </c>
      <c r="CN83" s="56" t="s">
        <v>24</v>
      </c>
      <c r="CO83" s="267">
        <v>0.53</v>
      </c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</row>
    <row r="84" spans="1:203" s="11" customFormat="1" ht="13.9" customHeight="1">
      <c r="A84" s="1"/>
      <c r="B84" s="12" t="s">
        <v>521</v>
      </c>
      <c r="C84" s="71"/>
      <c r="D84" s="10"/>
      <c r="E84" s="10"/>
      <c r="F84" s="10"/>
      <c r="G84" s="10"/>
      <c r="H84" s="71"/>
      <c r="I84" s="10"/>
      <c r="J84" s="10"/>
      <c r="K84" s="10"/>
      <c r="L84" s="10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268" t="s">
        <v>24</v>
      </c>
      <c r="X84" s="267"/>
      <c r="Y84" s="267"/>
      <c r="Z84" s="267"/>
      <c r="AA84" s="267"/>
      <c r="AB84" s="268" t="s">
        <v>24</v>
      </c>
      <c r="AC84" s="267"/>
      <c r="AD84" s="267"/>
      <c r="AE84" s="267"/>
      <c r="AF84" s="267"/>
      <c r="AG84" s="268" t="s">
        <v>24</v>
      </c>
      <c r="AH84" s="236"/>
      <c r="AI84" s="236"/>
      <c r="AJ84" s="236"/>
      <c r="AK84" s="236"/>
      <c r="AL84" s="268" t="s">
        <v>24</v>
      </c>
      <c r="AM84" s="236"/>
      <c r="AN84" s="236"/>
      <c r="AO84" s="236"/>
      <c r="AP84" s="236"/>
      <c r="AQ84" s="268" t="s">
        <v>24</v>
      </c>
      <c r="AR84" s="236"/>
      <c r="AS84" s="236"/>
      <c r="AT84" s="236"/>
      <c r="AU84" s="236"/>
      <c r="AV84" s="268" t="s">
        <v>24</v>
      </c>
      <c r="AW84" s="236"/>
      <c r="AX84" s="236"/>
      <c r="AY84" s="236"/>
      <c r="AZ84" s="236"/>
      <c r="BA84" s="268" t="s">
        <v>24</v>
      </c>
      <c r="BB84" s="236"/>
      <c r="BC84" s="236"/>
      <c r="BD84" s="236"/>
      <c r="BE84" s="236"/>
      <c r="BF84" s="268" t="s">
        <v>24</v>
      </c>
      <c r="BG84" s="236"/>
      <c r="BH84" s="236"/>
      <c r="BI84" s="236"/>
      <c r="BJ84" s="236"/>
      <c r="BK84" s="267">
        <v>0.39</v>
      </c>
      <c r="BL84" s="236"/>
      <c r="BM84" s="236"/>
      <c r="BN84" s="236"/>
      <c r="BO84" s="236"/>
      <c r="BP84" s="267">
        <v>0.39</v>
      </c>
      <c r="BQ84" s="236"/>
      <c r="BR84" s="236"/>
      <c r="BS84" s="236"/>
      <c r="BT84" s="236"/>
      <c r="BU84" s="267">
        <v>0.38</v>
      </c>
      <c r="BV84" s="56"/>
      <c r="BW84" s="56"/>
      <c r="BX84" s="56"/>
      <c r="BY84" s="56"/>
      <c r="BZ84" s="267">
        <v>0.38</v>
      </c>
      <c r="CA84" s="56"/>
      <c r="CB84" s="56"/>
      <c r="CC84" s="56"/>
      <c r="CD84" s="56"/>
      <c r="CE84" s="267">
        <v>0.38</v>
      </c>
      <c r="CF84" s="56" t="s">
        <v>24</v>
      </c>
      <c r="CG84" s="56" t="s">
        <v>24</v>
      </c>
      <c r="CH84" s="56" t="s">
        <v>24</v>
      </c>
      <c r="CI84" s="56" t="s">
        <v>24</v>
      </c>
      <c r="CJ84" s="267">
        <v>0.36</v>
      </c>
      <c r="CK84" s="56" t="s">
        <v>24</v>
      </c>
      <c r="CL84" s="56" t="s">
        <v>24</v>
      </c>
      <c r="CM84" s="56" t="s">
        <v>24</v>
      </c>
      <c r="CN84" s="56" t="s">
        <v>24</v>
      </c>
      <c r="CO84" s="267">
        <v>0.35</v>
      </c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</row>
    <row r="85" spans="1:203" s="11" customFormat="1" ht="4.1500000000000004" customHeight="1">
      <c r="A85" s="1"/>
      <c r="B85" s="180"/>
      <c r="C85" s="180"/>
      <c r="D85" s="190"/>
      <c r="E85" s="190"/>
      <c r="F85" s="190"/>
      <c r="G85" s="190"/>
      <c r="H85" s="190"/>
      <c r="I85" s="190"/>
      <c r="J85" s="190"/>
      <c r="K85" s="190"/>
      <c r="L85" s="181"/>
      <c r="M85" s="181"/>
      <c r="N85" s="190"/>
      <c r="O85" s="190"/>
      <c r="P85" s="190"/>
      <c r="Q85" s="181"/>
      <c r="R85" s="181"/>
      <c r="S85" s="190"/>
      <c r="T85" s="190"/>
      <c r="U85" s="190"/>
      <c r="V85" s="181"/>
      <c r="W85" s="181"/>
      <c r="X85" s="190"/>
      <c r="Y85" s="190"/>
      <c r="Z85" s="190"/>
      <c r="AA85" s="181"/>
      <c r="AB85" s="181"/>
      <c r="AC85" s="190"/>
      <c r="AD85" s="190"/>
      <c r="AE85" s="190"/>
      <c r="AF85" s="181"/>
      <c r="AG85" s="181"/>
      <c r="AH85" s="190"/>
      <c r="AI85" s="190"/>
      <c r="AJ85" s="190"/>
      <c r="AK85" s="181"/>
      <c r="AL85" s="181"/>
      <c r="AM85" s="190"/>
      <c r="AN85" s="190"/>
      <c r="AO85" s="190"/>
      <c r="AP85" s="181"/>
      <c r="AQ85" s="181"/>
      <c r="AR85" s="190"/>
      <c r="AS85" s="190"/>
      <c r="AT85" s="190"/>
      <c r="AU85" s="181"/>
      <c r="AV85" s="181"/>
      <c r="AW85" s="190"/>
      <c r="AX85" s="190"/>
      <c r="AY85" s="190"/>
      <c r="AZ85" s="181"/>
      <c r="BA85" s="181"/>
      <c r="BB85" s="190"/>
      <c r="BC85" s="190"/>
      <c r="BD85" s="190"/>
      <c r="BE85" s="181"/>
      <c r="BF85" s="181"/>
      <c r="BG85" s="190"/>
      <c r="BH85" s="190"/>
      <c r="BI85" s="190"/>
      <c r="BJ85" s="181"/>
      <c r="BK85" s="181"/>
      <c r="BL85" s="190"/>
      <c r="BM85" s="190"/>
      <c r="BN85" s="190"/>
      <c r="BO85" s="181"/>
      <c r="BP85" s="181"/>
      <c r="BQ85" s="190"/>
      <c r="BR85" s="190"/>
      <c r="BS85" s="190"/>
      <c r="BT85" s="181"/>
      <c r="BU85" s="181"/>
      <c r="BV85" s="190"/>
      <c r="BW85" s="190"/>
      <c r="BX85" s="190"/>
      <c r="BY85" s="181"/>
      <c r="BZ85" s="181"/>
      <c r="CA85" s="190"/>
      <c r="CB85" s="190"/>
      <c r="CC85" s="190"/>
      <c r="CD85" s="181"/>
      <c r="CE85" s="181"/>
      <c r="CF85" s="190"/>
      <c r="CG85" s="190"/>
      <c r="CH85" s="190"/>
      <c r="CI85" s="181"/>
      <c r="CJ85" s="181"/>
      <c r="CK85" s="190"/>
      <c r="CL85" s="190"/>
      <c r="CM85" s="190"/>
      <c r="CN85" s="181"/>
      <c r="CO85" s="18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</row>
    <row r="86" spans="1:203" s="11" customFormat="1" ht="13.9" customHeight="1">
      <c r="A86" s="1"/>
      <c r="B86" s="12"/>
      <c r="C86" s="71"/>
      <c r="D86" s="10"/>
      <c r="E86" s="10"/>
      <c r="F86" s="10"/>
      <c r="G86" s="10"/>
      <c r="H86" s="71"/>
      <c r="I86" s="10"/>
      <c r="J86" s="10"/>
      <c r="K86" s="10"/>
      <c r="L86" s="10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36"/>
      <c r="AI86" s="236"/>
      <c r="AJ86" s="236"/>
      <c r="AK86" s="236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56"/>
      <c r="CG86" s="111"/>
      <c r="CH86" s="111"/>
      <c r="CI86" s="111"/>
      <c r="CJ86" s="111"/>
      <c r="CK86" s="56"/>
      <c r="CL86" s="111"/>
      <c r="CM86" s="111"/>
      <c r="CN86" s="111"/>
      <c r="CO86" s="11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</row>
    <row r="87" spans="1:203" s="11" customFormat="1" ht="4.1500000000000004" customHeight="1">
      <c r="A87" s="1"/>
      <c r="B87" s="180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190"/>
      <c r="Q87" s="190"/>
      <c r="R87" s="190"/>
      <c r="S87" s="190"/>
      <c r="T87" s="190"/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0"/>
      <c r="AO87" s="190"/>
      <c r="AP87" s="190"/>
      <c r="AQ87" s="190"/>
      <c r="AR87" s="190"/>
      <c r="AS87" s="190"/>
      <c r="AT87" s="190"/>
      <c r="AU87" s="190"/>
      <c r="AV87" s="190"/>
      <c r="AW87" s="190"/>
      <c r="AX87" s="190"/>
      <c r="AY87" s="190"/>
      <c r="AZ87" s="190"/>
      <c r="BA87" s="190"/>
      <c r="BB87" s="190"/>
      <c r="BC87" s="190"/>
      <c r="BD87" s="190"/>
      <c r="BE87" s="190"/>
      <c r="BF87" s="190"/>
      <c r="BG87" s="190"/>
      <c r="BH87" s="190"/>
      <c r="BI87" s="190"/>
      <c r="BJ87" s="190"/>
      <c r="BK87" s="190"/>
      <c r="BL87" s="190"/>
      <c r="BM87" s="190"/>
      <c r="BN87" s="190"/>
      <c r="BO87" s="190"/>
      <c r="BP87" s="190"/>
      <c r="BQ87" s="190"/>
      <c r="BR87" s="190"/>
      <c r="BS87" s="190"/>
      <c r="BT87" s="190"/>
      <c r="BU87" s="190"/>
      <c r="BV87" s="190"/>
      <c r="BW87" s="190"/>
      <c r="BX87" s="190"/>
      <c r="BY87" s="190"/>
      <c r="BZ87" s="190"/>
      <c r="CA87" s="190"/>
      <c r="CB87" s="190"/>
      <c r="CC87" s="190"/>
      <c r="CD87" s="190"/>
      <c r="CE87" s="190"/>
      <c r="CF87" s="190"/>
      <c r="CG87" s="190"/>
      <c r="CH87" s="190"/>
      <c r="CI87" s="190"/>
      <c r="CJ87" s="190"/>
      <c r="CK87" s="190"/>
      <c r="CL87" s="190"/>
      <c r="CM87" s="190"/>
      <c r="CN87" s="190"/>
      <c r="CO87" s="190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</row>
    <row r="88" spans="1:203" ht="25.35" customHeight="1">
      <c r="B88" s="177" t="s">
        <v>3</v>
      </c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  <c r="AR88" s="182"/>
      <c r="AS88" s="182"/>
      <c r="AT88" s="182"/>
      <c r="AU88" s="182"/>
      <c r="AV88" s="182"/>
      <c r="AW88" s="182"/>
      <c r="AX88" s="182"/>
      <c r="AY88" s="182"/>
      <c r="AZ88" s="182"/>
      <c r="BA88" s="182"/>
      <c r="BB88" s="182"/>
      <c r="BC88" s="182"/>
      <c r="BD88" s="182"/>
      <c r="BE88" s="182"/>
      <c r="BF88" s="182"/>
      <c r="BG88" s="182"/>
      <c r="BH88" s="182"/>
      <c r="BI88" s="182"/>
      <c r="BJ88" s="182"/>
      <c r="BK88" s="182"/>
      <c r="BL88" s="182"/>
      <c r="BM88" s="182"/>
      <c r="BN88" s="182"/>
      <c r="BO88" s="182"/>
      <c r="BP88" s="182"/>
      <c r="BQ88" s="182"/>
      <c r="BR88" s="182"/>
      <c r="BS88" s="182"/>
      <c r="BT88" s="182"/>
      <c r="BU88" s="182"/>
      <c r="BV88" s="182"/>
      <c r="BW88" s="182"/>
      <c r="BX88" s="182"/>
      <c r="BY88" s="182"/>
      <c r="BZ88" s="182"/>
      <c r="CA88" s="182"/>
      <c r="CB88" s="182"/>
      <c r="CC88" s="182"/>
      <c r="CD88" s="182"/>
      <c r="CE88" s="182"/>
      <c r="CF88" s="182"/>
      <c r="CG88" s="182"/>
      <c r="CH88" s="182"/>
      <c r="CI88" s="182"/>
      <c r="CJ88" s="182"/>
      <c r="CK88" s="182"/>
      <c r="CL88" s="182"/>
      <c r="CM88" s="182"/>
      <c r="CN88" s="182"/>
      <c r="CO88" s="182"/>
    </row>
    <row r="89" spans="1:203" ht="13.9" customHeight="1">
      <c r="B89" s="201" t="s">
        <v>18</v>
      </c>
      <c r="C89" s="320"/>
      <c r="D89" s="283"/>
      <c r="E89" s="283"/>
      <c r="F89" s="283"/>
      <c r="G89" s="283"/>
      <c r="H89" s="122"/>
      <c r="I89" s="283"/>
      <c r="J89" s="283"/>
      <c r="K89" s="283"/>
      <c r="L89" s="283"/>
      <c r="M89" s="283"/>
      <c r="N89" s="283"/>
      <c r="O89" s="283"/>
      <c r="P89" s="283"/>
      <c r="Q89" s="283"/>
      <c r="R89" s="283"/>
      <c r="S89" s="283"/>
      <c r="T89" s="283"/>
      <c r="U89" s="283"/>
      <c r="V89" s="283"/>
      <c r="W89" s="283"/>
      <c r="X89" s="283"/>
      <c r="Y89" s="283"/>
      <c r="Z89" s="283"/>
      <c r="AA89" s="283"/>
      <c r="AB89" s="283"/>
      <c r="AC89" s="283"/>
      <c r="AD89" s="283"/>
      <c r="AE89" s="283"/>
      <c r="AF89" s="283"/>
      <c r="AG89" s="283"/>
      <c r="AH89" s="283"/>
      <c r="AI89" s="283"/>
      <c r="AJ89" s="283"/>
      <c r="AK89" s="283"/>
      <c r="AL89" s="283"/>
      <c r="AM89" s="283"/>
      <c r="AN89" s="283"/>
      <c r="AO89" s="283"/>
      <c r="AP89" s="283"/>
      <c r="AQ89" s="283"/>
      <c r="AR89" s="283"/>
      <c r="AS89" s="283"/>
      <c r="AT89" s="283"/>
      <c r="AU89" s="283"/>
      <c r="AV89" s="283"/>
      <c r="AW89" s="283"/>
      <c r="AX89" s="283"/>
      <c r="AY89" s="283"/>
      <c r="AZ89" s="283"/>
      <c r="BA89" s="283"/>
      <c r="BB89" s="283"/>
      <c r="BC89" s="283"/>
      <c r="BD89" s="283"/>
      <c r="BE89" s="283"/>
      <c r="BF89" s="283"/>
      <c r="BG89" s="283"/>
      <c r="BH89" s="283"/>
      <c r="BI89" s="283"/>
      <c r="BJ89" s="283"/>
      <c r="BK89" s="283"/>
      <c r="BL89" s="283"/>
      <c r="BM89" s="283"/>
      <c r="BN89" s="283"/>
      <c r="BO89" s="283"/>
      <c r="BP89" s="283"/>
      <c r="BQ89" s="283"/>
      <c r="BR89" s="283"/>
      <c r="BS89" s="283"/>
      <c r="BT89" s="283"/>
      <c r="BU89" s="283"/>
      <c r="BV89" s="283"/>
      <c r="BW89" s="283"/>
      <c r="BX89" s="283"/>
      <c r="BY89" s="283"/>
      <c r="BZ89" s="283"/>
      <c r="CA89" s="283"/>
      <c r="CB89" s="283"/>
      <c r="CC89" s="283"/>
      <c r="CD89" s="283"/>
      <c r="CE89" s="283"/>
      <c r="CF89" s="283"/>
      <c r="CG89" s="283"/>
      <c r="CH89" s="283"/>
      <c r="CI89" s="283"/>
      <c r="CJ89" s="283"/>
      <c r="CK89" s="283"/>
      <c r="CL89" s="283"/>
      <c r="CM89" s="283"/>
      <c r="CN89" s="283"/>
      <c r="CO89" s="283"/>
    </row>
    <row r="90" spans="1:203" ht="13.9" customHeight="1">
      <c r="B90" s="12"/>
      <c r="C90" s="5"/>
      <c r="D90" s="12"/>
      <c r="E90" s="12"/>
      <c r="F90" s="12"/>
      <c r="G90" s="12"/>
      <c r="H90" s="5"/>
      <c r="I90" s="12"/>
      <c r="J90" s="12"/>
      <c r="K90" s="12"/>
      <c r="L90" s="12"/>
      <c r="M90" s="3"/>
      <c r="N90" s="12"/>
      <c r="O90" s="12"/>
      <c r="P90" s="12"/>
      <c r="Q90" s="12"/>
      <c r="R90" s="3"/>
      <c r="S90" s="12"/>
      <c r="T90" s="12"/>
      <c r="U90" s="12"/>
      <c r="V90" s="12"/>
      <c r="W90" s="226"/>
      <c r="X90" s="234"/>
      <c r="Y90" s="234"/>
      <c r="Z90" s="234"/>
      <c r="AA90" s="234"/>
      <c r="AB90" s="226"/>
      <c r="AC90" s="234"/>
      <c r="AD90" s="234"/>
      <c r="AE90" s="234"/>
      <c r="AF90" s="234"/>
      <c r="AG90" s="226"/>
      <c r="AH90" s="234"/>
      <c r="AI90" s="234"/>
      <c r="AJ90" s="234"/>
      <c r="AK90" s="234"/>
      <c r="AL90" s="226"/>
      <c r="AM90" s="234"/>
      <c r="AN90" s="234"/>
      <c r="AO90" s="234"/>
      <c r="AP90" s="234"/>
      <c r="AQ90" s="226"/>
      <c r="AR90" s="234"/>
      <c r="AS90" s="234"/>
      <c r="AT90" s="234"/>
      <c r="AU90" s="234"/>
      <c r="AV90" s="226"/>
      <c r="AW90" s="218"/>
      <c r="AX90" s="218"/>
      <c r="AY90" s="218"/>
      <c r="AZ90" s="218"/>
      <c r="BA90" s="226"/>
      <c r="BB90" s="218"/>
      <c r="BC90" s="218"/>
      <c r="BD90" s="218"/>
      <c r="BE90" s="218"/>
      <c r="BF90" s="226"/>
      <c r="BG90" s="218"/>
      <c r="BH90" s="218"/>
      <c r="BI90" s="218"/>
      <c r="BJ90" s="218"/>
      <c r="BK90" s="226"/>
      <c r="BL90" s="218"/>
      <c r="BM90" s="218"/>
      <c r="BN90" s="218"/>
      <c r="BO90" s="218"/>
      <c r="BP90" s="226"/>
      <c r="BQ90" s="218"/>
      <c r="BR90" s="218"/>
      <c r="BS90" s="218"/>
      <c r="BT90" s="218"/>
      <c r="BU90" s="226"/>
      <c r="BV90" s="25"/>
      <c r="BW90" s="25"/>
      <c r="BX90" s="25"/>
      <c r="BY90" s="25"/>
      <c r="BZ90" s="226"/>
      <c r="CA90" s="25"/>
      <c r="CB90" s="25"/>
      <c r="CC90" s="25"/>
      <c r="CD90" s="25"/>
      <c r="CE90" s="226"/>
      <c r="CF90" s="25"/>
      <c r="CG90" s="25"/>
      <c r="CH90" s="25"/>
      <c r="CI90" s="25"/>
      <c r="CJ90" s="226"/>
      <c r="CK90" s="25"/>
      <c r="CL90" s="25"/>
      <c r="CM90" s="25"/>
      <c r="CN90" s="25"/>
      <c r="CO90" s="226"/>
    </row>
    <row r="91" spans="1:203" s="2" customFormat="1" ht="13.9" customHeight="1">
      <c r="B91" s="12" t="s">
        <v>168</v>
      </c>
      <c r="C91" s="9">
        <v>2622</v>
      </c>
      <c r="D91" s="19">
        <v>2595</v>
      </c>
      <c r="E91" s="19">
        <v>2636</v>
      </c>
      <c r="F91" s="19">
        <v>2698</v>
      </c>
      <c r="G91" s="19">
        <v>2649</v>
      </c>
      <c r="H91" s="9">
        <v>2649</v>
      </c>
      <c r="I91" s="19">
        <v>2669</v>
      </c>
      <c r="J91" s="19">
        <v>2694</v>
      </c>
      <c r="K91" s="19">
        <v>2721</v>
      </c>
      <c r="L91" s="19">
        <f>M91</f>
        <v>2766</v>
      </c>
      <c r="M91" s="36">
        <v>2766</v>
      </c>
      <c r="N91" s="19">
        <v>2789</v>
      </c>
      <c r="O91" s="19">
        <v>2807</v>
      </c>
      <c r="P91" s="19">
        <v>2825</v>
      </c>
      <c r="Q91" s="19">
        <f>R91</f>
        <v>2857</v>
      </c>
      <c r="R91" s="36">
        <v>2857</v>
      </c>
      <c r="S91" s="19">
        <v>2861</v>
      </c>
      <c r="T91" s="19">
        <v>2827</v>
      </c>
      <c r="U91" s="19">
        <v>2842</v>
      </c>
      <c r="V91" s="19">
        <v>2847</v>
      </c>
      <c r="W91" s="218">
        <v>2847</v>
      </c>
      <c r="X91" s="210">
        <v>2876</v>
      </c>
      <c r="Y91" s="210">
        <v>2859</v>
      </c>
      <c r="Z91" s="210">
        <v>2839</v>
      </c>
      <c r="AA91" s="210">
        <v>2800</v>
      </c>
      <c r="AB91" s="218">
        <v>2800</v>
      </c>
      <c r="AC91" s="210">
        <v>2741</v>
      </c>
      <c r="AD91" s="210">
        <v>2702</v>
      </c>
      <c r="AE91" s="210">
        <v>2683</v>
      </c>
      <c r="AF91" s="210">
        <v>2642</v>
      </c>
      <c r="AG91" s="218">
        <v>2642</v>
      </c>
      <c r="AH91" s="210">
        <v>2631</v>
      </c>
      <c r="AI91" s="210">
        <v>2610</v>
      </c>
      <c r="AJ91" s="210">
        <v>2600</v>
      </c>
      <c r="AK91" s="210">
        <v>2586</v>
      </c>
      <c r="AL91" s="218">
        <v>2586</v>
      </c>
      <c r="AM91" s="210">
        <v>2565</v>
      </c>
      <c r="AN91" s="210">
        <v>2566</v>
      </c>
      <c r="AO91" s="210">
        <v>2569</v>
      </c>
      <c r="AP91" s="210">
        <v>2651</v>
      </c>
      <c r="AQ91" s="218">
        <v>2651</v>
      </c>
      <c r="AR91" s="210">
        <v>2692</v>
      </c>
      <c r="AS91" s="210">
        <v>2260</v>
      </c>
      <c r="AT91" s="210">
        <v>2348</v>
      </c>
      <c r="AU91" s="210">
        <v>2402</v>
      </c>
      <c r="AV91" s="218">
        <v>2402</v>
      </c>
      <c r="AW91" s="210">
        <v>2430</v>
      </c>
      <c r="AX91" s="210">
        <v>2410</v>
      </c>
      <c r="AY91" s="210">
        <v>2475</v>
      </c>
      <c r="AZ91" s="210">
        <v>2525</v>
      </c>
      <c r="BA91" s="218">
        <v>2525</v>
      </c>
      <c r="BB91" s="210">
        <v>2546</v>
      </c>
      <c r="BC91" s="210">
        <v>2601</v>
      </c>
      <c r="BD91" s="210">
        <f>BD96+BD100</f>
        <v>2185</v>
      </c>
      <c r="BE91" s="210">
        <f>BF91</f>
        <v>2198</v>
      </c>
      <c r="BF91" s="218">
        <f>BF96+BF100</f>
        <v>2198</v>
      </c>
      <c r="BG91" s="210">
        <f>BG96+BG100</f>
        <v>2216</v>
      </c>
      <c r="BH91" s="210">
        <f>BH96+BH100</f>
        <v>2254</v>
      </c>
      <c r="BI91" s="210">
        <f>BI96+BI100</f>
        <v>2301</v>
      </c>
      <c r="BJ91" s="210">
        <f>BK91</f>
        <v>2327</v>
      </c>
      <c r="BK91" s="218">
        <f>BK96+BK100</f>
        <v>2327</v>
      </c>
      <c r="BL91" s="210">
        <f>BL96+BL100</f>
        <v>2356</v>
      </c>
      <c r="BM91" s="210">
        <f>BM96+BM100</f>
        <v>2365</v>
      </c>
      <c r="BN91" s="210">
        <f>BN96+BN100</f>
        <v>2396</v>
      </c>
      <c r="BO91" s="210">
        <f>BP91</f>
        <v>2442</v>
      </c>
      <c r="BP91" s="218">
        <f>BP96+BP100</f>
        <v>2442</v>
      </c>
      <c r="BQ91" s="210">
        <f>BQ96+BQ100</f>
        <v>2492</v>
      </c>
      <c r="BR91" s="210">
        <f>BR96+BR100</f>
        <v>2521</v>
      </c>
      <c r="BS91" s="210">
        <f>BS96+BS100</f>
        <v>2547</v>
      </c>
      <c r="BT91" s="210">
        <f>BU91</f>
        <v>2576</v>
      </c>
      <c r="BU91" s="218">
        <f>BU96+BU100</f>
        <v>2576</v>
      </c>
      <c r="BV91" s="19">
        <f>BV96+BV100</f>
        <v>2583</v>
      </c>
      <c r="BW91" s="19">
        <f>BW96+BW100</f>
        <v>2636</v>
      </c>
      <c r="BX91" s="19">
        <f>BX96+BX100</f>
        <v>2675</v>
      </c>
      <c r="BY91" s="19">
        <f>BZ91</f>
        <v>2580</v>
      </c>
      <c r="BZ91" s="218">
        <f>BZ96+BZ100</f>
        <v>2580</v>
      </c>
      <c r="CA91" s="19">
        <f>CA96+CA100</f>
        <v>2585</v>
      </c>
      <c r="CB91" s="19">
        <f>CB96+CB100</f>
        <v>2593</v>
      </c>
      <c r="CC91" s="19">
        <f>CC96+CC100</f>
        <v>2618</v>
      </c>
      <c r="CD91" s="19">
        <f>CE91</f>
        <v>2618</v>
      </c>
      <c r="CE91" s="218">
        <f>CE96+CE100</f>
        <v>2618</v>
      </c>
      <c r="CF91" s="19">
        <f>CF96+CF100</f>
        <v>2611</v>
      </c>
      <c r="CG91" s="19">
        <f>CG96+CG100</f>
        <v>2615</v>
      </c>
      <c r="CH91" s="19">
        <f>CH96+CH100</f>
        <v>2639</v>
      </c>
      <c r="CI91" s="19">
        <f>CJ91</f>
        <v>2633</v>
      </c>
      <c r="CJ91" s="218">
        <f>CJ96+CJ100</f>
        <v>2633</v>
      </c>
      <c r="CK91" s="19">
        <f>CK96+CK100</f>
        <v>2631</v>
      </c>
      <c r="CL91" s="19">
        <f>CL96+CL100</f>
        <v>2645</v>
      </c>
      <c r="CM91" s="19">
        <f>CM96+CM100</f>
        <v>2661</v>
      </c>
      <c r="CN91" s="19">
        <f>CO91</f>
        <v>2677</v>
      </c>
      <c r="CO91" s="218">
        <f>CO96+CO100</f>
        <v>2677</v>
      </c>
    </row>
    <row r="92" spans="1:203" ht="13.9" customHeight="1">
      <c r="B92" s="20" t="s">
        <v>5</v>
      </c>
      <c r="C92" s="4"/>
      <c r="D92" s="21"/>
      <c r="E92" s="21">
        <f>E91/D91-1</f>
        <v>1.579961464354529E-2</v>
      </c>
      <c r="F92" s="21">
        <f>F91/E91-1</f>
        <v>2.3520485584218598E-2</v>
      </c>
      <c r="G92" s="21">
        <f>G91/F91-1</f>
        <v>-1.8161601186063803E-2</v>
      </c>
      <c r="H92" s="4"/>
      <c r="I92" s="21">
        <f>I91/G91-1</f>
        <v>7.5500188750472486E-3</v>
      </c>
      <c r="J92" s="21">
        <f>J91/I91-1</f>
        <v>9.3668040464593982E-3</v>
      </c>
      <c r="K92" s="21">
        <f>K91/J91-1</f>
        <v>1.0022271714922093E-2</v>
      </c>
      <c r="L92" s="21">
        <f>L91/K91-1</f>
        <v>1.6538037486218293E-2</v>
      </c>
      <c r="M92" s="3"/>
      <c r="N92" s="21">
        <f>N91/L91-1</f>
        <v>8.315256688358641E-3</v>
      </c>
      <c r="O92" s="21">
        <f>O91/N91-1</f>
        <v>6.4539261384009006E-3</v>
      </c>
      <c r="P92" s="21">
        <f>P91/O91-1</f>
        <v>6.4125400783754394E-3</v>
      </c>
      <c r="Q92" s="21">
        <f>Q91/P91-1</f>
        <v>1.1327433628318673E-2</v>
      </c>
      <c r="R92" s="3"/>
      <c r="S92" s="21">
        <f>S91/Q91-1</f>
        <v>1.4000700035001756E-3</v>
      </c>
      <c r="T92" s="21">
        <f>T91/S91-1</f>
        <v>-1.1883956658511052E-2</v>
      </c>
      <c r="U92" s="21">
        <f>U91/T91-1</f>
        <v>5.3059780686239844E-3</v>
      </c>
      <c r="V92" s="21">
        <f>V91/U91-1</f>
        <v>1.7593244194229474E-3</v>
      </c>
      <c r="W92" s="226"/>
      <c r="X92" s="212">
        <f>X91/V91-1</f>
        <v>1.0186160871092476E-2</v>
      </c>
      <c r="Y92" s="212">
        <f>Y91/X91-1</f>
        <v>-5.9109874826147601E-3</v>
      </c>
      <c r="Z92" s="212">
        <f>Z91/Y91-1</f>
        <v>-6.9954529555789069E-3</v>
      </c>
      <c r="AA92" s="212">
        <f>AA91/Z91-1</f>
        <v>-1.3737231419513884E-2</v>
      </c>
      <c r="AB92" s="226"/>
      <c r="AC92" s="212">
        <f>AC91/AA91-1</f>
        <v>-2.1071428571428519E-2</v>
      </c>
      <c r="AD92" s="212">
        <f>AD91/AC91-1</f>
        <v>-1.4228383801532241E-2</v>
      </c>
      <c r="AE92" s="212">
        <f>AE91/AD91-1</f>
        <v>-7.0318282753515371E-3</v>
      </c>
      <c r="AF92" s="212">
        <f>AF91/AE91-1</f>
        <v>-1.5281401416325058E-2</v>
      </c>
      <c r="AG92" s="226"/>
      <c r="AH92" s="212">
        <f>AH91/AF91-1</f>
        <v>-4.1635124905374798E-3</v>
      </c>
      <c r="AI92" s="212">
        <f>AI91/AH91-1</f>
        <v>-7.9817559863170073E-3</v>
      </c>
      <c r="AJ92" s="212">
        <f>AJ91/AI91-1</f>
        <v>-3.8314176245211051E-3</v>
      </c>
      <c r="AK92" s="212">
        <f>AK91/AJ91-1</f>
        <v>-5.3846153846154321E-3</v>
      </c>
      <c r="AL92" s="226"/>
      <c r="AM92" s="212">
        <f>AM91/AK91-1</f>
        <v>-8.1206496519721227E-3</v>
      </c>
      <c r="AN92" s="212">
        <f>AN91/AM91-1</f>
        <v>3.898635477583845E-4</v>
      </c>
      <c r="AO92" s="212">
        <f>AO91/AN91-1</f>
        <v>1.1691348402182999E-3</v>
      </c>
      <c r="AP92" s="212">
        <f>AP91/AO91-1</f>
        <v>3.191903464383028E-2</v>
      </c>
      <c r="AQ92" s="226"/>
      <c r="AR92" s="212">
        <f>AR91/AP91-1</f>
        <v>1.546586193889099E-2</v>
      </c>
      <c r="AS92" s="212">
        <f>AS91/AR91-1</f>
        <v>-0.16047548291233282</v>
      </c>
      <c r="AT92" s="212">
        <f>AT91/AS91-1</f>
        <v>3.8938053097345104E-2</v>
      </c>
      <c r="AU92" s="212">
        <f>AU91/AT91-1</f>
        <v>2.2998296422487297E-2</v>
      </c>
      <c r="AV92" s="226"/>
      <c r="AW92" s="212">
        <f>AW91/AU91-1</f>
        <v>1.1656952539550458E-2</v>
      </c>
      <c r="AX92" s="212">
        <f>AX91/AW91-1</f>
        <v>-8.2304526748970819E-3</v>
      </c>
      <c r="AY92" s="212">
        <f>AY91/AX91-1</f>
        <v>2.6970954356846377E-2</v>
      </c>
      <c r="AZ92" s="212">
        <f>AZ91/AY91-1</f>
        <v>2.020202020202011E-2</v>
      </c>
      <c r="BA92" s="226"/>
      <c r="BB92" s="212">
        <f>BB91/AZ91-1</f>
        <v>8.3168316831683242E-3</v>
      </c>
      <c r="BC92" s="212">
        <f>BC91/BB91-1</f>
        <v>2.1602513747054131E-2</v>
      </c>
      <c r="BD92" s="212">
        <f>BD91/BC91-1</f>
        <v>-0.1599384851980008</v>
      </c>
      <c r="BE92" s="212">
        <f>BE91/BD91-1</f>
        <v>5.9496567505721298E-3</v>
      </c>
      <c r="BF92" s="226"/>
      <c r="BG92" s="212">
        <f>BG91/BE91-1</f>
        <v>8.189262966332933E-3</v>
      </c>
      <c r="BH92" s="212">
        <f>BH91/BG91-1</f>
        <v>1.7148014440433235E-2</v>
      </c>
      <c r="BI92" s="212">
        <f>BI91/BH91-1</f>
        <v>2.0851818988464998E-2</v>
      </c>
      <c r="BJ92" s="212">
        <f>BJ91/BI91-1</f>
        <v>1.1299435028248483E-2</v>
      </c>
      <c r="BK92" s="226"/>
      <c r="BL92" s="212">
        <f>BL91/BJ91-1</f>
        <v>1.2462397937258229E-2</v>
      </c>
      <c r="BM92" s="212">
        <f>BM91/BL91-1</f>
        <v>3.8200339558573937E-3</v>
      </c>
      <c r="BN92" s="212">
        <f>BN91/BM91-1</f>
        <v>1.3107822410147962E-2</v>
      </c>
      <c r="BO92" s="212">
        <f>BO91/BN91-1</f>
        <v>1.9198664440734481E-2</v>
      </c>
      <c r="BP92" s="226"/>
      <c r="BQ92" s="212">
        <f>BQ91/BO91-1</f>
        <v>2.0475020475020367E-2</v>
      </c>
      <c r="BR92" s="212">
        <f>BR91/BQ91-1</f>
        <v>1.1637239165328994E-2</v>
      </c>
      <c r="BS92" s="212">
        <f>BS91/BR91-1</f>
        <v>1.0313367711225707E-2</v>
      </c>
      <c r="BT92" s="212">
        <f>BT91/BS91-1</f>
        <v>1.1385944248134994E-2</v>
      </c>
      <c r="BU92" s="226"/>
      <c r="BV92" s="21">
        <f>BV91/BT91-1</f>
        <v>2.7173913043478937E-3</v>
      </c>
      <c r="BW92" s="21">
        <f>BW91/BV91-1</f>
        <v>2.0518776616337497E-2</v>
      </c>
      <c r="BX92" s="21">
        <f>BX91/BW91-1</f>
        <v>1.479514415781491E-2</v>
      </c>
      <c r="BY92" s="21">
        <f>BY91/BX91-1</f>
        <v>-3.5514018691588767E-2</v>
      </c>
      <c r="BZ92" s="226"/>
      <c r="CA92" s="21">
        <f>CA91/BY91-1</f>
        <v>1.9379844961240345E-3</v>
      </c>
      <c r="CB92" s="21">
        <f>CB91/CA91-1</f>
        <v>3.0947775628626939E-3</v>
      </c>
      <c r="CC92" s="21">
        <f>CC91/CB91-1</f>
        <v>9.6413420748167056E-3</v>
      </c>
      <c r="CD92" s="21">
        <f>CD91/CC91-1</f>
        <v>0</v>
      </c>
      <c r="CE92" s="226"/>
      <c r="CF92" s="21">
        <f>CF91/CD91-1</f>
        <v>-2.673796791443861E-3</v>
      </c>
      <c r="CG92" s="21">
        <f>CG91/CF91-1</f>
        <v>1.5319800842588105E-3</v>
      </c>
      <c r="CH92" s="21">
        <f>CH91/CG91-1</f>
        <v>9.1778202676864318E-3</v>
      </c>
      <c r="CI92" s="21">
        <f>CI91/CH91-1</f>
        <v>-2.2735884804849782E-3</v>
      </c>
      <c r="CJ92" s="226"/>
      <c r="CK92" s="21">
        <f>CK91/CI91-1</f>
        <v>-7.5958982149637588E-4</v>
      </c>
      <c r="CL92" s="21">
        <f>CL91/CK91-1</f>
        <v>5.3211706575446716E-3</v>
      </c>
      <c r="CM92" s="21">
        <f>CM91/CL91-1</f>
        <v>6.0491493383743045E-3</v>
      </c>
      <c r="CN92" s="21">
        <f>CN91/CM91-1</f>
        <v>6.0127771514468797E-3</v>
      </c>
      <c r="CO92" s="226"/>
    </row>
    <row r="93" spans="1:203" ht="13.9" customHeight="1">
      <c r="B93" s="20" t="s">
        <v>6</v>
      </c>
      <c r="C93" s="4"/>
      <c r="D93" s="22"/>
      <c r="E93" s="22"/>
      <c r="F93" s="22"/>
      <c r="G93" s="22"/>
      <c r="H93" s="4">
        <f t="shared" ref="H93:O93" si="116">H91/C91-1</f>
        <v>1.0297482837528626E-2</v>
      </c>
      <c r="I93" s="22">
        <f t="shared" si="116"/>
        <v>2.8516377649325575E-2</v>
      </c>
      <c r="J93" s="22">
        <f t="shared" si="116"/>
        <v>2.2003034901365792E-2</v>
      </c>
      <c r="K93" s="22">
        <f t="shared" si="116"/>
        <v>8.5248332097849211E-3</v>
      </c>
      <c r="L93" s="21">
        <f t="shared" si="116"/>
        <v>4.416761041902606E-2</v>
      </c>
      <c r="M93" s="4">
        <f t="shared" si="116"/>
        <v>4.416761041902606E-2</v>
      </c>
      <c r="N93" s="22">
        <f t="shared" si="116"/>
        <v>4.4960659423004978E-2</v>
      </c>
      <c r="O93" s="22">
        <f t="shared" si="116"/>
        <v>4.1945063103192348E-2</v>
      </c>
      <c r="P93" s="22">
        <f t="shared" ref="P93:Z93" si="117">P91/K91-1</f>
        <v>3.8221242190371152E-2</v>
      </c>
      <c r="Q93" s="21">
        <f t="shared" si="117"/>
        <v>3.2899493853940642E-2</v>
      </c>
      <c r="R93" s="4">
        <f t="shared" si="117"/>
        <v>3.2899493853940642E-2</v>
      </c>
      <c r="S93" s="22">
        <f t="shared" si="117"/>
        <v>2.581570455360338E-2</v>
      </c>
      <c r="T93" s="22">
        <f t="shared" si="117"/>
        <v>7.1250445315282906E-3</v>
      </c>
      <c r="U93" s="22">
        <f t="shared" si="117"/>
        <v>6.0176991150442394E-3</v>
      </c>
      <c r="V93" s="21">
        <f t="shared" si="117"/>
        <v>-3.5001750087504391E-3</v>
      </c>
      <c r="W93" s="211">
        <f t="shared" si="117"/>
        <v>-3.5001750087504391E-3</v>
      </c>
      <c r="X93" s="211">
        <f t="shared" si="117"/>
        <v>5.2429220552254741E-3</v>
      </c>
      <c r="Y93" s="211">
        <f t="shared" si="117"/>
        <v>1.1319419879731063E-2</v>
      </c>
      <c r="Z93" s="211">
        <f t="shared" si="117"/>
        <v>-1.055594651653724E-3</v>
      </c>
      <c r="AA93" s="212">
        <f t="shared" ref="AA93:AJ93" si="118">AA91/V91-1</f>
        <v>-1.6508605549701461E-2</v>
      </c>
      <c r="AB93" s="211">
        <f t="shared" si="118"/>
        <v>-1.6508605549701461E-2</v>
      </c>
      <c r="AC93" s="211">
        <f t="shared" si="118"/>
        <v>-4.6940194714881756E-2</v>
      </c>
      <c r="AD93" s="211">
        <f t="shared" si="118"/>
        <v>-5.4914305701294186E-2</v>
      </c>
      <c r="AE93" s="211">
        <f t="shared" si="118"/>
        <v>-5.4948925678055649E-2</v>
      </c>
      <c r="AF93" s="212">
        <f t="shared" si="118"/>
        <v>-5.6428571428571384E-2</v>
      </c>
      <c r="AG93" s="211">
        <f t="shared" si="118"/>
        <v>-5.6428571428571384E-2</v>
      </c>
      <c r="AH93" s="211">
        <f t="shared" si="118"/>
        <v>-4.013133892739873E-2</v>
      </c>
      <c r="AI93" s="211">
        <f t="shared" si="118"/>
        <v>-3.4048852701702437E-2</v>
      </c>
      <c r="AJ93" s="211">
        <f t="shared" si="118"/>
        <v>-3.0935519940365253E-2</v>
      </c>
      <c r="AK93" s="212">
        <f t="shared" ref="AK93:AT93" si="119">AK91/AF91-1</f>
        <v>-2.1196063588190817E-2</v>
      </c>
      <c r="AL93" s="211">
        <f t="shared" si="119"/>
        <v>-2.1196063588190817E-2</v>
      </c>
      <c r="AM93" s="211">
        <f t="shared" si="119"/>
        <v>-2.5085518814139118E-2</v>
      </c>
      <c r="AN93" s="211">
        <f t="shared" si="119"/>
        <v>-1.6858237547892729E-2</v>
      </c>
      <c r="AO93" s="211">
        <f t="shared" si="119"/>
        <v>-1.1923076923076925E-2</v>
      </c>
      <c r="AP93" s="212">
        <f t="shared" si="119"/>
        <v>2.5135344160866158E-2</v>
      </c>
      <c r="AQ93" s="211">
        <f t="shared" si="119"/>
        <v>2.5135344160866158E-2</v>
      </c>
      <c r="AR93" s="211">
        <f t="shared" si="119"/>
        <v>4.9512670565302175E-2</v>
      </c>
      <c r="AS93" s="211">
        <f t="shared" si="119"/>
        <v>-0.11925175370226038</v>
      </c>
      <c r="AT93" s="211">
        <f t="shared" si="119"/>
        <v>-8.6025690930323084E-2</v>
      </c>
      <c r="AU93" s="212">
        <f t="shared" ref="AU93:BX93" si="120">AU91/AP91-1</f>
        <v>-9.3926820067898875E-2</v>
      </c>
      <c r="AV93" s="211">
        <f t="shared" si="120"/>
        <v>-9.3926820067898875E-2</v>
      </c>
      <c r="AW93" s="211">
        <f t="shared" si="120"/>
        <v>-9.7325408618127773E-2</v>
      </c>
      <c r="AX93" s="211">
        <f t="shared" si="120"/>
        <v>6.6371681415929196E-2</v>
      </c>
      <c r="AY93" s="211">
        <f t="shared" si="120"/>
        <v>5.4088586030664354E-2</v>
      </c>
      <c r="AZ93" s="212">
        <f t="shared" si="120"/>
        <v>5.1207327227310584E-2</v>
      </c>
      <c r="BA93" s="211">
        <f t="shared" si="120"/>
        <v>5.1207327227310584E-2</v>
      </c>
      <c r="BB93" s="211">
        <f t="shared" si="120"/>
        <v>4.7736625514403386E-2</v>
      </c>
      <c r="BC93" s="211">
        <f t="shared" si="120"/>
        <v>7.9253112033194961E-2</v>
      </c>
      <c r="BD93" s="211">
        <f t="shared" si="120"/>
        <v>-0.11717171717171715</v>
      </c>
      <c r="BE93" s="212">
        <f t="shared" si="120"/>
        <v>-0.12950495049504951</v>
      </c>
      <c r="BF93" s="211">
        <f t="shared" si="120"/>
        <v>-0.12950495049504951</v>
      </c>
      <c r="BG93" s="211">
        <f t="shared" si="120"/>
        <v>-0.12961508248232523</v>
      </c>
      <c r="BH93" s="211">
        <f t="shared" si="120"/>
        <v>-0.13341022683583237</v>
      </c>
      <c r="BI93" s="211">
        <f t="shared" si="120"/>
        <v>5.3089244851258544E-2</v>
      </c>
      <c r="BJ93" s="212">
        <f t="shared" si="120"/>
        <v>5.8689717925386686E-2</v>
      </c>
      <c r="BK93" s="211">
        <f t="shared" si="120"/>
        <v>5.8689717925386686E-2</v>
      </c>
      <c r="BL93" s="211">
        <f t="shared" si="120"/>
        <v>6.3176895306859215E-2</v>
      </c>
      <c r="BM93" s="211">
        <f t="shared" si="120"/>
        <v>4.924578527063006E-2</v>
      </c>
      <c r="BN93" s="211">
        <f t="shared" si="120"/>
        <v>4.1286397218600612E-2</v>
      </c>
      <c r="BO93" s="212">
        <f t="shared" si="120"/>
        <v>4.9419853889127729E-2</v>
      </c>
      <c r="BP93" s="211">
        <f t="shared" si="120"/>
        <v>4.9419853889127729E-2</v>
      </c>
      <c r="BQ93" s="211">
        <f t="shared" si="120"/>
        <v>5.7724957555178369E-2</v>
      </c>
      <c r="BR93" s="211">
        <f t="shared" si="120"/>
        <v>6.5961945031712377E-2</v>
      </c>
      <c r="BS93" s="211">
        <f t="shared" si="120"/>
        <v>6.302170283806352E-2</v>
      </c>
      <c r="BT93" s="212">
        <f t="shared" si="120"/>
        <v>5.4873054873054938E-2</v>
      </c>
      <c r="BU93" s="211">
        <f t="shared" si="120"/>
        <v>5.4873054873054938E-2</v>
      </c>
      <c r="BV93" s="22">
        <f t="shared" si="120"/>
        <v>3.6516853932584192E-2</v>
      </c>
      <c r="BW93" s="22">
        <f t="shared" si="120"/>
        <v>4.5616818722729047E-2</v>
      </c>
      <c r="BX93" s="22">
        <f t="shared" si="120"/>
        <v>5.0255202198665083E-2</v>
      </c>
      <c r="BY93" s="21">
        <f>BY91/BT91-1</f>
        <v>1.5527950310558758E-3</v>
      </c>
      <c r="BZ93" s="211">
        <f>BZ91/BU91-1</f>
        <v>1.5527950310558758E-3</v>
      </c>
      <c r="CA93" s="22">
        <f>CA91/BV91-1</f>
        <v>7.7429345722035414E-4</v>
      </c>
      <c r="CB93" s="22">
        <f>CB91/BW91-1</f>
        <v>-1.6312594840667716E-2</v>
      </c>
      <c r="CC93" s="22">
        <f t="shared" ref="CC93" si="121">CC91/BX91-1</f>
        <v>-2.1308411214953304E-2</v>
      </c>
      <c r="CD93" s="21">
        <f>CD91/BY91-1</f>
        <v>1.4728682170542573E-2</v>
      </c>
      <c r="CE93" s="211">
        <f>CE91/BZ91-1</f>
        <v>1.4728682170542573E-2</v>
      </c>
      <c r="CF93" s="22">
        <f>CF91/CA91-1</f>
        <v>1.0058027079303589E-2</v>
      </c>
      <c r="CG93" s="22">
        <f>CG91/CB91-1</f>
        <v>8.4843810258388164E-3</v>
      </c>
      <c r="CH93" s="22">
        <f t="shared" ref="CH93" si="122">CH91/CC91-1</f>
        <v>8.0213903743315829E-3</v>
      </c>
      <c r="CI93" s="21">
        <f>CI91/CD91-1</f>
        <v>5.7295645530939243E-3</v>
      </c>
      <c r="CJ93" s="211">
        <f>CJ91/CE91-1</f>
        <v>5.7295645530939243E-3</v>
      </c>
      <c r="CK93" s="22">
        <f t="shared" ref="CK93" si="123">CK91/CF91-1</f>
        <v>7.6599004212944966E-3</v>
      </c>
      <c r="CL93" s="22">
        <f>CL91/CG91-1</f>
        <v>1.1472275334607929E-2</v>
      </c>
      <c r="CM93" s="22">
        <f>CM91/CH91-1</f>
        <v>8.3364910951118087E-3</v>
      </c>
      <c r="CN93" s="21">
        <f>CN91/CI91-1</f>
        <v>1.6710976072920714E-2</v>
      </c>
      <c r="CO93" s="211">
        <f>CO91/CJ91-1</f>
        <v>1.6710976072920714E-2</v>
      </c>
    </row>
    <row r="94" spans="1:203" ht="13.9" customHeight="1">
      <c r="B94" s="20" t="s">
        <v>121</v>
      </c>
      <c r="C94" s="4"/>
      <c r="D94" s="22"/>
      <c r="E94" s="22"/>
      <c r="F94" s="22"/>
      <c r="G94" s="22"/>
      <c r="H94" s="4"/>
      <c r="I94" s="22"/>
      <c r="J94" s="22"/>
      <c r="K94" s="22"/>
      <c r="L94" s="21"/>
      <c r="M94" s="4"/>
      <c r="N94" s="22"/>
      <c r="O94" s="22"/>
      <c r="P94" s="22"/>
      <c r="Q94" s="21"/>
      <c r="R94" s="80">
        <f>R91-M91</f>
        <v>91</v>
      </c>
      <c r="S94" s="22"/>
      <c r="T94" s="22"/>
      <c r="U94" s="22"/>
      <c r="V94" s="21"/>
      <c r="W94" s="249">
        <f>W91-R91</f>
        <v>-10</v>
      </c>
      <c r="X94" s="239"/>
      <c r="Y94" s="239"/>
      <c r="Z94" s="239"/>
      <c r="AA94" s="250"/>
      <c r="AB94" s="249">
        <f>AB91-W91</f>
        <v>-47</v>
      </c>
      <c r="AC94" s="239"/>
      <c r="AD94" s="239"/>
      <c r="AE94" s="239"/>
      <c r="AF94" s="250"/>
      <c r="AG94" s="249">
        <f>AG91-AB91</f>
        <v>-158</v>
      </c>
      <c r="AH94" s="239"/>
      <c r="AI94" s="239"/>
      <c r="AJ94" s="239"/>
      <c r="AK94" s="250"/>
      <c r="AL94" s="249">
        <f>AL91-AG91</f>
        <v>-56</v>
      </c>
      <c r="AM94" s="239"/>
      <c r="AN94" s="251">
        <f>AN91-AM91</f>
        <v>1</v>
      </c>
      <c r="AO94" s="251">
        <f>AO91-AN91</f>
        <v>3</v>
      </c>
      <c r="AP94" s="251">
        <f>AP91-AO91</f>
        <v>82</v>
      </c>
      <c r="AQ94" s="249">
        <f>AQ91-AL91</f>
        <v>65</v>
      </c>
      <c r="AR94" s="249">
        <f>AR91-AP91</f>
        <v>41</v>
      </c>
      <c r="AS94" s="249">
        <f>AS91-AR91</f>
        <v>-432</v>
      </c>
      <c r="AT94" s="249">
        <f>AT91-AS91</f>
        <v>88</v>
      </c>
      <c r="AU94" s="249">
        <f>AU91-AT91</f>
        <v>54</v>
      </c>
      <c r="AV94" s="249">
        <f>AV91-AQ91</f>
        <v>-249</v>
      </c>
      <c r="AW94" s="249">
        <f>AW91-AU91</f>
        <v>28</v>
      </c>
      <c r="AX94" s="249">
        <f>AX91-AW91</f>
        <v>-20</v>
      </c>
      <c r="AY94" s="249">
        <f>AY91-AX91</f>
        <v>65</v>
      </c>
      <c r="AZ94" s="249">
        <f>AZ91-AY91</f>
        <v>50</v>
      </c>
      <c r="BA94" s="249">
        <f>BA91-AV91</f>
        <v>123</v>
      </c>
      <c r="BB94" s="249">
        <f>BB91-AZ91</f>
        <v>21</v>
      </c>
      <c r="BC94" s="249">
        <f>BC91-BB91</f>
        <v>55</v>
      </c>
      <c r="BD94" s="249">
        <f>BD91-BC91</f>
        <v>-416</v>
      </c>
      <c r="BE94" s="249">
        <f>BE91-BD91</f>
        <v>13</v>
      </c>
      <c r="BF94" s="249">
        <f>BF91-BA91</f>
        <v>-327</v>
      </c>
      <c r="BG94" s="249">
        <f>BG91-BE91</f>
        <v>18</v>
      </c>
      <c r="BH94" s="249">
        <f>BH91-BG91</f>
        <v>38</v>
      </c>
      <c r="BI94" s="249">
        <f>BI91-BH91</f>
        <v>47</v>
      </c>
      <c r="BJ94" s="249">
        <f>BJ91-BI91</f>
        <v>26</v>
      </c>
      <c r="BK94" s="249">
        <f>BK91-BF91</f>
        <v>129</v>
      </c>
      <c r="BL94" s="249">
        <f>BL91-BJ91</f>
        <v>29</v>
      </c>
      <c r="BM94" s="249">
        <f>BM91-BL91</f>
        <v>9</v>
      </c>
      <c r="BN94" s="249">
        <f>BN91-BM91</f>
        <v>31</v>
      </c>
      <c r="BO94" s="249">
        <f>BO91-BN91</f>
        <v>46</v>
      </c>
      <c r="BP94" s="249">
        <f>BP91-BK91</f>
        <v>115</v>
      </c>
      <c r="BQ94" s="249">
        <f>BQ91-BO91</f>
        <v>50</v>
      </c>
      <c r="BR94" s="249">
        <f>BR91-BQ91</f>
        <v>29</v>
      </c>
      <c r="BS94" s="249">
        <f>BS91-BR91</f>
        <v>26</v>
      </c>
      <c r="BT94" s="249">
        <f>BT91-BS91</f>
        <v>29</v>
      </c>
      <c r="BU94" s="249">
        <f>BU91-BP91</f>
        <v>134</v>
      </c>
      <c r="BV94" s="113">
        <f>BV91-BT91</f>
        <v>7</v>
      </c>
      <c r="BW94" s="113">
        <f>BW91-BV91</f>
        <v>53</v>
      </c>
      <c r="BX94" s="113">
        <f>BX91-BW91</f>
        <v>39</v>
      </c>
      <c r="BY94" s="113">
        <f>BY91-BX91</f>
        <v>-95</v>
      </c>
      <c r="BZ94" s="249">
        <f>BZ91-BU91</f>
        <v>4</v>
      </c>
      <c r="CA94" s="113">
        <f>CA91-BY91</f>
        <v>5</v>
      </c>
      <c r="CB94" s="113">
        <f>CB91-CA91</f>
        <v>8</v>
      </c>
      <c r="CC94" s="113">
        <f>CC91-CB91</f>
        <v>25</v>
      </c>
      <c r="CD94" s="113">
        <f>CD91-CC91</f>
        <v>0</v>
      </c>
      <c r="CE94" s="249">
        <f>CE91-BZ91</f>
        <v>38</v>
      </c>
      <c r="CF94" s="113">
        <f>CF91-CD91</f>
        <v>-7</v>
      </c>
      <c r="CG94" s="113">
        <f>CG91-CF91</f>
        <v>4</v>
      </c>
      <c r="CH94" s="113">
        <f>CH91-CG91</f>
        <v>24</v>
      </c>
      <c r="CI94" s="113">
        <f>CI91-CH91</f>
        <v>-6</v>
      </c>
      <c r="CJ94" s="249">
        <f>CJ91-CE91</f>
        <v>15</v>
      </c>
      <c r="CK94" s="113">
        <f>CK91-CI91</f>
        <v>-2</v>
      </c>
      <c r="CL94" s="113">
        <f>CL91-CK91</f>
        <v>14</v>
      </c>
      <c r="CM94" s="113">
        <f>CM91-CL91</f>
        <v>16</v>
      </c>
      <c r="CN94" s="113">
        <f>CN91-CM91</f>
        <v>16</v>
      </c>
      <c r="CO94" s="249">
        <f>CO91-CJ91</f>
        <v>44</v>
      </c>
    </row>
    <row r="95" spans="1:203" ht="4.1500000000000004" customHeight="1">
      <c r="B95" s="20"/>
      <c r="C95" s="4"/>
      <c r="D95" s="22"/>
      <c r="E95" s="22"/>
      <c r="F95" s="22"/>
      <c r="G95" s="22"/>
      <c r="H95" s="4"/>
      <c r="I95" s="22"/>
      <c r="J95" s="22"/>
      <c r="K95" s="22"/>
      <c r="L95" s="21"/>
      <c r="M95" s="4"/>
      <c r="N95" s="22"/>
      <c r="O95" s="22"/>
      <c r="P95" s="22"/>
      <c r="Q95" s="21"/>
      <c r="R95" s="4"/>
      <c r="S95" s="22"/>
      <c r="T95" s="22"/>
      <c r="U95" s="22"/>
      <c r="V95" s="21"/>
      <c r="W95" s="211"/>
      <c r="X95" s="211"/>
      <c r="Y95" s="211"/>
      <c r="Z95" s="211"/>
      <c r="AA95" s="212"/>
      <c r="AB95" s="211"/>
      <c r="AC95" s="211"/>
      <c r="AD95" s="211"/>
      <c r="AE95" s="211"/>
      <c r="AF95" s="212"/>
      <c r="AG95" s="211"/>
      <c r="AH95" s="211"/>
      <c r="AI95" s="211"/>
      <c r="AJ95" s="211"/>
      <c r="AK95" s="212"/>
      <c r="AL95" s="211"/>
      <c r="AM95" s="211"/>
      <c r="AN95" s="254"/>
      <c r="AO95" s="254"/>
      <c r="AP95" s="254"/>
      <c r="AQ95" s="226"/>
      <c r="AR95" s="255"/>
      <c r="AS95" s="255"/>
      <c r="AT95" s="255"/>
      <c r="AU95" s="255"/>
      <c r="AV95" s="255"/>
      <c r="AW95" s="255"/>
      <c r="AX95" s="255"/>
      <c r="AY95" s="255"/>
      <c r="AZ95" s="255"/>
      <c r="BA95" s="255"/>
      <c r="BB95" s="255"/>
      <c r="BC95" s="255"/>
      <c r="BD95" s="255"/>
      <c r="BE95" s="255"/>
      <c r="BF95" s="255"/>
      <c r="BG95" s="255"/>
      <c r="BH95" s="255"/>
      <c r="BI95" s="255"/>
      <c r="BJ95" s="255"/>
      <c r="BK95" s="255"/>
      <c r="BL95" s="255"/>
      <c r="BM95" s="255"/>
      <c r="BN95" s="255"/>
      <c r="BO95" s="255"/>
      <c r="BP95" s="255"/>
      <c r="BQ95" s="255"/>
      <c r="BR95" s="255"/>
      <c r="BS95" s="255"/>
      <c r="BT95" s="255"/>
      <c r="BU95" s="255"/>
      <c r="BV95" s="79"/>
      <c r="BW95" s="79"/>
      <c r="BX95" s="79"/>
      <c r="BY95" s="79"/>
      <c r="BZ95" s="255"/>
      <c r="CA95" s="79"/>
      <c r="CB95" s="79"/>
      <c r="CC95" s="79"/>
      <c r="CD95" s="79"/>
      <c r="CE95" s="255"/>
      <c r="CF95" s="79"/>
      <c r="CG95" s="79"/>
      <c r="CH95" s="79"/>
      <c r="CI95" s="79"/>
      <c r="CJ95" s="255"/>
      <c r="CK95" s="79"/>
      <c r="CL95" s="79"/>
      <c r="CM95" s="79"/>
      <c r="CN95" s="79"/>
      <c r="CO95" s="255"/>
    </row>
    <row r="96" spans="1:203" ht="13.9" customHeight="1">
      <c r="B96" s="12" t="s">
        <v>169</v>
      </c>
      <c r="C96" s="39" t="s">
        <v>24</v>
      </c>
      <c r="D96" s="27" t="s">
        <v>25</v>
      </c>
      <c r="E96" s="27" t="s">
        <v>25</v>
      </c>
      <c r="F96" s="27" t="s">
        <v>25</v>
      </c>
      <c r="G96" s="27" t="s">
        <v>25</v>
      </c>
      <c r="H96" s="39" t="s">
        <v>24</v>
      </c>
      <c r="I96" s="27" t="s">
        <v>25</v>
      </c>
      <c r="J96" s="27" t="s">
        <v>25</v>
      </c>
      <c r="K96" s="27" t="s">
        <v>25</v>
      </c>
      <c r="L96" s="27" t="s">
        <v>25</v>
      </c>
      <c r="M96" s="39" t="s">
        <v>24</v>
      </c>
      <c r="N96" s="27" t="s">
        <v>25</v>
      </c>
      <c r="O96" s="27" t="s">
        <v>25</v>
      </c>
      <c r="P96" s="27" t="s">
        <v>25</v>
      </c>
      <c r="Q96" s="27" t="s">
        <v>25</v>
      </c>
      <c r="R96" s="39" t="s">
        <v>24</v>
      </c>
      <c r="S96" s="27" t="s">
        <v>25</v>
      </c>
      <c r="T96" s="27" t="s">
        <v>25</v>
      </c>
      <c r="U96" s="27" t="s">
        <v>25</v>
      </c>
      <c r="V96" s="27" t="s">
        <v>25</v>
      </c>
      <c r="W96" s="236" t="s">
        <v>24</v>
      </c>
      <c r="X96" s="235" t="s">
        <v>25</v>
      </c>
      <c r="Y96" s="235" t="s">
        <v>25</v>
      </c>
      <c r="Z96" s="235" t="s">
        <v>25</v>
      </c>
      <c r="AA96" s="235" t="s">
        <v>25</v>
      </c>
      <c r="AB96" s="236" t="s">
        <v>24</v>
      </c>
      <c r="AC96" s="235" t="s">
        <v>25</v>
      </c>
      <c r="AD96" s="235" t="s">
        <v>25</v>
      </c>
      <c r="AE96" s="235" t="s">
        <v>25</v>
      </c>
      <c r="AF96" s="235" t="s">
        <v>25</v>
      </c>
      <c r="AG96" s="236" t="s">
        <v>24</v>
      </c>
      <c r="AH96" s="235" t="s">
        <v>25</v>
      </c>
      <c r="AI96" s="235" t="s">
        <v>25</v>
      </c>
      <c r="AJ96" s="235" t="s">
        <v>25</v>
      </c>
      <c r="AK96" s="210">
        <v>1750</v>
      </c>
      <c r="AL96" s="218">
        <f>AL91-AL100</f>
        <v>1750</v>
      </c>
      <c r="AM96" s="235" t="s">
        <v>25</v>
      </c>
      <c r="AN96" s="235" t="s">
        <v>25</v>
      </c>
      <c r="AO96" s="235" t="s">
        <v>25</v>
      </c>
      <c r="AP96" s="210">
        <f>AP91-AP100</f>
        <v>1726</v>
      </c>
      <c r="AQ96" s="218">
        <f>AQ91-AQ100</f>
        <v>1726</v>
      </c>
      <c r="AR96" s="235" t="s">
        <v>25</v>
      </c>
      <c r="AS96" s="235" t="s">
        <v>25</v>
      </c>
      <c r="AT96" s="235" t="s">
        <v>25</v>
      </c>
      <c r="AU96" s="210">
        <v>1669</v>
      </c>
      <c r="AV96" s="218">
        <f>AV91-AV100</f>
        <v>1669</v>
      </c>
      <c r="AW96" s="210">
        <v>1659</v>
      </c>
      <c r="AX96" s="210">
        <v>1663</v>
      </c>
      <c r="AY96" s="210">
        <v>1697</v>
      </c>
      <c r="AZ96" s="210">
        <v>1729</v>
      </c>
      <c r="BA96" s="218">
        <v>1729</v>
      </c>
      <c r="BB96" s="210">
        <v>1760</v>
      </c>
      <c r="BC96" s="210">
        <v>1800</v>
      </c>
      <c r="BD96" s="210">
        <v>1817</v>
      </c>
      <c r="BE96" s="210">
        <f>BF96</f>
        <v>1824</v>
      </c>
      <c r="BF96" s="218">
        <v>1824</v>
      </c>
      <c r="BG96" s="210">
        <v>1834</v>
      </c>
      <c r="BH96" s="210">
        <v>1857</v>
      </c>
      <c r="BI96" s="210">
        <v>1886</v>
      </c>
      <c r="BJ96" s="210">
        <v>1902</v>
      </c>
      <c r="BK96" s="218">
        <v>1902</v>
      </c>
      <c r="BL96" s="210">
        <v>1928</v>
      </c>
      <c r="BM96" s="210">
        <v>1948</v>
      </c>
      <c r="BN96" s="210">
        <v>1976</v>
      </c>
      <c r="BO96" s="210">
        <f>BP96</f>
        <v>2004</v>
      </c>
      <c r="BP96" s="218">
        <v>2004</v>
      </c>
      <c r="BQ96" s="210">
        <v>2030</v>
      </c>
      <c r="BR96" s="210">
        <v>2050</v>
      </c>
      <c r="BS96" s="210">
        <v>2074</v>
      </c>
      <c r="BT96" s="210">
        <f>BU96</f>
        <v>2096</v>
      </c>
      <c r="BU96" s="218">
        <v>2096</v>
      </c>
      <c r="BV96" s="19">
        <v>2093</v>
      </c>
      <c r="BW96" s="19">
        <v>2122</v>
      </c>
      <c r="BX96" s="19">
        <v>2137</v>
      </c>
      <c r="BY96" s="19">
        <f>BZ96</f>
        <v>2149</v>
      </c>
      <c r="BZ96" s="218">
        <v>2149</v>
      </c>
      <c r="CA96" s="19">
        <v>2159</v>
      </c>
      <c r="CB96" s="19">
        <v>2166</v>
      </c>
      <c r="CC96" s="19">
        <v>2187</v>
      </c>
      <c r="CD96" s="19">
        <f>CE96</f>
        <v>2202</v>
      </c>
      <c r="CE96" s="218">
        <v>2202</v>
      </c>
      <c r="CF96" s="19">
        <v>2213</v>
      </c>
      <c r="CG96" s="19">
        <v>2228</v>
      </c>
      <c r="CH96" s="19">
        <v>2251</v>
      </c>
      <c r="CI96" s="19">
        <f>CJ96</f>
        <v>2257</v>
      </c>
      <c r="CJ96" s="218">
        <v>2257</v>
      </c>
      <c r="CK96" s="19">
        <v>2265</v>
      </c>
      <c r="CL96" s="19">
        <v>2279</v>
      </c>
      <c r="CM96" s="19">
        <v>2295</v>
      </c>
      <c r="CN96" s="19">
        <f>CO96</f>
        <v>2315</v>
      </c>
      <c r="CO96" s="218">
        <v>2315</v>
      </c>
    </row>
    <row r="97" spans="2:93" ht="13.9" customHeight="1">
      <c r="B97" s="20" t="s">
        <v>5</v>
      </c>
      <c r="C97" s="4"/>
      <c r="D97" s="22"/>
      <c r="E97" s="22"/>
      <c r="F97" s="22"/>
      <c r="G97" s="22"/>
      <c r="H97" s="4"/>
      <c r="I97" s="22"/>
      <c r="J97" s="22"/>
      <c r="K97" s="22"/>
      <c r="L97" s="21"/>
      <c r="M97" s="4"/>
      <c r="N97" s="22"/>
      <c r="O97" s="22"/>
      <c r="P97" s="22"/>
      <c r="Q97" s="21"/>
      <c r="R97" s="4"/>
      <c r="S97" s="22"/>
      <c r="T97" s="22"/>
      <c r="U97" s="22"/>
      <c r="V97" s="21"/>
      <c r="W97" s="211"/>
      <c r="X97" s="211"/>
      <c r="Y97" s="211"/>
      <c r="Z97" s="211"/>
      <c r="AA97" s="212"/>
      <c r="AB97" s="211"/>
      <c r="AC97" s="211"/>
      <c r="AD97" s="211"/>
      <c r="AE97" s="211"/>
      <c r="AF97" s="212"/>
      <c r="AG97" s="211"/>
      <c r="AH97" s="211"/>
      <c r="AI97" s="211"/>
      <c r="AJ97" s="211"/>
      <c r="AK97" s="212"/>
      <c r="AL97" s="211"/>
      <c r="AM97" s="212"/>
      <c r="AN97" s="212"/>
      <c r="AO97" s="212"/>
      <c r="AP97" s="212"/>
      <c r="AQ97" s="211"/>
      <c r="AR97" s="211"/>
      <c r="AS97" s="211"/>
      <c r="AT97" s="211"/>
      <c r="AU97" s="212"/>
      <c r="AV97" s="211"/>
      <c r="AW97" s="212">
        <f>AW96/AU96-1</f>
        <v>-5.9916117435589999E-3</v>
      </c>
      <c r="AX97" s="212">
        <f>AX96/AW96-1</f>
        <v>2.4110910186858625E-3</v>
      </c>
      <c r="AY97" s="212">
        <f>AY96/AX96-1</f>
        <v>2.0444978953698234E-2</v>
      </c>
      <c r="AZ97" s="212">
        <f>AZ96/AY96-1</f>
        <v>1.8856806128461967E-2</v>
      </c>
      <c r="BA97" s="211"/>
      <c r="BB97" s="212">
        <f>BB96/AZ96-1</f>
        <v>1.7929438982070556E-2</v>
      </c>
      <c r="BC97" s="212">
        <f>BC96/BB96-1</f>
        <v>2.2727272727272707E-2</v>
      </c>
      <c r="BD97" s="212">
        <f>BD96/BC96-1</f>
        <v>9.4444444444443665E-3</v>
      </c>
      <c r="BE97" s="212">
        <f>BE96/BD96-1</f>
        <v>3.8525041276828986E-3</v>
      </c>
      <c r="BF97" s="211"/>
      <c r="BG97" s="212">
        <f>BG96/BE96-1</f>
        <v>5.482456140350811E-3</v>
      </c>
      <c r="BH97" s="212">
        <f>BH96/BG96-1</f>
        <v>1.2540894220283594E-2</v>
      </c>
      <c r="BI97" s="212">
        <f>BI96/BH96-1</f>
        <v>1.5616585891222501E-2</v>
      </c>
      <c r="BJ97" s="212">
        <f>BJ96/BI96-1</f>
        <v>8.4835630965005571E-3</v>
      </c>
      <c r="BK97" s="211"/>
      <c r="BL97" s="212">
        <f>BL96/BJ96-1</f>
        <v>1.3669821240799074E-2</v>
      </c>
      <c r="BM97" s="212">
        <f>BM96/BL96-1</f>
        <v>1.0373443983402453E-2</v>
      </c>
      <c r="BN97" s="212">
        <f>BN96/BM96-1</f>
        <v>1.4373716632443578E-2</v>
      </c>
      <c r="BO97" s="212">
        <f>BO96/BN96-1</f>
        <v>1.4170040485830038E-2</v>
      </c>
      <c r="BP97" s="211"/>
      <c r="BQ97" s="212">
        <f>BQ96/BO96-1</f>
        <v>1.2974051896207595E-2</v>
      </c>
      <c r="BR97" s="212">
        <f>BR96/BQ96-1</f>
        <v>9.8522167487684609E-3</v>
      </c>
      <c r="BS97" s="212">
        <f>BS96/BR96-1</f>
        <v>1.1707317073170742E-2</v>
      </c>
      <c r="BT97" s="212">
        <f>BT96/BS96-1</f>
        <v>1.060752169720347E-2</v>
      </c>
      <c r="BU97" s="211"/>
      <c r="BV97" s="21">
        <f>BV96/BT96-1</f>
        <v>-1.4312977099236734E-3</v>
      </c>
      <c r="BW97" s="21">
        <f>BW96/BV96-1</f>
        <v>1.3855709507883507E-2</v>
      </c>
      <c r="BX97" s="21">
        <f>BX96/BW96-1</f>
        <v>7.0688030160226401E-3</v>
      </c>
      <c r="BY97" s="21">
        <f>BY96/BX96-1</f>
        <v>5.6153486195600344E-3</v>
      </c>
      <c r="BZ97" s="211"/>
      <c r="CA97" s="21">
        <f>CA96/BY96-1</f>
        <v>4.6533271288971001E-3</v>
      </c>
      <c r="CB97" s="21">
        <f>CB96/CA96-1</f>
        <v>3.2422417786011071E-3</v>
      </c>
      <c r="CC97" s="21">
        <f>CC96/CB96-1</f>
        <v>9.6952908587257802E-3</v>
      </c>
      <c r="CD97" s="21">
        <f>CD96/CC96-1</f>
        <v>6.8587105624142719E-3</v>
      </c>
      <c r="CE97" s="211"/>
      <c r="CF97" s="21">
        <f>CF96/CD96-1</f>
        <v>4.9954586739326956E-3</v>
      </c>
      <c r="CG97" s="21">
        <f>CG96/CF96-1</f>
        <v>6.7781292363306989E-3</v>
      </c>
      <c r="CH97" s="21">
        <f>CH96/CG96-1</f>
        <v>1.032315978456011E-2</v>
      </c>
      <c r="CI97" s="21">
        <f>CI96/CH96-1</f>
        <v>2.6654820079965447E-3</v>
      </c>
      <c r="CJ97" s="211"/>
      <c r="CK97" s="21">
        <f>CK96/CI96-1</f>
        <v>3.544528134691971E-3</v>
      </c>
      <c r="CL97" s="21">
        <f>CL96/CK96-1</f>
        <v>6.1810154525385741E-3</v>
      </c>
      <c r="CM97" s="21">
        <f>CM96/CL96-1</f>
        <v>7.0206230802982716E-3</v>
      </c>
      <c r="CN97" s="21">
        <f>CN96/CM96-1</f>
        <v>8.7145969498909626E-3</v>
      </c>
      <c r="CO97" s="211"/>
    </row>
    <row r="98" spans="2:93" ht="13.9" customHeight="1">
      <c r="B98" s="20" t="s">
        <v>6</v>
      </c>
      <c r="C98" s="4"/>
      <c r="D98" s="22"/>
      <c r="E98" s="22"/>
      <c r="F98" s="22"/>
      <c r="G98" s="22"/>
      <c r="H98" s="4"/>
      <c r="I98" s="22"/>
      <c r="J98" s="22"/>
      <c r="K98" s="22"/>
      <c r="L98" s="21"/>
      <c r="M98" s="4"/>
      <c r="N98" s="22"/>
      <c r="O98" s="22"/>
      <c r="P98" s="22"/>
      <c r="Q98" s="21"/>
      <c r="R98" s="4"/>
      <c r="S98" s="22"/>
      <c r="T98" s="22"/>
      <c r="U98" s="22"/>
      <c r="V98" s="21"/>
      <c r="W98" s="211"/>
      <c r="X98" s="211"/>
      <c r="Y98" s="211"/>
      <c r="Z98" s="211"/>
      <c r="AA98" s="212"/>
      <c r="AB98" s="211"/>
      <c r="AC98" s="211"/>
      <c r="AD98" s="211"/>
      <c r="AE98" s="211"/>
      <c r="AF98" s="212"/>
      <c r="AG98" s="211"/>
      <c r="AH98" s="211"/>
      <c r="AI98" s="211"/>
      <c r="AJ98" s="211"/>
      <c r="AK98" s="212"/>
      <c r="AL98" s="211"/>
      <c r="AM98" s="211"/>
      <c r="AN98" s="211"/>
      <c r="AO98" s="211"/>
      <c r="AP98" s="212">
        <f>AP96/AK96-1</f>
        <v>-1.3714285714285679E-2</v>
      </c>
      <c r="AQ98" s="211">
        <f>AQ96/AL96-1</f>
        <v>-1.3714285714285679E-2</v>
      </c>
      <c r="AR98" s="211"/>
      <c r="AS98" s="211"/>
      <c r="AT98" s="211"/>
      <c r="AU98" s="212">
        <f>AU96/AP96-1</f>
        <v>-3.3024333719582799E-2</v>
      </c>
      <c r="AV98" s="211">
        <f>AV96/AQ96-1</f>
        <v>-3.3024333719582799E-2</v>
      </c>
      <c r="AW98" s="211"/>
      <c r="AX98" s="211"/>
      <c r="AY98" s="211"/>
      <c r="AZ98" s="212">
        <f t="shared" ref="AZ98:CC98" si="124">AZ96/AU96-1</f>
        <v>3.5949670461354E-2</v>
      </c>
      <c r="BA98" s="211">
        <f t="shared" si="124"/>
        <v>3.5949670461354E-2</v>
      </c>
      <c r="BB98" s="211">
        <f t="shared" si="124"/>
        <v>6.088004822182036E-2</v>
      </c>
      <c r="BC98" s="211">
        <f t="shared" si="124"/>
        <v>8.2381238725195427E-2</v>
      </c>
      <c r="BD98" s="211">
        <f t="shared" si="124"/>
        <v>7.0713022981732543E-2</v>
      </c>
      <c r="BE98" s="212">
        <f t="shared" si="124"/>
        <v>5.4945054945054972E-2</v>
      </c>
      <c r="BF98" s="211">
        <f t="shared" si="124"/>
        <v>5.4945054945054972E-2</v>
      </c>
      <c r="BG98" s="211">
        <f t="shared" si="124"/>
        <v>4.2045454545454497E-2</v>
      </c>
      <c r="BH98" s="211">
        <f t="shared" si="124"/>
        <v>3.1666666666666732E-2</v>
      </c>
      <c r="BI98" s="211">
        <f t="shared" si="124"/>
        <v>3.7974683544303778E-2</v>
      </c>
      <c r="BJ98" s="212">
        <f t="shared" si="124"/>
        <v>4.2763157894736947E-2</v>
      </c>
      <c r="BK98" s="211">
        <f t="shared" si="124"/>
        <v>4.2763157894736947E-2</v>
      </c>
      <c r="BL98" s="211">
        <f t="shared" si="124"/>
        <v>5.1254089422028359E-2</v>
      </c>
      <c r="BM98" s="211">
        <f t="shared" si="124"/>
        <v>4.9003769520732376E-2</v>
      </c>
      <c r="BN98" s="211">
        <f t="shared" si="124"/>
        <v>4.7720042417815467E-2</v>
      </c>
      <c r="BO98" s="212">
        <f t="shared" si="124"/>
        <v>5.3627760252366041E-2</v>
      </c>
      <c r="BP98" s="211">
        <f t="shared" si="124"/>
        <v>5.3627760252366041E-2</v>
      </c>
      <c r="BQ98" s="211">
        <f t="shared" si="124"/>
        <v>5.2904564315352731E-2</v>
      </c>
      <c r="BR98" s="211">
        <f t="shared" si="124"/>
        <v>5.2361396303901353E-2</v>
      </c>
      <c r="BS98" s="211">
        <f t="shared" si="124"/>
        <v>4.9595141700404799E-2</v>
      </c>
      <c r="BT98" s="212">
        <f t="shared" si="124"/>
        <v>4.5908183632734634E-2</v>
      </c>
      <c r="BU98" s="211">
        <f t="shared" si="124"/>
        <v>4.5908183632734634E-2</v>
      </c>
      <c r="BV98" s="22">
        <f t="shared" si="124"/>
        <v>3.1034482758620641E-2</v>
      </c>
      <c r="BW98" s="22">
        <f t="shared" si="124"/>
        <v>3.5121951219512226E-2</v>
      </c>
      <c r="BX98" s="22">
        <f t="shared" si="124"/>
        <v>3.0376084860173513E-2</v>
      </c>
      <c r="BY98" s="21">
        <f t="shared" si="124"/>
        <v>2.5286259541984712E-2</v>
      </c>
      <c r="BZ98" s="211">
        <f t="shared" si="124"/>
        <v>2.5286259541984712E-2</v>
      </c>
      <c r="CA98" s="22">
        <f t="shared" si="124"/>
        <v>3.1533683707596794E-2</v>
      </c>
      <c r="CB98" s="22">
        <f t="shared" si="124"/>
        <v>2.0735155513666337E-2</v>
      </c>
      <c r="CC98" s="22">
        <f t="shared" si="124"/>
        <v>2.3397285914833921E-2</v>
      </c>
      <c r="CD98" s="21">
        <f t="shared" ref="CD98" si="125">CD96/BY96-1</f>
        <v>2.466263378315503E-2</v>
      </c>
      <c r="CE98" s="211">
        <f t="shared" ref="CE98:CH98" si="126">CE96/BZ96-1</f>
        <v>2.466263378315503E-2</v>
      </c>
      <c r="CF98" s="22">
        <f t="shared" si="126"/>
        <v>2.5011579434923492E-2</v>
      </c>
      <c r="CG98" s="22">
        <f t="shared" si="126"/>
        <v>2.8624192059095055E-2</v>
      </c>
      <c r="CH98" s="22">
        <f t="shared" si="126"/>
        <v>2.9263831732967427E-2</v>
      </c>
      <c r="CI98" s="21">
        <f t="shared" ref="CI98" si="127">CI96/CD96-1</f>
        <v>2.4977293369663922E-2</v>
      </c>
      <c r="CJ98" s="211">
        <f t="shared" ref="CJ98:CM98" si="128">CJ96/CE96-1</f>
        <v>2.4977293369663922E-2</v>
      </c>
      <c r="CK98" s="22">
        <f t="shared" si="128"/>
        <v>2.349751468594663E-2</v>
      </c>
      <c r="CL98" s="22">
        <f t="shared" si="128"/>
        <v>2.289048473967692E-2</v>
      </c>
      <c r="CM98" s="22">
        <f t="shared" si="128"/>
        <v>1.9546868058640587E-2</v>
      </c>
      <c r="CN98" s="21">
        <f t="shared" ref="CN98" si="129">CN96/CI96-1</f>
        <v>2.5697828976517512E-2</v>
      </c>
      <c r="CO98" s="211">
        <f t="shared" ref="CO98" si="130">CO96/CJ96-1</f>
        <v>2.5697828976517512E-2</v>
      </c>
    </row>
    <row r="99" spans="2:93" ht="13.9" customHeight="1">
      <c r="B99" s="20" t="s">
        <v>121</v>
      </c>
      <c r="C99" s="4"/>
      <c r="D99" s="22"/>
      <c r="E99" s="22"/>
      <c r="F99" s="22"/>
      <c r="G99" s="22"/>
      <c r="H99" s="4"/>
      <c r="I99" s="22"/>
      <c r="J99" s="22"/>
      <c r="K99" s="22"/>
      <c r="L99" s="21"/>
      <c r="M99" s="4"/>
      <c r="N99" s="22"/>
      <c r="O99" s="22"/>
      <c r="P99" s="22"/>
      <c r="Q99" s="21"/>
      <c r="R99" s="4"/>
      <c r="S99" s="22"/>
      <c r="T99" s="22"/>
      <c r="U99" s="22"/>
      <c r="V99" s="21"/>
      <c r="W99" s="239"/>
      <c r="X99" s="239"/>
      <c r="Y99" s="239"/>
      <c r="Z99" s="239"/>
      <c r="AA99" s="250"/>
      <c r="AB99" s="239"/>
      <c r="AC99" s="239"/>
      <c r="AD99" s="239"/>
      <c r="AE99" s="239"/>
      <c r="AF99" s="250"/>
      <c r="AG99" s="239"/>
      <c r="AH99" s="239"/>
      <c r="AI99" s="239"/>
      <c r="AJ99" s="239"/>
      <c r="AK99" s="250"/>
      <c r="AL99" s="249"/>
      <c r="AM99" s="239"/>
      <c r="AN99" s="251"/>
      <c r="AO99" s="251"/>
      <c r="AP99" s="251"/>
      <c r="AQ99" s="249">
        <f>AQ96-AL96</f>
        <v>-24</v>
      </c>
      <c r="AR99" s="249"/>
      <c r="AS99" s="249"/>
      <c r="AT99" s="249"/>
      <c r="AU99" s="249"/>
      <c r="AV99" s="249">
        <f>AV96-AQ96</f>
        <v>-57</v>
      </c>
      <c r="AW99" s="249">
        <f>AW96-AU96</f>
        <v>-10</v>
      </c>
      <c r="AX99" s="249">
        <f>AX96-AW96</f>
        <v>4</v>
      </c>
      <c r="AY99" s="249">
        <f>AY96-AX96</f>
        <v>34</v>
      </c>
      <c r="AZ99" s="249">
        <f>AZ96-AY96</f>
        <v>32</v>
      </c>
      <c r="BA99" s="249">
        <f>BA96-AV96</f>
        <v>60</v>
      </c>
      <c r="BB99" s="249">
        <f>BB96-AZ96</f>
        <v>31</v>
      </c>
      <c r="BC99" s="249">
        <f>BC96-BB96</f>
        <v>40</v>
      </c>
      <c r="BD99" s="249">
        <f>BD96-BC96</f>
        <v>17</v>
      </c>
      <c r="BE99" s="249">
        <f>BE96-BD96</f>
        <v>7</v>
      </c>
      <c r="BF99" s="249">
        <f>BF96-BA96</f>
        <v>95</v>
      </c>
      <c r="BG99" s="249">
        <f>BG96-BE96</f>
        <v>10</v>
      </c>
      <c r="BH99" s="249">
        <f>BH96-BG96</f>
        <v>23</v>
      </c>
      <c r="BI99" s="249">
        <f>BI96-BH96</f>
        <v>29</v>
      </c>
      <c r="BJ99" s="249">
        <f>BJ96-BI96</f>
        <v>16</v>
      </c>
      <c r="BK99" s="249">
        <f>BK96-BF96</f>
        <v>78</v>
      </c>
      <c r="BL99" s="249">
        <f>BL96-BJ96</f>
        <v>26</v>
      </c>
      <c r="BM99" s="249">
        <f>BM96-BL96</f>
        <v>20</v>
      </c>
      <c r="BN99" s="249">
        <f>BN96-BM96</f>
        <v>28</v>
      </c>
      <c r="BO99" s="249">
        <f>BO96-BN96</f>
        <v>28</v>
      </c>
      <c r="BP99" s="249">
        <f>BP96-BK96</f>
        <v>102</v>
      </c>
      <c r="BQ99" s="249">
        <f>BQ96-BO96</f>
        <v>26</v>
      </c>
      <c r="BR99" s="249">
        <f>BR96-BQ96</f>
        <v>20</v>
      </c>
      <c r="BS99" s="249">
        <f>BS96-BR96</f>
        <v>24</v>
      </c>
      <c r="BT99" s="249">
        <f>BT96-BS96</f>
        <v>22</v>
      </c>
      <c r="BU99" s="249">
        <f>BU96-BP96</f>
        <v>92</v>
      </c>
      <c r="BV99" s="113">
        <f>BV96-BT96</f>
        <v>-3</v>
      </c>
      <c r="BW99" s="113">
        <f>BW96-BV96</f>
        <v>29</v>
      </c>
      <c r="BX99" s="113">
        <f>BX96-BW96</f>
        <v>15</v>
      </c>
      <c r="BY99" s="113">
        <f>BY96-BX96</f>
        <v>12</v>
      </c>
      <c r="BZ99" s="249">
        <f>BZ96-BU96</f>
        <v>53</v>
      </c>
      <c r="CA99" s="113">
        <f>CA96-BY96</f>
        <v>10</v>
      </c>
      <c r="CB99" s="113">
        <f>CB96-CA96</f>
        <v>7</v>
      </c>
      <c r="CC99" s="113">
        <f>CC96-CB96</f>
        <v>21</v>
      </c>
      <c r="CD99" s="113">
        <f>CD96-CC96</f>
        <v>15</v>
      </c>
      <c r="CE99" s="249">
        <f>CE96-BZ96</f>
        <v>53</v>
      </c>
      <c r="CF99" s="113">
        <f>CF96-CD96</f>
        <v>11</v>
      </c>
      <c r="CG99" s="113">
        <f>CG96-CF96</f>
        <v>15</v>
      </c>
      <c r="CH99" s="113">
        <f>CH96-CG96</f>
        <v>23</v>
      </c>
      <c r="CI99" s="113">
        <f>CI96-CH96</f>
        <v>6</v>
      </c>
      <c r="CJ99" s="249">
        <f>CJ96-CE96</f>
        <v>55</v>
      </c>
      <c r="CK99" s="113">
        <f>CK96-CI96</f>
        <v>8</v>
      </c>
      <c r="CL99" s="113">
        <f>CL96-CK96</f>
        <v>14</v>
      </c>
      <c r="CM99" s="113">
        <f>CM96-CL96</f>
        <v>16</v>
      </c>
      <c r="CN99" s="113">
        <f>CN96-CM96</f>
        <v>20</v>
      </c>
      <c r="CO99" s="249">
        <f>CO96-CJ96</f>
        <v>58</v>
      </c>
    </row>
    <row r="100" spans="2:93" ht="13.9" customHeight="1">
      <c r="B100" s="12" t="s">
        <v>170</v>
      </c>
      <c r="C100" s="39" t="s">
        <v>24</v>
      </c>
      <c r="D100" s="27" t="s">
        <v>25</v>
      </c>
      <c r="E100" s="27" t="s">
        <v>25</v>
      </c>
      <c r="F100" s="27" t="s">
        <v>25</v>
      </c>
      <c r="G100" s="27" t="s">
        <v>25</v>
      </c>
      <c r="H100" s="39" t="s">
        <v>24</v>
      </c>
      <c r="I100" s="27" t="s">
        <v>25</v>
      </c>
      <c r="J100" s="27" t="s">
        <v>25</v>
      </c>
      <c r="K100" s="27" t="s">
        <v>25</v>
      </c>
      <c r="L100" s="27" t="s">
        <v>25</v>
      </c>
      <c r="M100" s="39" t="s">
        <v>24</v>
      </c>
      <c r="N100" s="27" t="s">
        <v>25</v>
      </c>
      <c r="O100" s="27" t="s">
        <v>25</v>
      </c>
      <c r="P100" s="27" t="s">
        <v>25</v>
      </c>
      <c r="Q100" s="27" t="s">
        <v>25</v>
      </c>
      <c r="R100" s="39" t="s">
        <v>24</v>
      </c>
      <c r="S100" s="27" t="s">
        <v>25</v>
      </c>
      <c r="T100" s="27" t="s">
        <v>25</v>
      </c>
      <c r="U100" s="27" t="s">
        <v>25</v>
      </c>
      <c r="V100" s="27" t="s">
        <v>25</v>
      </c>
      <c r="W100" s="236" t="s">
        <v>24</v>
      </c>
      <c r="X100" s="235" t="s">
        <v>25</v>
      </c>
      <c r="Y100" s="235" t="s">
        <v>25</v>
      </c>
      <c r="Z100" s="235" t="s">
        <v>25</v>
      </c>
      <c r="AA100" s="235" t="s">
        <v>25</v>
      </c>
      <c r="AB100" s="236" t="s">
        <v>24</v>
      </c>
      <c r="AC100" s="235" t="s">
        <v>25</v>
      </c>
      <c r="AD100" s="235" t="s">
        <v>25</v>
      </c>
      <c r="AE100" s="235" t="s">
        <v>25</v>
      </c>
      <c r="AF100" s="235" t="s">
        <v>25</v>
      </c>
      <c r="AG100" s="236" t="s">
        <v>24</v>
      </c>
      <c r="AH100" s="235" t="s">
        <v>25</v>
      </c>
      <c r="AI100" s="235" t="s">
        <v>25</v>
      </c>
      <c r="AJ100" s="235" t="s">
        <v>25</v>
      </c>
      <c r="AK100" s="210">
        <v>836</v>
      </c>
      <c r="AL100" s="218">
        <v>836</v>
      </c>
      <c r="AM100" s="235" t="s">
        <v>25</v>
      </c>
      <c r="AN100" s="235" t="s">
        <v>25</v>
      </c>
      <c r="AO100" s="235" t="s">
        <v>25</v>
      </c>
      <c r="AP100" s="210">
        <v>925</v>
      </c>
      <c r="AQ100" s="218">
        <v>925</v>
      </c>
      <c r="AR100" s="235" t="s">
        <v>25</v>
      </c>
      <c r="AS100" s="235" t="s">
        <v>25</v>
      </c>
      <c r="AT100" s="235" t="s">
        <v>25</v>
      </c>
      <c r="AU100" s="210">
        <v>733</v>
      </c>
      <c r="AV100" s="218">
        <v>733</v>
      </c>
      <c r="AW100" s="210">
        <v>771</v>
      </c>
      <c r="AX100" s="210">
        <v>747</v>
      </c>
      <c r="AY100" s="210">
        <v>778</v>
      </c>
      <c r="AZ100" s="210">
        <v>796</v>
      </c>
      <c r="BA100" s="218">
        <v>796</v>
      </c>
      <c r="BB100" s="210">
        <v>786</v>
      </c>
      <c r="BC100" s="210">
        <v>801</v>
      </c>
      <c r="BD100" s="210">
        <v>368</v>
      </c>
      <c r="BE100" s="210">
        <f>BF100</f>
        <v>374</v>
      </c>
      <c r="BF100" s="218">
        <v>374</v>
      </c>
      <c r="BG100" s="210">
        <v>382</v>
      </c>
      <c r="BH100" s="210">
        <v>397</v>
      </c>
      <c r="BI100" s="210">
        <v>415</v>
      </c>
      <c r="BJ100" s="210">
        <f>BK100</f>
        <v>425</v>
      </c>
      <c r="BK100" s="218">
        <v>425</v>
      </c>
      <c r="BL100" s="210">
        <f>BK100+3</f>
        <v>428</v>
      </c>
      <c r="BM100" s="210">
        <v>417</v>
      </c>
      <c r="BN100" s="210">
        <v>420</v>
      </c>
      <c r="BO100" s="210">
        <f>BP100</f>
        <v>438</v>
      </c>
      <c r="BP100" s="218">
        <v>438</v>
      </c>
      <c r="BQ100" s="210">
        <v>462</v>
      </c>
      <c r="BR100" s="210">
        <v>471</v>
      </c>
      <c r="BS100" s="210">
        <v>473</v>
      </c>
      <c r="BT100" s="210">
        <f>BU100</f>
        <v>480</v>
      </c>
      <c r="BU100" s="218">
        <v>480</v>
      </c>
      <c r="BV100" s="19">
        <v>490</v>
      </c>
      <c r="BW100" s="19">
        <v>514</v>
      </c>
      <c r="BX100" s="19">
        <v>538</v>
      </c>
      <c r="BY100" s="19">
        <f>BZ100</f>
        <v>431</v>
      </c>
      <c r="BZ100" s="218">
        <v>431</v>
      </c>
      <c r="CA100" s="19">
        <v>426</v>
      </c>
      <c r="CB100" s="19">
        <v>427</v>
      </c>
      <c r="CC100" s="19">
        <v>431</v>
      </c>
      <c r="CD100" s="19">
        <f>CE100</f>
        <v>416</v>
      </c>
      <c r="CE100" s="218">
        <v>416</v>
      </c>
      <c r="CF100" s="19">
        <v>398</v>
      </c>
      <c r="CG100" s="19">
        <v>387</v>
      </c>
      <c r="CH100" s="19">
        <v>388</v>
      </c>
      <c r="CI100" s="19">
        <f>CJ100</f>
        <v>376</v>
      </c>
      <c r="CJ100" s="218">
        <v>376</v>
      </c>
      <c r="CK100" s="19">
        <v>366</v>
      </c>
      <c r="CL100" s="19">
        <v>366</v>
      </c>
      <c r="CM100" s="19">
        <v>366</v>
      </c>
      <c r="CN100" s="19">
        <f>CO100</f>
        <v>362</v>
      </c>
      <c r="CO100" s="218">
        <v>362</v>
      </c>
    </row>
    <row r="101" spans="2:93" ht="13.9" customHeight="1">
      <c r="B101" s="20" t="s">
        <v>5</v>
      </c>
      <c r="C101" s="4"/>
      <c r="D101" s="22"/>
      <c r="E101" s="22"/>
      <c r="F101" s="22"/>
      <c r="G101" s="22"/>
      <c r="H101" s="4"/>
      <c r="I101" s="22"/>
      <c r="J101" s="22"/>
      <c r="K101" s="22"/>
      <c r="L101" s="21"/>
      <c r="M101" s="4"/>
      <c r="N101" s="22"/>
      <c r="O101" s="22"/>
      <c r="P101" s="22"/>
      <c r="Q101" s="21"/>
      <c r="R101" s="4"/>
      <c r="S101" s="22"/>
      <c r="T101" s="22"/>
      <c r="U101" s="22"/>
      <c r="V101" s="21"/>
      <c r="W101" s="211"/>
      <c r="X101" s="211"/>
      <c r="Y101" s="211"/>
      <c r="Z101" s="211"/>
      <c r="AA101" s="212"/>
      <c r="AB101" s="211"/>
      <c r="AC101" s="211"/>
      <c r="AD101" s="211"/>
      <c r="AE101" s="211"/>
      <c r="AF101" s="212"/>
      <c r="AG101" s="211"/>
      <c r="AH101" s="211"/>
      <c r="AI101" s="211"/>
      <c r="AJ101" s="211"/>
      <c r="AK101" s="212"/>
      <c r="AL101" s="211"/>
      <c r="AM101" s="211"/>
      <c r="AN101" s="211"/>
      <c r="AO101" s="211"/>
      <c r="AP101" s="212"/>
      <c r="AQ101" s="211"/>
      <c r="AR101" s="212"/>
      <c r="AS101" s="212"/>
      <c r="AT101" s="212"/>
      <c r="AU101" s="212"/>
      <c r="AV101" s="211"/>
      <c r="AW101" s="212">
        <f>AW100/AU100-1</f>
        <v>5.184174624829474E-2</v>
      </c>
      <c r="AX101" s="212">
        <f>AX100/AW100-1</f>
        <v>-3.1128404669260701E-2</v>
      </c>
      <c r="AY101" s="212">
        <f>AY100/AX100-1</f>
        <v>4.1499330655957234E-2</v>
      </c>
      <c r="AZ101" s="212">
        <f>AZ100/AY100-1</f>
        <v>2.3136246786632286E-2</v>
      </c>
      <c r="BA101" s="211"/>
      <c r="BB101" s="212">
        <f>BB100/AZ100-1</f>
        <v>-1.2562814070351758E-2</v>
      </c>
      <c r="BC101" s="212">
        <f>BC100/BB100-1</f>
        <v>1.9083969465648831E-2</v>
      </c>
      <c r="BD101" s="211">
        <f>BD100/BC100-1</f>
        <v>-0.54057428214731584</v>
      </c>
      <c r="BE101" s="212">
        <f>BE100/BD100-1</f>
        <v>1.6304347826086918E-2</v>
      </c>
      <c r="BF101" s="211"/>
      <c r="BG101" s="212">
        <f>BG100/BE100-1</f>
        <v>2.1390374331550888E-2</v>
      </c>
      <c r="BH101" s="212">
        <f>BH100/BG100-1</f>
        <v>3.9267015706806241E-2</v>
      </c>
      <c r="BI101" s="212">
        <f>BI100/BH100-1</f>
        <v>4.534005037783384E-2</v>
      </c>
      <c r="BJ101" s="212">
        <f>BJ100/BI100-1</f>
        <v>2.4096385542168752E-2</v>
      </c>
      <c r="BK101" s="211"/>
      <c r="BL101" s="212">
        <f>BL100/BJ100-1</f>
        <v>7.058823529411784E-3</v>
      </c>
      <c r="BM101" s="212">
        <f>BM100/BL100-1</f>
        <v>-2.5700934579439227E-2</v>
      </c>
      <c r="BN101" s="212">
        <f>BN100/BM100-1</f>
        <v>7.194244604316502E-3</v>
      </c>
      <c r="BO101" s="212">
        <f>BO100/BN100-1</f>
        <v>4.2857142857142927E-2</v>
      </c>
      <c r="BP101" s="211"/>
      <c r="BQ101" s="212">
        <f>BQ100/BO100-1</f>
        <v>5.4794520547945202E-2</v>
      </c>
      <c r="BR101" s="212">
        <f>BR100/BQ100-1</f>
        <v>1.9480519480519431E-2</v>
      </c>
      <c r="BS101" s="212">
        <f>BS100/BR100-1</f>
        <v>4.2462845010615702E-3</v>
      </c>
      <c r="BT101" s="212">
        <f>BT100/BS100-1</f>
        <v>1.4799154334038001E-2</v>
      </c>
      <c r="BU101" s="211"/>
      <c r="BV101" s="21">
        <f>BV100/BT100-1</f>
        <v>2.0833333333333259E-2</v>
      </c>
      <c r="BW101" s="21">
        <f>BW100/BV100-1</f>
        <v>4.8979591836734615E-2</v>
      </c>
      <c r="BX101" s="21">
        <f>BX100/BW100-1</f>
        <v>4.6692607003891107E-2</v>
      </c>
      <c r="BY101" s="21">
        <f>BY100/BX100-1</f>
        <v>-0.1988847583643123</v>
      </c>
      <c r="BZ101" s="211"/>
      <c r="CA101" s="21">
        <f>CA100/BY100-1</f>
        <v>-1.1600928074245953E-2</v>
      </c>
      <c r="CB101" s="21">
        <f>CB100/CA100-1</f>
        <v>2.3474178403755097E-3</v>
      </c>
      <c r="CC101" s="21">
        <f>CC100/CB100-1</f>
        <v>9.3676814988290502E-3</v>
      </c>
      <c r="CD101" s="21">
        <f>CD100/CC100-1</f>
        <v>-3.4802784222737859E-2</v>
      </c>
      <c r="CE101" s="211"/>
      <c r="CF101" s="21">
        <f>CF100/CD100-1</f>
        <v>-4.3269230769230727E-2</v>
      </c>
      <c r="CG101" s="21">
        <f>CG100/CF100-1</f>
        <v>-2.7638190954773822E-2</v>
      </c>
      <c r="CH101" s="21">
        <f>CH100/CG100-1</f>
        <v>2.5839793281654533E-3</v>
      </c>
      <c r="CI101" s="21">
        <f>CI100/CH100-1</f>
        <v>-3.0927835051546393E-2</v>
      </c>
      <c r="CJ101" s="211"/>
      <c r="CK101" s="21">
        <f>CK100/CI100-1</f>
        <v>-2.6595744680851019E-2</v>
      </c>
      <c r="CL101" s="21">
        <f>CL100/CK100-1</f>
        <v>0</v>
      </c>
      <c r="CM101" s="21">
        <f>CM100/CL100-1</f>
        <v>0</v>
      </c>
      <c r="CN101" s="21">
        <f>CN100/CM100-1</f>
        <v>-1.0928961748633892E-2</v>
      </c>
      <c r="CO101" s="211"/>
    </row>
    <row r="102" spans="2:93" ht="13.9" customHeight="1">
      <c r="B102" s="20" t="s">
        <v>6</v>
      </c>
      <c r="C102" s="4"/>
      <c r="D102" s="22"/>
      <c r="E102" s="22"/>
      <c r="F102" s="22"/>
      <c r="G102" s="22"/>
      <c r="H102" s="4"/>
      <c r="I102" s="22"/>
      <c r="J102" s="22"/>
      <c r="K102" s="22"/>
      <c r="L102" s="21"/>
      <c r="M102" s="4"/>
      <c r="N102" s="22"/>
      <c r="O102" s="22"/>
      <c r="P102" s="22"/>
      <c r="Q102" s="21"/>
      <c r="R102" s="5"/>
      <c r="S102" s="22"/>
      <c r="T102" s="22"/>
      <c r="U102" s="22"/>
      <c r="V102" s="21"/>
      <c r="W102" s="211"/>
      <c r="X102" s="211"/>
      <c r="Y102" s="211"/>
      <c r="Z102" s="211"/>
      <c r="AA102" s="212"/>
      <c r="AB102" s="211"/>
      <c r="AC102" s="211"/>
      <c r="AD102" s="211"/>
      <c r="AE102" s="211"/>
      <c r="AF102" s="212"/>
      <c r="AG102" s="211"/>
      <c r="AH102" s="211"/>
      <c r="AI102" s="211"/>
      <c r="AJ102" s="211"/>
      <c r="AK102" s="212"/>
      <c r="AL102" s="211"/>
      <c r="AM102" s="211"/>
      <c r="AN102" s="211"/>
      <c r="AO102" s="211"/>
      <c r="AP102" s="212"/>
      <c r="AQ102" s="211">
        <f>AQ100/AL100-1</f>
        <v>0.10645933014354059</v>
      </c>
      <c r="AR102" s="211"/>
      <c r="AS102" s="211"/>
      <c r="AT102" s="211"/>
      <c r="AU102" s="212">
        <f>AU100/AP100-1</f>
        <v>-0.20756756756756756</v>
      </c>
      <c r="AV102" s="211">
        <f>AV100/AQ100-1</f>
        <v>-0.20756756756756756</v>
      </c>
      <c r="AW102" s="211"/>
      <c r="AX102" s="211"/>
      <c r="AY102" s="211"/>
      <c r="AZ102" s="212">
        <f t="shared" ref="AZ102:BX102" si="131">AZ100/AU100-1</f>
        <v>8.5948158253751794E-2</v>
      </c>
      <c r="BA102" s="211">
        <f t="shared" si="131"/>
        <v>8.5948158253751794E-2</v>
      </c>
      <c r="BB102" s="211">
        <f t="shared" si="131"/>
        <v>1.9455252918287869E-2</v>
      </c>
      <c r="BC102" s="211">
        <f t="shared" si="131"/>
        <v>7.2289156626506035E-2</v>
      </c>
      <c r="BD102" s="211">
        <f t="shared" si="131"/>
        <v>-0.52699228791773778</v>
      </c>
      <c r="BE102" s="212">
        <f t="shared" si="131"/>
        <v>-0.53015075376884424</v>
      </c>
      <c r="BF102" s="211">
        <f t="shared" si="131"/>
        <v>-0.53015075376884424</v>
      </c>
      <c r="BG102" s="211">
        <f t="shared" si="131"/>
        <v>-0.51399491094147587</v>
      </c>
      <c r="BH102" s="211">
        <f t="shared" si="131"/>
        <v>-0.50436953807740326</v>
      </c>
      <c r="BI102" s="211">
        <f t="shared" si="131"/>
        <v>0.12771739130434789</v>
      </c>
      <c r="BJ102" s="212">
        <f t="shared" si="131"/>
        <v>0.13636363636363646</v>
      </c>
      <c r="BK102" s="211">
        <f t="shared" si="131"/>
        <v>0.13636363636363646</v>
      </c>
      <c r="BL102" s="211">
        <f t="shared" si="131"/>
        <v>0.12041884816753923</v>
      </c>
      <c r="BM102" s="211">
        <f t="shared" si="131"/>
        <v>5.0377833753148638E-2</v>
      </c>
      <c r="BN102" s="211">
        <f t="shared" si="131"/>
        <v>1.2048192771084265E-2</v>
      </c>
      <c r="BO102" s="212">
        <f t="shared" si="131"/>
        <v>3.0588235294117583E-2</v>
      </c>
      <c r="BP102" s="211">
        <f t="shared" si="131"/>
        <v>3.0588235294117583E-2</v>
      </c>
      <c r="BQ102" s="211">
        <f t="shared" si="131"/>
        <v>7.9439252336448662E-2</v>
      </c>
      <c r="BR102" s="211">
        <f t="shared" si="131"/>
        <v>0.12949640287769792</v>
      </c>
      <c r="BS102" s="211">
        <f t="shared" si="131"/>
        <v>0.12619047619047619</v>
      </c>
      <c r="BT102" s="212">
        <f t="shared" si="131"/>
        <v>9.5890410958904049E-2</v>
      </c>
      <c r="BU102" s="211">
        <f t="shared" si="131"/>
        <v>9.5890410958904049E-2</v>
      </c>
      <c r="BV102" s="22">
        <f t="shared" si="131"/>
        <v>6.0606060606060552E-2</v>
      </c>
      <c r="BW102" s="22">
        <f t="shared" si="131"/>
        <v>9.1295116772823759E-2</v>
      </c>
      <c r="BX102" s="22">
        <f t="shared" si="131"/>
        <v>0.13742071881606766</v>
      </c>
      <c r="BY102" s="21">
        <f>BY100/BT100-1</f>
        <v>-0.1020833333333333</v>
      </c>
      <c r="BZ102" s="211">
        <f>BZ100/BU100-1</f>
        <v>-0.1020833333333333</v>
      </c>
      <c r="CA102" s="22">
        <f>CA100/BV100-1</f>
        <v>-0.1306122448979592</v>
      </c>
      <c r="CB102" s="22">
        <f>CB100/BW100-1</f>
        <v>-0.16926070038910501</v>
      </c>
      <c r="CC102" s="22">
        <f t="shared" ref="CC102" si="132">CC100/BX100-1</f>
        <v>-0.1988847583643123</v>
      </c>
      <c r="CD102" s="21">
        <f>CD100/BY100-1</f>
        <v>-3.4802784222737859E-2</v>
      </c>
      <c r="CE102" s="211">
        <f>CE100/BZ100-1</f>
        <v>-3.4802784222737859E-2</v>
      </c>
      <c r="CF102" s="22">
        <f>CF100/CA100-1</f>
        <v>-6.5727699530516381E-2</v>
      </c>
      <c r="CG102" s="22">
        <f>CG100/CB100-1</f>
        <v>-9.3676814988290391E-2</v>
      </c>
      <c r="CH102" s="22">
        <f t="shared" ref="CH102" si="133">CH100/CC100-1</f>
        <v>-9.9767981438515063E-2</v>
      </c>
      <c r="CI102" s="21">
        <f>CI100/CD100-1</f>
        <v>-9.6153846153846145E-2</v>
      </c>
      <c r="CJ102" s="211">
        <f>CJ100/CE100-1</f>
        <v>-9.6153846153846145E-2</v>
      </c>
      <c r="CK102" s="22">
        <f t="shared" ref="CK102" si="134">CK100/CF100-1</f>
        <v>-8.0402010050251271E-2</v>
      </c>
      <c r="CL102" s="22">
        <f>CL100/CG100-1</f>
        <v>-5.4263565891472854E-2</v>
      </c>
      <c r="CM102" s="22">
        <f>CM100/CH100-1</f>
        <v>-5.6701030927835072E-2</v>
      </c>
      <c r="CN102" s="21">
        <f>CN100/CI100-1</f>
        <v>-3.7234042553191515E-2</v>
      </c>
      <c r="CO102" s="211">
        <f>CO100/CJ100-1</f>
        <v>-3.7234042553191515E-2</v>
      </c>
    </row>
    <row r="103" spans="2:93" ht="13.9" customHeight="1">
      <c r="B103" s="20" t="s">
        <v>121</v>
      </c>
      <c r="C103" s="4"/>
      <c r="D103" s="22"/>
      <c r="E103" s="22"/>
      <c r="F103" s="22"/>
      <c r="G103" s="22"/>
      <c r="H103" s="4"/>
      <c r="I103" s="22"/>
      <c r="J103" s="22"/>
      <c r="K103" s="22"/>
      <c r="L103" s="21"/>
      <c r="M103" s="4"/>
      <c r="N103" s="22"/>
      <c r="O103" s="22"/>
      <c r="P103" s="22"/>
      <c r="Q103" s="21"/>
      <c r="R103" s="4"/>
      <c r="S103" s="22"/>
      <c r="T103" s="22"/>
      <c r="U103" s="22"/>
      <c r="V103" s="21"/>
      <c r="W103" s="211"/>
      <c r="X103" s="211"/>
      <c r="Y103" s="211"/>
      <c r="Z103" s="211"/>
      <c r="AA103" s="212"/>
      <c r="AB103" s="211"/>
      <c r="AC103" s="211"/>
      <c r="AD103" s="211"/>
      <c r="AE103" s="211"/>
      <c r="AF103" s="212"/>
      <c r="AG103" s="211"/>
      <c r="AH103" s="211"/>
      <c r="AI103" s="211"/>
      <c r="AJ103" s="211"/>
      <c r="AK103" s="212"/>
      <c r="AL103" s="239"/>
      <c r="AM103" s="239"/>
      <c r="AN103" s="239"/>
      <c r="AO103" s="239"/>
      <c r="AP103" s="249"/>
      <c r="AQ103" s="249">
        <f>AQ100-AL100</f>
        <v>89</v>
      </c>
      <c r="AR103" s="249"/>
      <c r="AS103" s="249"/>
      <c r="AT103" s="249"/>
      <c r="AU103" s="249"/>
      <c r="AV103" s="249">
        <f>AV100-AQ100</f>
        <v>-192</v>
      </c>
      <c r="AW103" s="249">
        <f>AW100-AU100</f>
        <v>38</v>
      </c>
      <c r="AX103" s="249">
        <f>AX100-AW100</f>
        <v>-24</v>
      </c>
      <c r="AY103" s="249">
        <f>AY100-AX100</f>
        <v>31</v>
      </c>
      <c r="AZ103" s="249">
        <f>AZ100-AY100</f>
        <v>18</v>
      </c>
      <c r="BA103" s="249">
        <f>BA100-AV100</f>
        <v>63</v>
      </c>
      <c r="BB103" s="249">
        <f>BB100-AZ100</f>
        <v>-10</v>
      </c>
      <c r="BC103" s="249">
        <f>BC100-BB100</f>
        <v>15</v>
      </c>
      <c r="BD103" s="249">
        <f>BD100-BC100</f>
        <v>-433</v>
      </c>
      <c r="BE103" s="249">
        <f>BE100-BD100</f>
        <v>6</v>
      </c>
      <c r="BF103" s="249">
        <f>BF100-BA100</f>
        <v>-422</v>
      </c>
      <c r="BG103" s="249">
        <f>BG100-BE100</f>
        <v>8</v>
      </c>
      <c r="BH103" s="249">
        <f>BH100-BG100</f>
        <v>15</v>
      </c>
      <c r="BI103" s="249">
        <f>BI100-BH100</f>
        <v>18</v>
      </c>
      <c r="BJ103" s="249">
        <f>BJ100-BI100</f>
        <v>10</v>
      </c>
      <c r="BK103" s="249">
        <f>BK100-BF100</f>
        <v>51</v>
      </c>
      <c r="BL103" s="249">
        <f>BL100-BJ100</f>
        <v>3</v>
      </c>
      <c r="BM103" s="249">
        <f>BM100-BL100</f>
        <v>-11</v>
      </c>
      <c r="BN103" s="249">
        <f>BN100-BM100</f>
        <v>3</v>
      </c>
      <c r="BO103" s="249">
        <f>BO100-BN100</f>
        <v>18</v>
      </c>
      <c r="BP103" s="249">
        <f>BP100-BK100</f>
        <v>13</v>
      </c>
      <c r="BQ103" s="249">
        <f>BQ100-BO100</f>
        <v>24</v>
      </c>
      <c r="BR103" s="249">
        <f>BR100-BQ100</f>
        <v>9</v>
      </c>
      <c r="BS103" s="249">
        <f>BS100-BR100</f>
        <v>2</v>
      </c>
      <c r="BT103" s="249">
        <f>BT100-BS100</f>
        <v>7</v>
      </c>
      <c r="BU103" s="249">
        <f>BU100-BP100</f>
        <v>42</v>
      </c>
      <c r="BV103" s="113">
        <f>BV100-BT100</f>
        <v>10</v>
      </c>
      <c r="BW103" s="113">
        <f>BW100-BV100</f>
        <v>24</v>
      </c>
      <c r="BX103" s="113">
        <f>BX100-BW100</f>
        <v>24</v>
      </c>
      <c r="BY103" s="113">
        <f>BY100-BX100</f>
        <v>-107</v>
      </c>
      <c r="BZ103" s="249">
        <f>BZ100-BU100</f>
        <v>-49</v>
      </c>
      <c r="CA103" s="113">
        <f>CA100-BY100</f>
        <v>-5</v>
      </c>
      <c r="CB103" s="113">
        <f>CB100-CA100</f>
        <v>1</v>
      </c>
      <c r="CC103" s="113">
        <f>CC100-CB100</f>
        <v>4</v>
      </c>
      <c r="CD103" s="113">
        <f>CD100-CC100</f>
        <v>-15</v>
      </c>
      <c r="CE103" s="249">
        <f>CE100-BZ100</f>
        <v>-15</v>
      </c>
      <c r="CF103" s="113">
        <f>CF100-CD100</f>
        <v>-18</v>
      </c>
      <c r="CG103" s="113">
        <f>CG100-CF100</f>
        <v>-11</v>
      </c>
      <c r="CH103" s="113">
        <f>CH100-CG100</f>
        <v>1</v>
      </c>
      <c r="CI103" s="113">
        <f>CI100-CH100</f>
        <v>-12</v>
      </c>
      <c r="CJ103" s="249">
        <f>CJ100-CE100</f>
        <v>-40</v>
      </c>
      <c r="CK103" s="113">
        <f>CK100-CI100</f>
        <v>-10</v>
      </c>
      <c r="CL103" s="113">
        <f>CL100-CK100</f>
        <v>0</v>
      </c>
      <c r="CM103" s="113">
        <f>CM100-CL100</f>
        <v>0</v>
      </c>
      <c r="CN103" s="113">
        <f>CN100-CM100</f>
        <v>-4</v>
      </c>
      <c r="CO103" s="249">
        <f>CO100-CJ100</f>
        <v>-14</v>
      </c>
    </row>
    <row r="104" spans="2:93" ht="13.9" customHeight="1">
      <c r="B104" s="12" t="s">
        <v>449</v>
      </c>
      <c r="C104" s="4"/>
      <c r="D104" s="22"/>
      <c r="E104" s="22"/>
      <c r="F104" s="22"/>
      <c r="G104" s="22"/>
      <c r="H104" s="4"/>
      <c r="I104" s="22"/>
      <c r="J104" s="22"/>
      <c r="K104" s="22"/>
      <c r="L104" s="21"/>
      <c r="M104" s="4"/>
      <c r="N104" s="22"/>
      <c r="O104" s="22"/>
      <c r="P104" s="22"/>
      <c r="Q104" s="21"/>
      <c r="R104" s="4"/>
      <c r="S104" s="22"/>
      <c r="T104" s="22"/>
      <c r="U104" s="22"/>
      <c r="V104" s="21"/>
      <c r="W104" s="236" t="s">
        <v>24</v>
      </c>
      <c r="X104" s="211"/>
      <c r="Y104" s="211"/>
      <c r="Z104" s="211"/>
      <c r="AA104" s="212"/>
      <c r="AB104" s="236" t="s">
        <v>24</v>
      </c>
      <c r="AC104" s="211"/>
      <c r="AD104" s="211"/>
      <c r="AE104" s="211"/>
      <c r="AF104" s="212"/>
      <c r="AG104" s="236" t="s">
        <v>24</v>
      </c>
      <c r="AH104" s="211"/>
      <c r="AI104" s="211"/>
      <c r="AJ104" s="211"/>
      <c r="AK104" s="212"/>
      <c r="AL104" s="236" t="s">
        <v>24</v>
      </c>
      <c r="AM104" s="211"/>
      <c r="AN104" s="211"/>
      <c r="AO104" s="211"/>
      <c r="AP104" s="255"/>
      <c r="AQ104" s="236" t="s">
        <v>24</v>
      </c>
      <c r="AR104" s="255"/>
      <c r="AS104" s="255"/>
      <c r="AT104" s="255"/>
      <c r="AU104" s="255"/>
      <c r="AV104" s="236" t="s">
        <v>24</v>
      </c>
      <c r="AW104" s="255"/>
      <c r="AX104" s="255"/>
      <c r="AY104" s="255"/>
      <c r="AZ104" s="255"/>
      <c r="BA104" s="236" t="s">
        <v>24</v>
      </c>
      <c r="BB104" s="255"/>
      <c r="BC104" s="255"/>
      <c r="BD104" s="255"/>
      <c r="BE104" s="255"/>
      <c r="BF104" s="236" t="s">
        <v>24</v>
      </c>
      <c r="BG104" s="255"/>
      <c r="BH104" s="255"/>
      <c r="BI104" s="255"/>
      <c r="BJ104" s="255"/>
      <c r="BK104" s="236" t="s">
        <v>24</v>
      </c>
      <c r="BL104" s="255"/>
      <c r="BM104" s="255"/>
      <c r="BN104" s="255"/>
      <c r="BO104" s="255"/>
      <c r="BP104" s="236" t="s">
        <v>24</v>
      </c>
      <c r="BQ104" s="266" t="s">
        <v>24</v>
      </c>
      <c r="BR104" s="266" t="s">
        <v>24</v>
      </c>
      <c r="BS104" s="266" t="s">
        <v>24</v>
      </c>
      <c r="BT104" s="266" t="s">
        <v>24</v>
      </c>
      <c r="BU104" s="214">
        <v>545</v>
      </c>
      <c r="BV104" s="61">
        <v>605</v>
      </c>
      <c r="BW104" s="61">
        <v>677</v>
      </c>
      <c r="BX104" s="61">
        <v>738</v>
      </c>
      <c r="BY104" s="61">
        <v>784</v>
      </c>
      <c r="BZ104" s="214">
        <v>784</v>
      </c>
      <c r="CA104" s="61">
        <v>829</v>
      </c>
      <c r="CB104" s="61">
        <v>893</v>
      </c>
      <c r="CC104" s="61">
        <v>957</v>
      </c>
      <c r="CD104" s="61">
        <v>1029</v>
      </c>
      <c r="CE104" s="214">
        <v>1029</v>
      </c>
      <c r="CF104" s="61">
        <v>1086</v>
      </c>
      <c r="CG104" s="61">
        <v>1144</v>
      </c>
      <c r="CH104" s="61">
        <v>1195</v>
      </c>
      <c r="CI104" s="61">
        <f>CJ104</f>
        <v>1237</v>
      </c>
      <c r="CJ104" s="214">
        <v>1237</v>
      </c>
      <c r="CK104" s="61">
        <v>1276</v>
      </c>
      <c r="CL104" s="61">
        <v>1315</v>
      </c>
      <c r="CM104" s="61">
        <v>1348</v>
      </c>
      <c r="CN104" s="61">
        <f>CO104</f>
        <v>1375</v>
      </c>
      <c r="CO104" s="214">
        <v>1375</v>
      </c>
    </row>
    <row r="105" spans="2:93" ht="13.9" customHeight="1">
      <c r="B105" s="20" t="s">
        <v>5</v>
      </c>
      <c r="C105" s="4"/>
      <c r="D105" s="22"/>
      <c r="E105" s="22"/>
      <c r="F105" s="22"/>
      <c r="G105" s="22"/>
      <c r="H105" s="4"/>
      <c r="I105" s="22"/>
      <c r="J105" s="22"/>
      <c r="K105" s="22"/>
      <c r="L105" s="21"/>
      <c r="M105" s="4"/>
      <c r="N105" s="22"/>
      <c r="O105" s="22"/>
      <c r="P105" s="22"/>
      <c r="Q105" s="21"/>
      <c r="R105" s="4"/>
      <c r="S105" s="22"/>
      <c r="T105" s="22"/>
      <c r="U105" s="22"/>
      <c r="V105" s="21"/>
      <c r="W105" s="211"/>
      <c r="X105" s="211"/>
      <c r="Y105" s="211"/>
      <c r="Z105" s="211"/>
      <c r="AA105" s="212"/>
      <c r="AB105" s="211"/>
      <c r="AC105" s="211"/>
      <c r="AD105" s="211"/>
      <c r="AE105" s="211"/>
      <c r="AF105" s="212"/>
      <c r="AG105" s="211"/>
      <c r="AH105" s="211"/>
      <c r="AI105" s="211"/>
      <c r="AJ105" s="211"/>
      <c r="AK105" s="212"/>
      <c r="AL105" s="211"/>
      <c r="AM105" s="211"/>
      <c r="AN105" s="211"/>
      <c r="AO105" s="211"/>
      <c r="AP105" s="255"/>
      <c r="AQ105" s="255"/>
      <c r="AR105" s="255"/>
      <c r="AS105" s="255"/>
      <c r="AT105" s="255"/>
      <c r="AU105" s="255"/>
      <c r="AV105" s="255"/>
      <c r="AW105" s="255"/>
      <c r="AX105" s="255"/>
      <c r="AY105" s="255"/>
      <c r="AZ105" s="255"/>
      <c r="BA105" s="255"/>
      <c r="BB105" s="255"/>
      <c r="BC105" s="255"/>
      <c r="BD105" s="255"/>
      <c r="BE105" s="255"/>
      <c r="BF105" s="255"/>
      <c r="BG105" s="255"/>
      <c r="BH105" s="255"/>
      <c r="BI105" s="255"/>
      <c r="BJ105" s="255"/>
      <c r="BK105" s="255"/>
      <c r="BL105" s="255"/>
      <c r="BM105" s="255"/>
      <c r="BN105" s="255"/>
      <c r="BO105" s="255"/>
      <c r="BP105" s="255"/>
      <c r="BQ105" s="255"/>
      <c r="BR105" s="255"/>
      <c r="BS105" s="255"/>
      <c r="BT105" s="255"/>
      <c r="BU105" s="255"/>
      <c r="BV105" s="79"/>
      <c r="BW105" s="21">
        <f>BW104/BV104-1</f>
        <v>0.11900826446280988</v>
      </c>
      <c r="BX105" s="21">
        <f>BX104/BW104-1</f>
        <v>9.0103397341211311E-2</v>
      </c>
      <c r="BY105" s="21">
        <f>BY104/BX104-1</f>
        <v>6.2330623306233068E-2</v>
      </c>
      <c r="BZ105" s="255"/>
      <c r="CA105" s="21">
        <f>CA104/BY104-1</f>
        <v>5.7397959183673519E-2</v>
      </c>
      <c r="CB105" s="21">
        <f>CB104/CA104-1</f>
        <v>7.7201447527141198E-2</v>
      </c>
      <c r="CC105" s="21">
        <f>CC104/CB104-1</f>
        <v>7.1668533034714432E-2</v>
      </c>
      <c r="CD105" s="21">
        <f>CD104/CC104-1</f>
        <v>7.5235109717868287E-2</v>
      </c>
      <c r="CE105" s="255"/>
      <c r="CF105" s="21">
        <f>CF104/CD104-1</f>
        <v>5.5393586005830997E-2</v>
      </c>
      <c r="CG105" s="21">
        <f>CG104/CF104-1</f>
        <v>5.3406998158379348E-2</v>
      </c>
      <c r="CH105" s="21">
        <f>CH104/CG104-1</f>
        <v>4.4580419580419584E-2</v>
      </c>
      <c r="CI105" s="21">
        <f>CI104/CH104-1</f>
        <v>3.5146443514644243E-2</v>
      </c>
      <c r="CJ105" s="255"/>
      <c r="CK105" s="21">
        <f>CK104/CI104-1</f>
        <v>3.1527890056588515E-2</v>
      </c>
      <c r="CL105" s="21">
        <f>CL104/CK104-1</f>
        <v>3.0564263322883978E-2</v>
      </c>
      <c r="CM105" s="21">
        <f>CM104/CL104-1</f>
        <v>2.5095057034220547E-2</v>
      </c>
      <c r="CN105" s="21">
        <f>CN104/CM104-1</f>
        <v>2.002967359050456E-2</v>
      </c>
      <c r="CO105" s="255"/>
    </row>
    <row r="106" spans="2:93" ht="13.9" customHeight="1">
      <c r="B106" s="20" t="s">
        <v>6</v>
      </c>
      <c r="C106" s="4"/>
      <c r="D106" s="22"/>
      <c r="E106" s="22"/>
      <c r="F106" s="22"/>
      <c r="G106" s="22"/>
      <c r="H106" s="4"/>
      <c r="I106" s="22"/>
      <c r="J106" s="22"/>
      <c r="K106" s="22"/>
      <c r="L106" s="21"/>
      <c r="M106" s="4"/>
      <c r="N106" s="22"/>
      <c r="O106" s="22"/>
      <c r="P106" s="22"/>
      <c r="Q106" s="21"/>
      <c r="R106" s="4"/>
      <c r="S106" s="22"/>
      <c r="T106" s="22"/>
      <c r="U106" s="22"/>
      <c r="V106" s="21"/>
      <c r="W106" s="211"/>
      <c r="X106" s="211"/>
      <c r="Y106" s="211"/>
      <c r="Z106" s="211"/>
      <c r="AA106" s="212"/>
      <c r="AB106" s="211"/>
      <c r="AC106" s="211"/>
      <c r="AD106" s="211"/>
      <c r="AE106" s="211"/>
      <c r="AF106" s="212"/>
      <c r="AG106" s="211"/>
      <c r="AH106" s="211"/>
      <c r="AI106" s="211"/>
      <c r="AJ106" s="211"/>
      <c r="AK106" s="212"/>
      <c r="AL106" s="211"/>
      <c r="AM106" s="211"/>
      <c r="AN106" s="211"/>
      <c r="AO106" s="211"/>
      <c r="AP106" s="255"/>
      <c r="AQ106" s="255"/>
      <c r="AR106" s="255"/>
      <c r="AS106" s="255"/>
      <c r="AT106" s="255"/>
      <c r="AU106" s="255"/>
      <c r="AV106" s="255"/>
      <c r="AW106" s="255"/>
      <c r="AX106" s="255"/>
      <c r="AY106" s="255"/>
      <c r="AZ106" s="255"/>
      <c r="BA106" s="255"/>
      <c r="BB106" s="255"/>
      <c r="BC106" s="255"/>
      <c r="BD106" s="255"/>
      <c r="BE106" s="255"/>
      <c r="BF106" s="255"/>
      <c r="BG106" s="255"/>
      <c r="BH106" s="255"/>
      <c r="BI106" s="255"/>
      <c r="BJ106" s="255"/>
      <c r="BK106" s="255"/>
      <c r="BL106" s="255"/>
      <c r="BM106" s="255"/>
      <c r="BN106" s="255"/>
      <c r="BO106" s="255"/>
      <c r="BP106" s="255"/>
      <c r="BQ106" s="255"/>
      <c r="BR106" s="255"/>
      <c r="BS106" s="255"/>
      <c r="BT106" s="255"/>
      <c r="BU106" s="255"/>
      <c r="BV106" s="79"/>
      <c r="BW106" s="21"/>
      <c r="BX106" s="21"/>
      <c r="BY106" s="21"/>
      <c r="BZ106" s="255"/>
      <c r="CA106" s="21">
        <f>CA104/BV104-1</f>
        <v>0.37024793388429744</v>
      </c>
      <c r="CB106" s="22">
        <f>CB104/BW104-1</f>
        <v>0.31905465288035439</v>
      </c>
      <c r="CC106" s="22">
        <f>CC104/BX104-1</f>
        <v>0.29674796747967469</v>
      </c>
      <c r="CD106" s="21"/>
      <c r="CE106" s="211">
        <f t="shared" ref="CE106:CO106" si="135">CE104/BZ104-1</f>
        <v>0.3125</v>
      </c>
      <c r="CF106" s="21">
        <f t="shared" si="135"/>
        <v>0.31001206272617621</v>
      </c>
      <c r="CG106" s="22">
        <f t="shared" si="135"/>
        <v>0.28107502799552075</v>
      </c>
      <c r="CH106" s="22">
        <f t="shared" si="135"/>
        <v>0.24869383490073149</v>
      </c>
      <c r="CI106" s="21">
        <f t="shared" si="135"/>
        <v>0.20213799805636534</v>
      </c>
      <c r="CJ106" s="211">
        <f t="shared" si="135"/>
        <v>0.20213799805636534</v>
      </c>
      <c r="CK106" s="22">
        <f t="shared" si="135"/>
        <v>0.17495395948434633</v>
      </c>
      <c r="CL106" s="22">
        <f t="shared" si="135"/>
        <v>0.14947552447552437</v>
      </c>
      <c r="CM106" s="22">
        <f t="shared" si="135"/>
        <v>0.1280334728033472</v>
      </c>
      <c r="CN106" s="21">
        <f t="shared" si="135"/>
        <v>0.11156022635408247</v>
      </c>
      <c r="CO106" s="211">
        <f t="shared" si="135"/>
        <v>0.11156022635408247</v>
      </c>
    </row>
    <row r="107" spans="2:93" ht="13.9" customHeight="1">
      <c r="B107" s="20" t="s">
        <v>121</v>
      </c>
      <c r="C107" s="4"/>
      <c r="D107" s="22"/>
      <c r="E107" s="22"/>
      <c r="F107" s="22"/>
      <c r="G107" s="22"/>
      <c r="H107" s="4"/>
      <c r="I107" s="22"/>
      <c r="J107" s="22"/>
      <c r="K107" s="22"/>
      <c r="L107" s="21"/>
      <c r="M107" s="4"/>
      <c r="N107" s="22"/>
      <c r="O107" s="22"/>
      <c r="P107" s="22"/>
      <c r="Q107" s="21"/>
      <c r="R107" s="4"/>
      <c r="S107" s="22"/>
      <c r="T107" s="22"/>
      <c r="U107" s="22"/>
      <c r="V107" s="21"/>
      <c r="W107" s="211"/>
      <c r="X107" s="211"/>
      <c r="Y107" s="211"/>
      <c r="Z107" s="211"/>
      <c r="AA107" s="212"/>
      <c r="AB107" s="211"/>
      <c r="AC107" s="211"/>
      <c r="AD107" s="211"/>
      <c r="AE107" s="211"/>
      <c r="AF107" s="212"/>
      <c r="AG107" s="211"/>
      <c r="AH107" s="211"/>
      <c r="AI107" s="211"/>
      <c r="AJ107" s="211"/>
      <c r="AK107" s="212"/>
      <c r="AL107" s="211"/>
      <c r="AM107" s="211"/>
      <c r="AN107" s="211"/>
      <c r="AO107" s="211"/>
      <c r="AP107" s="255"/>
      <c r="AQ107" s="255"/>
      <c r="AR107" s="255"/>
      <c r="AS107" s="255"/>
      <c r="AT107" s="255"/>
      <c r="AU107" s="255"/>
      <c r="AV107" s="255"/>
      <c r="AW107" s="255"/>
      <c r="AX107" s="255"/>
      <c r="AY107" s="255"/>
      <c r="AZ107" s="255"/>
      <c r="BA107" s="255"/>
      <c r="BB107" s="255"/>
      <c r="BC107" s="255"/>
      <c r="BD107" s="255"/>
      <c r="BE107" s="255"/>
      <c r="BF107" s="255"/>
      <c r="BG107" s="255"/>
      <c r="BH107" s="255"/>
      <c r="BI107" s="255"/>
      <c r="BJ107" s="255"/>
      <c r="BK107" s="255"/>
      <c r="BL107" s="255"/>
      <c r="BM107" s="255"/>
      <c r="BN107" s="255"/>
      <c r="BO107" s="255"/>
      <c r="BP107" s="255"/>
      <c r="BQ107" s="255"/>
      <c r="BR107" s="255"/>
      <c r="BS107" s="255"/>
      <c r="BT107" s="255"/>
      <c r="BU107" s="255"/>
      <c r="BV107" s="113"/>
      <c r="BW107" s="113">
        <f>BW104-BV104</f>
        <v>72</v>
      </c>
      <c r="BX107" s="113">
        <f>BX104-BW104</f>
        <v>61</v>
      </c>
      <c r="BY107" s="113">
        <f>BY104-BX104</f>
        <v>46</v>
      </c>
      <c r="BZ107" s="249"/>
      <c r="CA107" s="113">
        <f>CA104-BY104</f>
        <v>45</v>
      </c>
      <c r="CB107" s="113">
        <f>CB104-CA104</f>
        <v>64</v>
      </c>
      <c r="CC107" s="113">
        <f>CC104-CB104</f>
        <v>64</v>
      </c>
      <c r="CD107" s="113">
        <f>CD104-CC104</f>
        <v>72</v>
      </c>
      <c r="CE107" s="249">
        <f>CE104-BZ104</f>
        <v>245</v>
      </c>
      <c r="CF107" s="113">
        <f>CF104-CD104</f>
        <v>57</v>
      </c>
      <c r="CG107" s="113">
        <f>CG104-CF104</f>
        <v>58</v>
      </c>
      <c r="CH107" s="113">
        <f>CH104-CG104</f>
        <v>51</v>
      </c>
      <c r="CI107" s="113">
        <f>CI104-CH104</f>
        <v>42</v>
      </c>
      <c r="CJ107" s="249">
        <f>CJ104-CE104</f>
        <v>208</v>
      </c>
      <c r="CK107" s="113">
        <f>CK104-CI104</f>
        <v>39</v>
      </c>
      <c r="CL107" s="113">
        <f>CL104-CK104</f>
        <v>39</v>
      </c>
      <c r="CM107" s="113">
        <f>CM104-CL104</f>
        <v>33</v>
      </c>
      <c r="CN107" s="113">
        <f>CN104-CM104</f>
        <v>27</v>
      </c>
      <c r="CO107" s="249">
        <f>CO104-CJ104</f>
        <v>138</v>
      </c>
    </row>
    <row r="108" spans="2:93" ht="13.9" customHeight="1">
      <c r="B108" s="20" t="s">
        <v>454</v>
      </c>
      <c r="C108" s="4"/>
      <c r="D108" s="22"/>
      <c r="E108" s="22"/>
      <c r="F108" s="22"/>
      <c r="G108" s="22"/>
      <c r="H108" s="4"/>
      <c r="I108" s="22"/>
      <c r="J108" s="22"/>
      <c r="K108" s="22"/>
      <c r="L108" s="21"/>
      <c r="M108" s="4"/>
      <c r="N108" s="22"/>
      <c r="O108" s="22"/>
      <c r="P108" s="22"/>
      <c r="Q108" s="21"/>
      <c r="R108" s="4"/>
      <c r="S108" s="22"/>
      <c r="T108" s="22"/>
      <c r="U108" s="22"/>
      <c r="V108" s="21"/>
      <c r="W108" s="211"/>
      <c r="X108" s="211"/>
      <c r="Y108" s="211"/>
      <c r="Z108" s="211"/>
      <c r="AA108" s="212"/>
      <c r="AB108" s="211"/>
      <c r="AC108" s="211"/>
      <c r="AD108" s="211"/>
      <c r="AE108" s="211"/>
      <c r="AF108" s="212"/>
      <c r="AG108" s="211"/>
      <c r="AH108" s="211"/>
      <c r="AI108" s="211"/>
      <c r="AJ108" s="211"/>
      <c r="AK108" s="212"/>
      <c r="AL108" s="211"/>
      <c r="AM108" s="211"/>
      <c r="AN108" s="211"/>
      <c r="AO108" s="211"/>
      <c r="AP108" s="255"/>
      <c r="AQ108" s="255"/>
      <c r="AR108" s="255"/>
      <c r="AS108" s="255"/>
      <c r="AT108" s="255"/>
      <c r="AU108" s="255"/>
      <c r="AV108" s="255"/>
      <c r="AW108" s="255"/>
      <c r="AX108" s="255"/>
      <c r="AY108" s="255"/>
      <c r="AZ108" s="255"/>
      <c r="BA108" s="255"/>
      <c r="BB108" s="255"/>
      <c r="BC108" s="255"/>
      <c r="BD108" s="255"/>
      <c r="BE108" s="255"/>
      <c r="BF108" s="255"/>
      <c r="BG108" s="255"/>
      <c r="BH108" s="255"/>
      <c r="BI108" s="255"/>
      <c r="BJ108" s="255"/>
      <c r="BK108" s="255"/>
      <c r="BL108" s="255"/>
      <c r="BM108" s="255"/>
      <c r="BN108" s="255"/>
      <c r="BO108" s="255"/>
      <c r="BP108" s="255"/>
      <c r="BQ108" s="255"/>
      <c r="BR108" s="255"/>
      <c r="BS108" s="255"/>
      <c r="BT108" s="255"/>
      <c r="BU108" s="255"/>
      <c r="BV108" s="22">
        <f>BV104/BV91</f>
        <v>0.23422377080913667</v>
      </c>
      <c r="BW108" s="22">
        <f>BW104/BW91</f>
        <v>0.25682852807283763</v>
      </c>
      <c r="BX108" s="22">
        <f>BX104/BX91</f>
        <v>0.2758878504672897</v>
      </c>
      <c r="BY108" s="22">
        <f>BY104/BY91</f>
        <v>0.30387596899224806</v>
      </c>
      <c r="BZ108" s="211">
        <f t="shared" ref="BZ108:CO108" si="136">BZ104/BZ96</f>
        <v>0.36482084690553745</v>
      </c>
      <c r="CA108" s="22">
        <f t="shared" si="136"/>
        <v>0.38397406206577117</v>
      </c>
      <c r="CB108" s="22">
        <f t="shared" si="136"/>
        <v>0.41228070175438597</v>
      </c>
      <c r="CC108" s="22">
        <f t="shared" si="136"/>
        <v>0.4375857338820302</v>
      </c>
      <c r="CD108" s="22">
        <f t="shared" si="136"/>
        <v>0.46730245231607631</v>
      </c>
      <c r="CE108" s="211">
        <f t="shared" si="136"/>
        <v>0.46730245231607631</v>
      </c>
      <c r="CF108" s="22">
        <f t="shared" si="136"/>
        <v>0.49073655671034794</v>
      </c>
      <c r="CG108" s="22">
        <f t="shared" si="136"/>
        <v>0.51346499102333931</v>
      </c>
      <c r="CH108" s="22">
        <f t="shared" si="136"/>
        <v>0.53087516659262546</v>
      </c>
      <c r="CI108" s="22">
        <f t="shared" si="136"/>
        <v>0.54807266282676115</v>
      </c>
      <c r="CJ108" s="211">
        <f t="shared" si="136"/>
        <v>0.54807266282676115</v>
      </c>
      <c r="CK108" s="22">
        <f t="shared" si="136"/>
        <v>0.56335540838852094</v>
      </c>
      <c r="CL108" s="22">
        <f t="shared" si="136"/>
        <v>0.57700745941202281</v>
      </c>
      <c r="CM108" s="22">
        <f t="shared" si="136"/>
        <v>0.58736383442265794</v>
      </c>
      <c r="CN108" s="22">
        <f t="shared" si="136"/>
        <v>0.59395248380129595</v>
      </c>
      <c r="CO108" s="211">
        <f t="shared" si="136"/>
        <v>0.59395248380129595</v>
      </c>
    </row>
    <row r="109" spans="2:93" ht="13.9" customHeight="1">
      <c r="B109" s="12" t="s">
        <v>482</v>
      </c>
      <c r="C109" s="4"/>
      <c r="D109" s="22"/>
      <c r="E109" s="22"/>
      <c r="F109" s="22"/>
      <c r="G109" s="22"/>
      <c r="H109" s="4"/>
      <c r="I109" s="22"/>
      <c r="J109" s="22"/>
      <c r="K109" s="22"/>
      <c r="L109" s="21"/>
      <c r="M109" s="4"/>
      <c r="N109" s="22"/>
      <c r="O109" s="22"/>
      <c r="P109" s="22"/>
      <c r="Q109" s="21"/>
      <c r="R109" s="4"/>
      <c r="S109" s="22"/>
      <c r="T109" s="22"/>
      <c r="U109" s="22"/>
      <c r="V109" s="21"/>
      <c r="W109" s="211"/>
      <c r="X109" s="211"/>
      <c r="Y109" s="211"/>
      <c r="Z109" s="211"/>
      <c r="AA109" s="212"/>
      <c r="AB109" s="211"/>
      <c r="AC109" s="211"/>
      <c r="AD109" s="211"/>
      <c r="AE109" s="211"/>
      <c r="AF109" s="212"/>
      <c r="AG109" s="211"/>
      <c r="AH109" s="211"/>
      <c r="AI109" s="211"/>
      <c r="AJ109" s="211"/>
      <c r="AK109" s="212"/>
      <c r="AL109" s="211"/>
      <c r="AM109" s="211"/>
      <c r="AN109" s="211"/>
      <c r="AO109" s="211"/>
      <c r="AP109" s="255"/>
      <c r="AQ109" s="255"/>
      <c r="AR109" s="255"/>
      <c r="AS109" s="255"/>
      <c r="AT109" s="255"/>
      <c r="AU109" s="255"/>
      <c r="AV109" s="255"/>
      <c r="AW109" s="255"/>
      <c r="AX109" s="255"/>
      <c r="AY109" s="255"/>
      <c r="AZ109" s="255"/>
      <c r="BA109" s="255"/>
      <c r="BB109" s="255"/>
      <c r="BC109" s="255"/>
      <c r="BD109" s="255"/>
      <c r="BE109" s="255"/>
      <c r="BF109" s="255"/>
      <c r="BG109" s="255"/>
      <c r="BH109" s="255"/>
      <c r="BI109" s="255"/>
      <c r="BJ109" s="255"/>
      <c r="BK109" s="255"/>
      <c r="BL109" s="255"/>
      <c r="BM109" s="255"/>
      <c r="BN109" s="255"/>
      <c r="BO109" s="255"/>
      <c r="BP109" s="255"/>
      <c r="BQ109" s="255"/>
      <c r="BR109" s="255"/>
      <c r="BS109" s="255"/>
      <c r="BT109" s="255"/>
      <c r="BU109" s="255"/>
      <c r="BV109" s="113"/>
      <c r="BW109" s="113"/>
      <c r="BX109" s="113"/>
      <c r="BY109" s="113"/>
      <c r="BZ109" s="249"/>
      <c r="CA109" s="113"/>
      <c r="CB109" s="113"/>
      <c r="CC109" s="113"/>
      <c r="CD109" s="113"/>
      <c r="CE109" s="249"/>
      <c r="CF109" s="113"/>
      <c r="CG109" s="113"/>
      <c r="CH109" s="61">
        <v>2</v>
      </c>
      <c r="CI109" s="61">
        <v>3</v>
      </c>
      <c r="CJ109" s="214">
        <v>3</v>
      </c>
      <c r="CK109" s="61">
        <v>35</v>
      </c>
      <c r="CL109" s="61">
        <v>68</v>
      </c>
      <c r="CM109" s="61">
        <v>102</v>
      </c>
      <c r="CN109" s="61">
        <v>140</v>
      </c>
      <c r="CO109" s="214">
        <v>140</v>
      </c>
    </row>
    <row r="110" spans="2:93" ht="13.9" customHeight="1">
      <c r="B110" s="20" t="s">
        <v>5</v>
      </c>
      <c r="C110" s="4"/>
      <c r="D110" s="22"/>
      <c r="E110" s="22"/>
      <c r="F110" s="22"/>
      <c r="G110" s="22"/>
      <c r="H110" s="4"/>
      <c r="I110" s="22"/>
      <c r="J110" s="22"/>
      <c r="K110" s="22"/>
      <c r="L110" s="21"/>
      <c r="M110" s="4"/>
      <c r="N110" s="22"/>
      <c r="O110" s="22"/>
      <c r="P110" s="22"/>
      <c r="Q110" s="21"/>
      <c r="R110" s="4"/>
      <c r="S110" s="22"/>
      <c r="T110" s="22"/>
      <c r="U110" s="22"/>
      <c r="V110" s="21"/>
      <c r="W110" s="211"/>
      <c r="X110" s="211"/>
      <c r="Y110" s="211"/>
      <c r="Z110" s="211"/>
      <c r="AA110" s="212"/>
      <c r="AB110" s="211"/>
      <c r="AC110" s="211"/>
      <c r="AD110" s="211"/>
      <c r="AE110" s="211"/>
      <c r="AF110" s="212"/>
      <c r="AG110" s="211"/>
      <c r="AH110" s="211"/>
      <c r="AI110" s="211"/>
      <c r="AJ110" s="211"/>
      <c r="AK110" s="212"/>
      <c r="AL110" s="211"/>
      <c r="AM110" s="211"/>
      <c r="AN110" s="211"/>
      <c r="AO110" s="211"/>
      <c r="AP110" s="255"/>
      <c r="AQ110" s="255"/>
      <c r="AR110" s="255"/>
      <c r="AS110" s="255"/>
      <c r="AT110" s="255"/>
      <c r="AU110" s="255"/>
      <c r="AV110" s="255"/>
      <c r="AW110" s="255"/>
      <c r="AX110" s="255"/>
      <c r="AY110" s="255"/>
      <c r="AZ110" s="255"/>
      <c r="BA110" s="255"/>
      <c r="BB110" s="255"/>
      <c r="BC110" s="255"/>
      <c r="BD110" s="255"/>
      <c r="BE110" s="255"/>
      <c r="BF110" s="255"/>
      <c r="BG110" s="255"/>
      <c r="BH110" s="255"/>
      <c r="BI110" s="255"/>
      <c r="BJ110" s="255"/>
      <c r="BK110" s="255"/>
      <c r="BL110" s="255"/>
      <c r="BM110" s="255"/>
      <c r="BN110" s="255"/>
      <c r="BO110" s="255"/>
      <c r="BP110" s="255"/>
      <c r="BQ110" s="255"/>
      <c r="BR110" s="255"/>
      <c r="BS110" s="255"/>
      <c r="BT110" s="255"/>
      <c r="BU110" s="255"/>
      <c r="BV110" s="113"/>
      <c r="BW110" s="113"/>
      <c r="BX110" s="113"/>
      <c r="BY110" s="113"/>
      <c r="BZ110" s="249"/>
      <c r="CA110" s="113"/>
      <c r="CB110" s="113"/>
      <c r="CC110" s="113"/>
      <c r="CD110" s="113"/>
      <c r="CE110" s="249"/>
      <c r="CF110" s="113"/>
      <c r="CG110" s="113"/>
      <c r="CH110" s="113"/>
      <c r="CI110" s="21">
        <f>CI109/CH109-1</f>
        <v>0.5</v>
      </c>
      <c r="CJ110" s="255"/>
      <c r="CK110" s="21">
        <f>CK109/CI109-1</f>
        <v>10.666666666666666</v>
      </c>
      <c r="CL110" s="21">
        <f>CL109/CK109-1</f>
        <v>0.94285714285714284</v>
      </c>
      <c r="CM110" s="21">
        <f>CM109/CL109-1</f>
        <v>0.5</v>
      </c>
      <c r="CN110" s="21">
        <f>CN109/CM109-1</f>
        <v>0.37254901960784315</v>
      </c>
      <c r="CO110" s="255"/>
    </row>
    <row r="111" spans="2:93" ht="13.9" customHeight="1">
      <c r="B111" s="20" t="s">
        <v>6</v>
      </c>
      <c r="C111" s="4"/>
      <c r="D111" s="22"/>
      <c r="E111" s="22"/>
      <c r="F111" s="22"/>
      <c r="G111" s="22"/>
      <c r="H111" s="4"/>
      <c r="I111" s="22"/>
      <c r="J111" s="22"/>
      <c r="K111" s="22"/>
      <c r="L111" s="21"/>
      <c r="M111" s="4"/>
      <c r="N111" s="22"/>
      <c r="O111" s="22"/>
      <c r="P111" s="22"/>
      <c r="Q111" s="21"/>
      <c r="R111" s="4"/>
      <c r="S111" s="22"/>
      <c r="T111" s="22"/>
      <c r="U111" s="22"/>
      <c r="V111" s="21"/>
      <c r="W111" s="211"/>
      <c r="X111" s="211"/>
      <c r="Y111" s="211"/>
      <c r="Z111" s="211"/>
      <c r="AA111" s="212"/>
      <c r="AB111" s="211"/>
      <c r="AC111" s="211"/>
      <c r="AD111" s="211"/>
      <c r="AE111" s="211"/>
      <c r="AF111" s="212"/>
      <c r="AG111" s="211"/>
      <c r="AH111" s="211"/>
      <c r="AI111" s="211"/>
      <c r="AJ111" s="211"/>
      <c r="AK111" s="212"/>
      <c r="AL111" s="211"/>
      <c r="AM111" s="211"/>
      <c r="AN111" s="211"/>
      <c r="AO111" s="211"/>
      <c r="AP111" s="255"/>
      <c r="AQ111" s="255"/>
      <c r="AR111" s="255"/>
      <c r="AS111" s="255"/>
      <c r="AT111" s="255"/>
      <c r="AU111" s="255"/>
      <c r="AV111" s="255"/>
      <c r="AW111" s="255"/>
      <c r="AX111" s="255"/>
      <c r="AY111" s="255"/>
      <c r="AZ111" s="255"/>
      <c r="BA111" s="255"/>
      <c r="BB111" s="255"/>
      <c r="BC111" s="255"/>
      <c r="BD111" s="255"/>
      <c r="BE111" s="255"/>
      <c r="BF111" s="255"/>
      <c r="BG111" s="255"/>
      <c r="BH111" s="255"/>
      <c r="BI111" s="255"/>
      <c r="BJ111" s="255"/>
      <c r="BK111" s="255"/>
      <c r="BL111" s="255"/>
      <c r="BM111" s="255"/>
      <c r="BN111" s="255"/>
      <c r="BO111" s="255"/>
      <c r="BP111" s="255"/>
      <c r="BQ111" s="255"/>
      <c r="BR111" s="255"/>
      <c r="BS111" s="255"/>
      <c r="BT111" s="255"/>
      <c r="BU111" s="255"/>
      <c r="BV111" s="113"/>
      <c r="BW111" s="113"/>
      <c r="BX111" s="113"/>
      <c r="BY111" s="113"/>
      <c r="BZ111" s="249"/>
      <c r="CA111" s="113"/>
      <c r="CB111" s="113"/>
      <c r="CC111" s="113"/>
      <c r="CD111" s="113"/>
      <c r="CE111" s="249"/>
      <c r="CF111" s="113"/>
      <c r="CG111" s="113"/>
      <c r="CH111" s="113"/>
      <c r="CI111" s="21"/>
      <c r="CJ111" s="211"/>
      <c r="CK111" s="22"/>
      <c r="CL111" s="22"/>
      <c r="CM111" s="22">
        <f>CM109/CH109-1</f>
        <v>50</v>
      </c>
      <c r="CN111" s="21">
        <f>CN109/CI109-1</f>
        <v>45.666666666666664</v>
      </c>
      <c r="CO111" s="211">
        <f>CO109/CJ109-1</f>
        <v>45.666666666666664</v>
      </c>
    </row>
    <row r="112" spans="2:93" ht="3.75" customHeight="1">
      <c r="B112" s="201"/>
      <c r="C112" s="201"/>
      <c r="D112" s="283"/>
      <c r="E112" s="283"/>
      <c r="F112" s="283"/>
      <c r="G112" s="283"/>
      <c r="H112" s="283"/>
      <c r="I112" s="283"/>
      <c r="J112" s="283"/>
      <c r="K112" s="283"/>
      <c r="L112" s="283"/>
      <c r="M112" s="283"/>
      <c r="N112" s="283"/>
      <c r="O112" s="283"/>
      <c r="P112" s="283"/>
      <c r="Q112" s="283"/>
      <c r="R112" s="283"/>
      <c r="S112" s="283"/>
      <c r="T112" s="283"/>
      <c r="U112" s="283"/>
      <c r="V112" s="283"/>
      <c r="W112" s="283"/>
      <c r="X112" s="283"/>
      <c r="Y112" s="283"/>
      <c r="Z112" s="283"/>
      <c r="AA112" s="283"/>
      <c r="AB112" s="283"/>
      <c r="AC112" s="283"/>
      <c r="AD112" s="283"/>
      <c r="AE112" s="283"/>
      <c r="AF112" s="283"/>
      <c r="AG112" s="283"/>
      <c r="AH112" s="283"/>
      <c r="AI112" s="283"/>
      <c r="AJ112" s="283"/>
      <c r="AK112" s="283"/>
      <c r="AL112" s="283"/>
      <c r="AM112" s="283"/>
      <c r="AN112" s="283"/>
      <c r="AO112" s="283"/>
      <c r="AP112" s="283"/>
      <c r="AQ112" s="283"/>
      <c r="AR112" s="283"/>
      <c r="AS112" s="283"/>
      <c r="AT112" s="283"/>
      <c r="AU112" s="283"/>
      <c r="AV112" s="283"/>
      <c r="AW112" s="283"/>
      <c r="AX112" s="283"/>
      <c r="AY112" s="283"/>
      <c r="AZ112" s="283"/>
      <c r="BA112" s="283"/>
      <c r="BB112" s="283"/>
      <c r="BC112" s="283"/>
      <c r="BD112" s="283"/>
      <c r="BE112" s="283"/>
      <c r="BF112" s="283"/>
      <c r="BG112" s="283"/>
      <c r="BH112" s="283"/>
      <c r="BI112" s="283"/>
      <c r="BJ112" s="283"/>
      <c r="BK112" s="283"/>
      <c r="BL112" s="283"/>
      <c r="BM112" s="283"/>
      <c r="BN112" s="283"/>
      <c r="BO112" s="283"/>
      <c r="BP112" s="283"/>
      <c r="BQ112" s="283"/>
      <c r="BR112" s="283"/>
      <c r="BS112" s="283"/>
      <c r="BT112" s="283"/>
      <c r="BU112" s="283"/>
      <c r="BV112" s="283"/>
      <c r="BW112" s="283"/>
      <c r="BX112" s="283"/>
      <c r="BY112" s="283"/>
      <c r="BZ112" s="283"/>
      <c r="CA112" s="283"/>
      <c r="CB112" s="283"/>
      <c r="CC112" s="283"/>
      <c r="CD112" s="283"/>
      <c r="CE112" s="283"/>
      <c r="CF112" s="283"/>
      <c r="CG112" s="283"/>
      <c r="CH112" s="283"/>
      <c r="CI112" s="283"/>
      <c r="CJ112" s="283"/>
      <c r="CK112" s="283"/>
      <c r="CL112" s="283"/>
      <c r="CM112" s="283"/>
      <c r="CN112" s="283"/>
      <c r="CO112" s="283"/>
    </row>
    <row r="113" spans="1:203" ht="13.9" customHeight="1">
      <c r="B113" s="12" t="s">
        <v>374</v>
      </c>
      <c r="C113" s="4"/>
      <c r="D113" s="22"/>
      <c r="E113" s="22"/>
      <c r="F113" s="22"/>
      <c r="G113" s="22"/>
      <c r="H113" s="4"/>
      <c r="I113" s="22"/>
      <c r="J113" s="22"/>
      <c r="K113" s="22"/>
      <c r="L113" s="21"/>
      <c r="M113" s="4"/>
      <c r="N113" s="22"/>
      <c r="O113" s="22"/>
      <c r="P113" s="22"/>
      <c r="Q113" s="21"/>
      <c r="R113" s="37" t="s">
        <v>25</v>
      </c>
      <c r="S113" s="22"/>
      <c r="T113" s="22"/>
      <c r="U113" s="22"/>
      <c r="V113" s="21"/>
      <c r="W113" s="269" t="s">
        <v>25</v>
      </c>
      <c r="X113" s="211"/>
      <c r="Y113" s="211"/>
      <c r="Z113" s="211"/>
      <c r="AA113" s="212"/>
      <c r="AB113" s="269" t="s">
        <v>25</v>
      </c>
      <c r="AC113" s="211"/>
      <c r="AD113" s="211"/>
      <c r="AE113" s="211"/>
      <c r="AF113" s="212"/>
      <c r="AG113" s="269" t="s">
        <v>25</v>
      </c>
      <c r="AH113" s="211"/>
      <c r="AI113" s="211"/>
      <c r="AJ113" s="211"/>
      <c r="AK113" s="212"/>
      <c r="AL113" s="269" t="s">
        <v>25</v>
      </c>
      <c r="AM113" s="211"/>
      <c r="AN113" s="211"/>
      <c r="AO113" s="211"/>
      <c r="AP113" s="212"/>
      <c r="AQ113" s="269" t="s">
        <v>25</v>
      </c>
      <c r="AR113" s="211"/>
      <c r="AS113" s="211"/>
      <c r="AT113" s="211"/>
      <c r="AU113" s="212"/>
      <c r="AV113" s="269" t="s">
        <v>25</v>
      </c>
      <c r="AW113" s="211"/>
      <c r="AX113" s="211"/>
      <c r="AY113" s="211"/>
      <c r="AZ113" s="212"/>
      <c r="BA113" s="269" t="s">
        <v>25</v>
      </c>
      <c r="BB113" s="211"/>
      <c r="BC113" s="211"/>
      <c r="BD113" s="211"/>
      <c r="BE113" s="212"/>
      <c r="BF113" s="269" t="s">
        <v>25</v>
      </c>
      <c r="BG113" s="211"/>
      <c r="BH113" s="211"/>
      <c r="BI113" s="211"/>
      <c r="BJ113" s="212"/>
      <c r="BK113" s="269" t="s">
        <v>25</v>
      </c>
      <c r="BL113" s="211"/>
      <c r="BM113" s="211"/>
      <c r="BN113" s="211"/>
      <c r="BO113" s="212"/>
      <c r="BP113" s="269" t="s">
        <v>25</v>
      </c>
      <c r="BQ113" s="234">
        <v>38</v>
      </c>
      <c r="BR113" s="234">
        <v>40</v>
      </c>
      <c r="BS113" s="234">
        <v>41</v>
      </c>
      <c r="BT113" s="210">
        <v>41</v>
      </c>
      <c r="BU113" s="234">
        <v>40</v>
      </c>
      <c r="BV113" s="12">
        <v>42</v>
      </c>
      <c r="BW113" s="12">
        <v>43</v>
      </c>
      <c r="BX113" s="12">
        <v>45</v>
      </c>
      <c r="BY113" s="19">
        <v>44</v>
      </c>
      <c r="BZ113" s="234">
        <v>43</v>
      </c>
      <c r="CA113" s="12">
        <v>43</v>
      </c>
      <c r="CB113" s="12">
        <v>45</v>
      </c>
      <c r="CC113" s="12">
        <v>47</v>
      </c>
      <c r="CD113" s="19">
        <v>42</v>
      </c>
      <c r="CE113" s="234">
        <v>44</v>
      </c>
      <c r="CF113" s="12">
        <v>43</v>
      </c>
      <c r="CG113" s="12">
        <v>44</v>
      </c>
      <c r="CH113" s="12">
        <v>46</v>
      </c>
      <c r="CI113" s="19">
        <v>45</v>
      </c>
      <c r="CJ113" s="234">
        <v>45</v>
      </c>
      <c r="CK113" s="12">
        <v>45</v>
      </c>
      <c r="CL113" s="12">
        <v>46</v>
      </c>
      <c r="CM113" s="12">
        <v>48</v>
      </c>
      <c r="CN113" s="19">
        <v>47</v>
      </c>
      <c r="CO113" s="234">
        <v>46</v>
      </c>
    </row>
    <row r="114" spans="1:203" ht="13.9" customHeight="1">
      <c r="B114" s="20" t="s">
        <v>5</v>
      </c>
      <c r="C114" s="4"/>
      <c r="D114" s="22"/>
      <c r="E114" s="22"/>
      <c r="F114" s="22"/>
      <c r="G114" s="22"/>
      <c r="H114" s="4"/>
      <c r="I114" s="22"/>
      <c r="J114" s="22"/>
      <c r="K114" s="22"/>
      <c r="L114" s="21"/>
      <c r="M114" s="4"/>
      <c r="N114" s="22"/>
      <c r="O114" s="22"/>
      <c r="P114" s="22"/>
      <c r="Q114" s="21"/>
      <c r="R114" s="37"/>
      <c r="S114" s="22"/>
      <c r="T114" s="22"/>
      <c r="U114" s="22"/>
      <c r="V114" s="21"/>
      <c r="W114" s="269"/>
      <c r="X114" s="211"/>
      <c r="Y114" s="211"/>
      <c r="Z114" s="211"/>
      <c r="AA114" s="212"/>
      <c r="AB114" s="269"/>
      <c r="AC114" s="211"/>
      <c r="AD114" s="211"/>
      <c r="AE114" s="211"/>
      <c r="AF114" s="212"/>
      <c r="AG114" s="269"/>
      <c r="AH114" s="211"/>
      <c r="AI114" s="211"/>
      <c r="AJ114" s="211"/>
      <c r="AK114" s="212"/>
      <c r="AL114" s="269"/>
      <c r="AM114" s="211"/>
      <c r="AN114" s="211"/>
      <c r="AO114" s="211"/>
      <c r="AP114" s="212"/>
      <c r="AQ114" s="269"/>
      <c r="AR114" s="211"/>
      <c r="AS114" s="211"/>
      <c r="AT114" s="211"/>
      <c r="AU114" s="212"/>
      <c r="AV114" s="269"/>
      <c r="AW114" s="211"/>
      <c r="AX114" s="211"/>
      <c r="AY114" s="211"/>
      <c r="AZ114" s="212"/>
      <c r="BA114" s="269"/>
      <c r="BB114" s="211"/>
      <c r="BC114" s="211"/>
      <c r="BD114" s="211"/>
      <c r="BE114" s="212"/>
      <c r="BF114" s="269"/>
      <c r="BG114" s="211"/>
      <c r="BH114" s="211"/>
      <c r="BI114" s="211"/>
      <c r="BJ114" s="212"/>
      <c r="BK114" s="269"/>
      <c r="BL114" s="211"/>
      <c r="BM114" s="211"/>
      <c r="BN114" s="211"/>
      <c r="BO114" s="212"/>
      <c r="BP114" s="269"/>
      <c r="BQ114" s="212"/>
      <c r="BR114" s="212">
        <f>BR113/BQ113-1</f>
        <v>5.2631578947368363E-2</v>
      </c>
      <c r="BS114" s="212">
        <f>BS113/BR113-1</f>
        <v>2.4999999999999911E-2</v>
      </c>
      <c r="BT114" s="212">
        <f>BT113/BS113-1</f>
        <v>0</v>
      </c>
      <c r="BU114" s="226"/>
      <c r="BV114" s="21">
        <f>BV113/BT113-1</f>
        <v>2.4390243902439046E-2</v>
      </c>
      <c r="BW114" s="21">
        <f>BW113/BV113-1</f>
        <v>2.3809523809523725E-2</v>
      </c>
      <c r="BX114" s="21">
        <f>BX113/BW113-1</f>
        <v>4.6511627906976827E-2</v>
      </c>
      <c r="BY114" s="21">
        <f>BY113/BX113-1</f>
        <v>-2.2222222222222254E-2</v>
      </c>
      <c r="BZ114" s="226"/>
      <c r="CA114" s="21">
        <f>CA113/BY113-1</f>
        <v>-2.2727272727272707E-2</v>
      </c>
      <c r="CB114" s="21">
        <f>CB113/CA113-1</f>
        <v>4.6511627906976827E-2</v>
      </c>
      <c r="CC114" s="21">
        <f>CC113/CB113-1</f>
        <v>4.4444444444444509E-2</v>
      </c>
      <c r="CD114" s="21">
        <f>CD113/CC113-1</f>
        <v>-0.1063829787234043</v>
      </c>
      <c r="CE114" s="226"/>
      <c r="CF114" s="21">
        <f>CF113/CD113-1</f>
        <v>2.3809523809523725E-2</v>
      </c>
      <c r="CG114" s="21">
        <f>CG113/CF113-1</f>
        <v>2.3255813953488413E-2</v>
      </c>
      <c r="CH114" s="21">
        <f>CH113/CG113-1</f>
        <v>4.5454545454545414E-2</v>
      </c>
      <c r="CI114" s="21">
        <f>CI113/CH113-1</f>
        <v>-2.1739130434782594E-2</v>
      </c>
      <c r="CJ114" s="226"/>
      <c r="CK114" s="21">
        <f>CK113/CI113-1</f>
        <v>0</v>
      </c>
      <c r="CL114" s="21">
        <f>CL113/CK113-1</f>
        <v>2.2222222222222143E-2</v>
      </c>
      <c r="CM114" s="21">
        <f>CM113/CL113-1</f>
        <v>4.3478260869565188E-2</v>
      </c>
      <c r="CN114" s="21">
        <f>CN113/CM113-1</f>
        <v>-2.083333333333337E-2</v>
      </c>
      <c r="CO114" s="226"/>
    </row>
    <row r="115" spans="1:203" ht="13.9" customHeight="1">
      <c r="B115" s="20" t="s">
        <v>6</v>
      </c>
      <c r="C115" s="4"/>
      <c r="D115" s="22"/>
      <c r="E115" s="22"/>
      <c r="F115" s="22"/>
      <c r="G115" s="22"/>
      <c r="H115" s="4"/>
      <c r="I115" s="22"/>
      <c r="J115" s="22"/>
      <c r="K115" s="22"/>
      <c r="L115" s="21"/>
      <c r="M115" s="4"/>
      <c r="N115" s="22"/>
      <c r="O115" s="22"/>
      <c r="P115" s="22"/>
      <c r="Q115" s="21"/>
      <c r="R115" s="4"/>
      <c r="S115" s="22"/>
      <c r="T115" s="22"/>
      <c r="U115" s="22"/>
      <c r="V115" s="21"/>
      <c r="W115" s="211"/>
      <c r="X115" s="211"/>
      <c r="Y115" s="211"/>
      <c r="Z115" s="211"/>
      <c r="AA115" s="212"/>
      <c r="AB115" s="211"/>
      <c r="AC115" s="211"/>
      <c r="AD115" s="211"/>
      <c r="AE115" s="211"/>
      <c r="AF115" s="212"/>
      <c r="AG115" s="211"/>
      <c r="AH115" s="211"/>
      <c r="AI115" s="211"/>
      <c r="AJ115" s="211"/>
      <c r="AK115" s="212"/>
      <c r="AL115" s="211"/>
      <c r="AM115" s="211"/>
      <c r="AN115" s="211"/>
      <c r="AO115" s="211"/>
      <c r="AP115" s="212"/>
      <c r="AQ115" s="211"/>
      <c r="AR115" s="211"/>
      <c r="AS115" s="211"/>
      <c r="AT115" s="211"/>
      <c r="AU115" s="212"/>
      <c r="AV115" s="211"/>
      <c r="AW115" s="211"/>
      <c r="AX115" s="211"/>
      <c r="AY115" s="211"/>
      <c r="AZ115" s="212"/>
      <c r="BA115" s="211"/>
      <c r="BB115" s="211"/>
      <c r="BC115" s="211"/>
      <c r="BD115" s="211"/>
      <c r="BE115" s="212"/>
      <c r="BF115" s="211"/>
      <c r="BG115" s="211"/>
      <c r="BH115" s="211"/>
      <c r="BI115" s="211"/>
      <c r="BJ115" s="212"/>
      <c r="BK115" s="211"/>
      <c r="BL115" s="211"/>
      <c r="BM115" s="211"/>
      <c r="BN115" s="211"/>
      <c r="BO115" s="212"/>
      <c r="BP115" s="211"/>
      <c r="BQ115" s="211"/>
      <c r="BR115" s="211"/>
      <c r="BS115" s="211"/>
      <c r="BT115" s="212"/>
      <c r="BU115" s="211"/>
      <c r="BV115" s="22">
        <f t="shared" ref="BV115:CC115" si="137">BV113/BQ113-1</f>
        <v>0.10526315789473695</v>
      </c>
      <c r="BW115" s="22">
        <f t="shared" si="137"/>
        <v>7.4999999999999956E-2</v>
      </c>
      <c r="BX115" s="22">
        <f t="shared" si="137"/>
        <v>9.7560975609756184E-2</v>
      </c>
      <c r="BY115" s="21">
        <f t="shared" si="137"/>
        <v>7.3170731707317138E-2</v>
      </c>
      <c r="BZ115" s="211">
        <f t="shared" si="137"/>
        <v>7.4999999999999956E-2</v>
      </c>
      <c r="CA115" s="22">
        <f t="shared" si="137"/>
        <v>2.3809523809523725E-2</v>
      </c>
      <c r="CB115" s="22">
        <f t="shared" si="137"/>
        <v>4.6511627906976827E-2</v>
      </c>
      <c r="CC115" s="22">
        <f t="shared" si="137"/>
        <v>4.4444444444444509E-2</v>
      </c>
      <c r="CD115" s="21">
        <f t="shared" ref="CD115" si="138">CD113/BY113-1</f>
        <v>-4.5454545454545414E-2</v>
      </c>
      <c r="CE115" s="211">
        <f t="shared" ref="CE115:CH115" si="139">CE113/BZ113-1</f>
        <v>2.3255813953488413E-2</v>
      </c>
      <c r="CF115" s="22">
        <f t="shared" si="139"/>
        <v>0</v>
      </c>
      <c r="CG115" s="22">
        <f t="shared" si="139"/>
        <v>-2.2222222222222254E-2</v>
      </c>
      <c r="CH115" s="22">
        <f t="shared" si="139"/>
        <v>-2.1276595744680882E-2</v>
      </c>
      <c r="CI115" s="21">
        <f t="shared" ref="CI115" si="140">CI113/CD113-1</f>
        <v>7.1428571428571397E-2</v>
      </c>
      <c r="CJ115" s="211">
        <f>CJ113/CE113-1</f>
        <v>2.2727272727272707E-2</v>
      </c>
      <c r="CK115" s="22">
        <f t="shared" ref="CK115:CM115" si="141">CK113/CF113-1</f>
        <v>4.6511627906976827E-2</v>
      </c>
      <c r="CL115" s="22">
        <f t="shared" si="141"/>
        <v>4.5454545454545414E-2</v>
      </c>
      <c r="CM115" s="22">
        <f t="shared" si="141"/>
        <v>4.3478260869565188E-2</v>
      </c>
      <c r="CN115" s="21">
        <f t="shared" ref="CN115" si="142">CN113/CI113-1</f>
        <v>4.4444444444444509E-2</v>
      </c>
      <c r="CO115" s="211">
        <f>CO113/CJ113-1</f>
        <v>2.2222222222222143E-2</v>
      </c>
    </row>
    <row r="116" spans="1:203" ht="13.9" customHeight="1">
      <c r="B116" s="12" t="s">
        <v>95</v>
      </c>
      <c r="C116" s="37" t="s">
        <v>25</v>
      </c>
      <c r="D116" s="27" t="s">
        <v>25</v>
      </c>
      <c r="E116" s="27" t="s">
        <v>25</v>
      </c>
      <c r="F116" s="27" t="s">
        <v>25</v>
      </c>
      <c r="G116" s="27" t="s">
        <v>25</v>
      </c>
      <c r="H116" s="37" t="s">
        <v>25</v>
      </c>
      <c r="I116" s="35">
        <v>3.3000000000000002E-2</v>
      </c>
      <c r="J116" s="35">
        <v>3.3000000000000002E-2</v>
      </c>
      <c r="K116" s="35">
        <v>3.7999999999999999E-2</v>
      </c>
      <c r="L116" s="35">
        <v>3.4000000000000002E-2</v>
      </c>
      <c r="M116" s="13">
        <v>0.13800000000000001</v>
      </c>
      <c r="N116" s="35">
        <v>3.9E-2</v>
      </c>
      <c r="O116" s="35">
        <v>3.9E-2</v>
      </c>
      <c r="P116" s="35">
        <v>3.5000000000000003E-2</v>
      </c>
      <c r="Q116" s="35">
        <v>3.9E-2</v>
      </c>
      <c r="R116" s="13">
        <v>0.153</v>
      </c>
      <c r="S116" s="35">
        <v>0.05</v>
      </c>
      <c r="T116" s="35">
        <v>6.6000000000000003E-2</v>
      </c>
      <c r="U116" s="35">
        <v>6.0999999999999999E-2</v>
      </c>
      <c r="V116" s="35">
        <v>5.2999999999999999E-2</v>
      </c>
      <c r="W116" s="231">
        <v>0.22900000000000001</v>
      </c>
      <c r="X116" s="265">
        <v>3.9E-2</v>
      </c>
      <c r="Y116" s="265">
        <v>0.06</v>
      </c>
      <c r="Z116" s="265">
        <v>6.7000000000000004E-2</v>
      </c>
      <c r="AA116" s="265">
        <v>5.8999999999999997E-2</v>
      </c>
      <c r="AB116" s="231">
        <v>0.224</v>
      </c>
      <c r="AC116" s="265">
        <v>7.1999999999999995E-2</v>
      </c>
      <c r="AD116" s="265">
        <v>6.9000000000000006E-2</v>
      </c>
      <c r="AE116" s="265">
        <v>6.2E-2</v>
      </c>
      <c r="AF116" s="265">
        <v>8.3000000000000004E-2</v>
      </c>
      <c r="AG116" s="231">
        <v>0.28599999999999998</v>
      </c>
      <c r="AH116" s="265">
        <v>7.5999999999999998E-2</v>
      </c>
      <c r="AI116" s="265">
        <v>6.5000000000000002E-2</v>
      </c>
      <c r="AJ116" s="265">
        <v>7.2999999999999995E-2</v>
      </c>
      <c r="AK116" s="265">
        <v>6.6000000000000003E-2</v>
      </c>
      <c r="AL116" s="231">
        <v>0.28000000000000003</v>
      </c>
      <c r="AM116" s="265">
        <v>6.5000000000000002E-2</v>
      </c>
      <c r="AN116" s="265">
        <v>6.0999999999999999E-2</v>
      </c>
      <c r="AO116" s="265">
        <v>6.4000000000000001E-2</v>
      </c>
      <c r="AP116" s="265">
        <v>6.7000000000000004E-2</v>
      </c>
      <c r="AQ116" s="231">
        <v>0.25800000000000001</v>
      </c>
      <c r="AR116" s="265">
        <v>5.1999999999999998E-2</v>
      </c>
      <c r="AS116" s="265">
        <v>6.2E-2</v>
      </c>
      <c r="AT116" s="265">
        <v>6.0999999999999999E-2</v>
      </c>
      <c r="AU116" s="265">
        <v>6.3E-2</v>
      </c>
      <c r="AV116" s="231">
        <v>0.23699999999999999</v>
      </c>
      <c r="AW116" s="265">
        <v>7.9000000000000001E-2</v>
      </c>
      <c r="AX116" s="265">
        <v>6.3E-2</v>
      </c>
      <c r="AY116" s="265">
        <v>7.0999999999999994E-2</v>
      </c>
      <c r="AZ116" s="265">
        <v>6.9000000000000006E-2</v>
      </c>
      <c r="BA116" s="231">
        <v>0.28199999999999997</v>
      </c>
      <c r="BB116" s="265">
        <v>0.08</v>
      </c>
      <c r="BC116" s="265">
        <v>7.2999999999999995E-2</v>
      </c>
      <c r="BD116" s="265">
        <v>9.0999999999999998E-2</v>
      </c>
      <c r="BE116" s="265">
        <v>0.09</v>
      </c>
      <c r="BF116" s="231">
        <v>0.33300000000000002</v>
      </c>
      <c r="BG116" s="265">
        <v>8.6999999999999994E-2</v>
      </c>
      <c r="BH116" s="265">
        <v>7.4999999999999997E-2</v>
      </c>
      <c r="BI116" s="265">
        <v>7.2999999999999995E-2</v>
      </c>
      <c r="BJ116" s="265">
        <f>BK116-BI116-BH116-BG116</f>
        <v>7.2999999999999982E-2</v>
      </c>
      <c r="BK116" s="231">
        <v>0.308</v>
      </c>
      <c r="BL116" s="265">
        <v>7.1999999999999995E-2</v>
      </c>
      <c r="BM116" s="265">
        <v>6.8000000000000005E-2</v>
      </c>
      <c r="BN116" s="265">
        <v>7.0000000000000007E-2</v>
      </c>
      <c r="BO116" s="265">
        <f>BP116-BN116-BM116-BL116</f>
        <v>5.9000000000000011E-2</v>
      </c>
      <c r="BP116" s="231">
        <v>0.26900000000000002</v>
      </c>
      <c r="BQ116" s="265">
        <v>5.8000000000000003E-2</v>
      </c>
      <c r="BR116" s="265">
        <v>5.8000000000000003E-2</v>
      </c>
      <c r="BS116" s="265">
        <v>5.5E-2</v>
      </c>
      <c r="BT116" s="265">
        <f>BU116-BS116-BR116-BQ116</f>
        <v>5.8000000000000017E-2</v>
      </c>
      <c r="BU116" s="265">
        <v>0.22900000000000001</v>
      </c>
      <c r="BV116" s="35">
        <v>6.8000000000000005E-2</v>
      </c>
      <c r="BW116" s="35">
        <v>5.5E-2</v>
      </c>
      <c r="BX116" s="35">
        <v>5.7000000000000002E-2</v>
      </c>
      <c r="BY116" s="35">
        <f>BZ116-BX116-BW116-BV116</f>
        <v>6.0999999999999999E-2</v>
      </c>
      <c r="BZ116" s="265">
        <v>0.24099999999999999</v>
      </c>
      <c r="CA116" s="35">
        <v>6.7000000000000004E-2</v>
      </c>
      <c r="CB116" s="35">
        <v>5.8999999999999997E-2</v>
      </c>
      <c r="CC116" s="35">
        <v>0.06</v>
      </c>
      <c r="CD116" s="35">
        <f>CE116-CC116-CB116-CA116</f>
        <v>5.8999999999999997E-2</v>
      </c>
      <c r="CE116" s="265">
        <v>0.245</v>
      </c>
      <c r="CF116" s="35">
        <v>6.5000000000000002E-2</v>
      </c>
      <c r="CG116" s="35">
        <v>5.6000000000000001E-2</v>
      </c>
      <c r="CH116" s="35">
        <v>5.8000000000000003E-2</v>
      </c>
      <c r="CI116" s="35">
        <f>CJ116-CH116-CG116-CF116</f>
        <v>0.06</v>
      </c>
      <c r="CJ116" s="265">
        <v>0.23899999999999999</v>
      </c>
      <c r="CK116" s="35">
        <v>6.2E-2</v>
      </c>
      <c r="CL116" s="35">
        <v>5.6000000000000001E-2</v>
      </c>
      <c r="CM116" s="35">
        <v>6.0999999999999999E-2</v>
      </c>
      <c r="CN116" s="35">
        <f>CO116-CM116-CL116-CK116</f>
        <v>5.8999999999999997E-2</v>
      </c>
      <c r="CO116" s="265">
        <v>0.23799999999999999</v>
      </c>
    </row>
    <row r="117" spans="1:203" ht="13.9" customHeight="1">
      <c r="B117" s="12"/>
      <c r="C117" s="37"/>
      <c r="D117" s="27"/>
      <c r="E117" s="27"/>
      <c r="F117" s="27"/>
      <c r="G117" s="27"/>
      <c r="H117" s="37"/>
      <c r="I117" s="35"/>
      <c r="J117" s="35"/>
      <c r="K117" s="35"/>
      <c r="L117" s="35"/>
      <c r="M117" s="13"/>
      <c r="N117" s="35"/>
      <c r="O117" s="35"/>
      <c r="P117" s="35"/>
      <c r="Q117" s="35"/>
      <c r="R117" s="13"/>
      <c r="S117" s="35"/>
      <c r="T117" s="35"/>
      <c r="U117" s="35"/>
      <c r="V117" s="35"/>
      <c r="W117" s="231"/>
      <c r="X117" s="265"/>
      <c r="Y117" s="265"/>
      <c r="Z117" s="265"/>
      <c r="AA117" s="265"/>
      <c r="AB117" s="231"/>
      <c r="AC117" s="265"/>
      <c r="AD117" s="265"/>
      <c r="AE117" s="265"/>
      <c r="AF117" s="265"/>
      <c r="AG117" s="231"/>
      <c r="AH117" s="265"/>
      <c r="AI117" s="265"/>
      <c r="AJ117" s="265"/>
      <c r="AK117" s="265"/>
      <c r="AL117" s="231"/>
      <c r="AM117" s="265"/>
      <c r="AN117" s="265"/>
      <c r="AO117" s="265"/>
      <c r="AP117" s="265"/>
      <c r="AQ117" s="231"/>
      <c r="AR117" s="265"/>
      <c r="AS117" s="265"/>
      <c r="AT117" s="265"/>
      <c r="AU117" s="265"/>
      <c r="AV117" s="231"/>
      <c r="AW117" s="265"/>
      <c r="AX117" s="265"/>
      <c r="AY117" s="265"/>
      <c r="AZ117" s="265"/>
      <c r="BA117" s="231"/>
      <c r="BB117" s="265"/>
      <c r="BC117" s="265"/>
      <c r="BD117" s="265"/>
      <c r="BE117" s="265"/>
      <c r="BF117" s="231"/>
      <c r="BG117" s="265"/>
      <c r="BH117" s="265"/>
      <c r="BI117" s="265"/>
      <c r="BJ117" s="265"/>
      <c r="BK117" s="231"/>
      <c r="BL117" s="265"/>
      <c r="BM117" s="265"/>
      <c r="BN117" s="265"/>
      <c r="BO117" s="265"/>
      <c r="BP117" s="231"/>
      <c r="BQ117" s="265"/>
      <c r="BR117" s="265"/>
      <c r="BS117" s="265"/>
      <c r="BT117" s="265"/>
      <c r="BU117" s="231"/>
      <c r="BV117" s="35"/>
      <c r="BW117" s="35"/>
      <c r="BX117" s="35"/>
      <c r="BY117" s="35"/>
      <c r="BZ117" s="231"/>
      <c r="CA117" s="35"/>
      <c r="CB117" s="35"/>
      <c r="CC117" s="35"/>
      <c r="CD117" s="35"/>
      <c r="CE117" s="231"/>
      <c r="CF117" s="35"/>
      <c r="CG117" s="35"/>
      <c r="CH117" s="35"/>
      <c r="CI117" s="35"/>
      <c r="CJ117" s="231"/>
      <c r="CK117" s="35"/>
      <c r="CL117" s="35"/>
      <c r="CM117" s="35"/>
      <c r="CN117" s="35"/>
      <c r="CO117" s="231"/>
    </row>
    <row r="118" spans="1:203" ht="13.9" customHeight="1">
      <c r="B118" s="2" t="s">
        <v>14</v>
      </c>
      <c r="C118" s="58"/>
      <c r="D118" s="27"/>
      <c r="E118" s="27"/>
      <c r="F118" s="27"/>
      <c r="G118" s="27"/>
      <c r="H118" s="37" t="s">
        <v>25</v>
      </c>
      <c r="I118" s="35"/>
      <c r="J118" s="35"/>
      <c r="K118" s="35"/>
      <c r="L118" s="35"/>
      <c r="M118" s="37" t="s">
        <v>25</v>
      </c>
      <c r="N118" s="35"/>
      <c r="O118" s="35"/>
      <c r="P118" s="35"/>
      <c r="Q118" s="35"/>
      <c r="R118" s="37" t="s">
        <v>25</v>
      </c>
      <c r="S118" s="49" t="s">
        <v>24</v>
      </c>
      <c r="T118" s="49" t="s">
        <v>24</v>
      </c>
      <c r="U118" s="49" t="s">
        <v>24</v>
      </c>
      <c r="V118" s="49" t="s">
        <v>24</v>
      </c>
      <c r="W118" s="269" t="s">
        <v>25</v>
      </c>
      <c r="X118" s="266" t="s">
        <v>24</v>
      </c>
      <c r="Y118" s="266" t="s">
        <v>24</v>
      </c>
      <c r="Z118" s="266" t="s">
        <v>24</v>
      </c>
      <c r="AA118" s="266" t="s">
        <v>24</v>
      </c>
      <c r="AB118" s="218">
        <v>4072</v>
      </c>
      <c r="AC118" s="266" t="s">
        <v>24</v>
      </c>
      <c r="AD118" s="266" t="s">
        <v>24</v>
      </c>
      <c r="AE118" s="266" t="s">
        <v>24</v>
      </c>
      <c r="AF118" s="266" t="s">
        <v>24</v>
      </c>
      <c r="AG118" s="218">
        <v>3288</v>
      </c>
      <c r="AH118" s="266" t="s">
        <v>24</v>
      </c>
      <c r="AI118" s="266" t="s">
        <v>24</v>
      </c>
      <c r="AJ118" s="266" t="s">
        <v>24</v>
      </c>
      <c r="AK118" s="210">
        <v>3001</v>
      </c>
      <c r="AL118" s="218">
        <v>3001</v>
      </c>
      <c r="AM118" s="266" t="s">
        <v>24</v>
      </c>
      <c r="AN118" s="266" t="s">
        <v>24</v>
      </c>
      <c r="AO118" s="266" t="s">
        <v>24</v>
      </c>
      <c r="AP118" s="210">
        <v>2679</v>
      </c>
      <c r="AQ118" s="218">
        <v>2679</v>
      </c>
      <c r="AR118" s="266" t="s">
        <v>24</v>
      </c>
      <c r="AS118" s="266" t="s">
        <v>24</v>
      </c>
      <c r="AT118" s="266" t="s">
        <v>24</v>
      </c>
      <c r="AU118" s="210">
        <v>2594</v>
      </c>
      <c r="AV118" s="218">
        <v>2594</v>
      </c>
      <c r="AW118" s="266" t="s">
        <v>24</v>
      </c>
      <c r="AX118" s="266" t="s">
        <v>24</v>
      </c>
      <c r="AY118" s="266" t="s">
        <v>24</v>
      </c>
      <c r="AZ118" s="210">
        <v>2551</v>
      </c>
      <c r="BA118" s="218">
        <v>2551</v>
      </c>
      <c r="BB118" s="266" t="s">
        <v>24</v>
      </c>
      <c r="BC118" s="266" t="s">
        <v>24</v>
      </c>
      <c r="BD118" s="266" t="s">
        <v>24</v>
      </c>
      <c r="BE118" s="210">
        <f>BF118</f>
        <v>2352</v>
      </c>
      <c r="BF118" s="218">
        <v>2352</v>
      </c>
      <c r="BG118" s="266" t="s">
        <v>24</v>
      </c>
      <c r="BH118" s="266" t="s">
        <v>24</v>
      </c>
      <c r="BI118" s="266" t="s">
        <v>24</v>
      </c>
      <c r="BJ118" s="210">
        <f>BK118</f>
        <v>2202</v>
      </c>
      <c r="BK118" s="218">
        <v>2202</v>
      </c>
      <c r="BL118" s="266" t="s">
        <v>24</v>
      </c>
      <c r="BM118" s="266" t="s">
        <v>24</v>
      </c>
      <c r="BN118" s="266" t="s">
        <v>24</v>
      </c>
      <c r="BO118" s="210">
        <v>1900</v>
      </c>
      <c r="BP118" s="218">
        <v>1900</v>
      </c>
      <c r="BQ118" s="266" t="s">
        <v>24</v>
      </c>
      <c r="BR118" s="266" t="s">
        <v>24</v>
      </c>
      <c r="BS118" s="266" t="s">
        <v>24</v>
      </c>
      <c r="BT118" s="210">
        <f>BU118</f>
        <v>1768</v>
      </c>
      <c r="BU118" s="218">
        <v>1768</v>
      </c>
      <c r="BV118" s="49" t="s">
        <v>24</v>
      </c>
      <c r="BW118" s="49" t="s">
        <v>24</v>
      </c>
      <c r="BX118" s="49" t="s">
        <v>24</v>
      </c>
      <c r="BY118" s="19">
        <f>BZ118</f>
        <v>1704</v>
      </c>
      <c r="BZ118" s="218">
        <v>1704</v>
      </c>
      <c r="CA118" s="49" t="s">
        <v>24</v>
      </c>
      <c r="CB118" s="49" t="s">
        <v>24</v>
      </c>
      <c r="CC118" s="49" t="s">
        <v>24</v>
      </c>
      <c r="CD118" s="19">
        <f>CE118</f>
        <v>1684</v>
      </c>
      <c r="CE118" s="218">
        <v>1684</v>
      </c>
      <c r="CF118" s="49" t="s">
        <v>24</v>
      </c>
      <c r="CG118" s="49" t="s">
        <v>24</v>
      </c>
      <c r="CH118" s="49" t="s">
        <v>24</v>
      </c>
      <c r="CI118" s="19">
        <f>CJ118</f>
        <v>1672</v>
      </c>
      <c r="CJ118" s="218">
        <v>1672</v>
      </c>
      <c r="CK118" s="49" t="s">
        <v>24</v>
      </c>
      <c r="CL118" s="49" t="s">
        <v>24</v>
      </c>
      <c r="CM118" s="49" t="s">
        <v>24</v>
      </c>
      <c r="CN118" s="19">
        <f>CO118</f>
        <v>1602</v>
      </c>
      <c r="CO118" s="218">
        <v>1602</v>
      </c>
    </row>
    <row r="119" spans="1:203" ht="13.9" customHeight="1">
      <c r="B119" s="20" t="s">
        <v>6</v>
      </c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269"/>
      <c r="X119" s="211"/>
      <c r="Y119" s="211"/>
      <c r="Z119" s="211"/>
      <c r="AA119" s="212"/>
      <c r="AB119" s="211"/>
      <c r="AC119" s="211"/>
      <c r="AD119" s="211"/>
      <c r="AE119" s="211"/>
      <c r="AF119" s="212"/>
      <c r="AG119" s="211">
        <f>AG118/AB118-1</f>
        <v>-0.19253438113948917</v>
      </c>
      <c r="AH119" s="211"/>
      <c r="AI119" s="211"/>
      <c r="AJ119" s="211"/>
      <c r="AK119" s="212"/>
      <c r="AL119" s="211">
        <f>AL118/AG118-1</f>
        <v>-8.7287104622871037E-2</v>
      </c>
      <c r="AM119" s="211"/>
      <c r="AN119" s="211"/>
      <c r="AO119" s="211"/>
      <c r="AP119" s="212"/>
      <c r="AQ119" s="211">
        <f>AQ118/AL118-1</f>
        <v>-0.10729756747750752</v>
      </c>
      <c r="AR119" s="211"/>
      <c r="AS119" s="211"/>
      <c r="AT119" s="211"/>
      <c r="AU119" s="212"/>
      <c r="AV119" s="211">
        <f>AV118/AQ118-1</f>
        <v>-3.1728256812243338E-2</v>
      </c>
      <c r="AW119" s="211"/>
      <c r="AX119" s="211"/>
      <c r="AY119" s="211"/>
      <c r="AZ119" s="212"/>
      <c r="BA119" s="211">
        <f>BA118/AV118-1</f>
        <v>-1.6576715497301442E-2</v>
      </c>
      <c r="BB119" s="211"/>
      <c r="BC119" s="211"/>
      <c r="BD119" s="211"/>
      <c r="BE119" s="212"/>
      <c r="BF119" s="211">
        <f>BF118/BA118-1</f>
        <v>-7.800862406899256E-2</v>
      </c>
      <c r="BG119" s="211"/>
      <c r="BH119" s="211"/>
      <c r="BI119" s="211"/>
      <c r="BJ119" s="212"/>
      <c r="BK119" s="211">
        <f>BK118/BF118-1</f>
        <v>-6.3775510204081676E-2</v>
      </c>
      <c r="BL119" s="211"/>
      <c r="BM119" s="211"/>
      <c r="BN119" s="211"/>
      <c r="BO119" s="212"/>
      <c r="BP119" s="211">
        <f>BP118/BK118-1</f>
        <v>-0.13714804722979113</v>
      </c>
      <c r="BQ119" s="211"/>
      <c r="BR119" s="211"/>
      <c r="BS119" s="211"/>
      <c r="BT119" s="212"/>
      <c r="BU119" s="211">
        <f>BU118/BP118-1</f>
        <v>-6.9473684210526354E-2</v>
      </c>
      <c r="BV119" s="22"/>
      <c r="BW119" s="22"/>
      <c r="BX119" s="22"/>
      <c r="BY119" s="21"/>
      <c r="BZ119" s="211">
        <f>BZ118/BU118-1</f>
        <v>-3.6199095022624417E-2</v>
      </c>
      <c r="CA119" s="22"/>
      <c r="CB119" s="22"/>
      <c r="CC119" s="22"/>
      <c r="CD119" s="21"/>
      <c r="CE119" s="211">
        <f>CE118/BZ118-1</f>
        <v>-1.1737089201877882E-2</v>
      </c>
      <c r="CF119" s="22"/>
      <c r="CG119" s="22"/>
      <c r="CH119" s="22"/>
      <c r="CI119" s="21"/>
      <c r="CJ119" s="211">
        <f>CJ118/CE118-1</f>
        <v>-7.1258907363420665E-3</v>
      </c>
      <c r="CK119" s="22"/>
      <c r="CL119" s="22"/>
      <c r="CM119" s="22"/>
      <c r="CN119" s="21"/>
      <c r="CO119" s="211">
        <f>CO118/CJ118-1</f>
        <v>-4.186602870813394E-2</v>
      </c>
    </row>
    <row r="120" spans="1:203" ht="13.9" customHeight="1">
      <c r="B120" s="12" t="s">
        <v>513</v>
      </c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269"/>
      <c r="X120" s="211"/>
      <c r="Y120" s="211"/>
      <c r="Z120" s="211"/>
      <c r="AA120" s="212"/>
      <c r="AB120" s="211"/>
      <c r="AC120" s="211"/>
      <c r="AD120" s="211"/>
      <c r="AE120" s="211"/>
      <c r="AF120" s="212"/>
      <c r="AG120" s="211"/>
      <c r="AH120" s="211"/>
      <c r="AI120" s="211"/>
      <c r="AJ120" s="211"/>
      <c r="AK120" s="212"/>
      <c r="AL120" s="211"/>
      <c r="AM120" s="211"/>
      <c r="AN120" s="211"/>
      <c r="AO120" s="211"/>
      <c r="AP120" s="212"/>
      <c r="AQ120" s="211"/>
      <c r="AR120" s="211"/>
      <c r="AS120" s="211"/>
      <c r="AT120" s="211"/>
      <c r="AU120" s="212"/>
      <c r="AV120" s="211"/>
      <c r="AW120" s="211"/>
      <c r="AX120" s="211"/>
      <c r="AY120" s="211"/>
      <c r="AZ120" s="212"/>
      <c r="BA120" s="211"/>
      <c r="BB120" s="211"/>
      <c r="BC120" s="211"/>
      <c r="BD120" s="211"/>
      <c r="BE120" s="212"/>
      <c r="BF120" s="211"/>
      <c r="BG120" s="211"/>
      <c r="BH120" s="211"/>
      <c r="BI120" s="211"/>
      <c r="BJ120" s="212"/>
      <c r="BK120" s="211"/>
      <c r="BL120" s="211"/>
      <c r="BM120" s="211"/>
      <c r="BN120" s="211"/>
      <c r="BO120" s="212"/>
      <c r="BP120" s="211"/>
      <c r="BQ120" s="211"/>
      <c r="BR120" s="211"/>
      <c r="BS120" s="211"/>
      <c r="BT120" s="212"/>
      <c r="BU120" s="211"/>
      <c r="BV120" s="22"/>
      <c r="BW120" s="22"/>
      <c r="BX120" s="22"/>
      <c r="BY120" s="21"/>
      <c r="BZ120" s="211"/>
      <c r="CA120" s="22"/>
      <c r="CB120" s="22"/>
      <c r="CC120" s="22"/>
      <c r="CD120" s="21"/>
      <c r="CE120" s="211"/>
      <c r="CF120" s="49" t="s">
        <v>24</v>
      </c>
      <c r="CG120" s="49" t="s">
        <v>24</v>
      </c>
      <c r="CH120" s="49" t="s">
        <v>24</v>
      </c>
      <c r="CI120" s="19">
        <f>CJ120</f>
        <v>1474</v>
      </c>
      <c r="CJ120" s="218">
        <v>1474</v>
      </c>
      <c r="CK120" s="49" t="s">
        <v>24</v>
      </c>
      <c r="CL120" s="49" t="s">
        <v>24</v>
      </c>
      <c r="CM120" s="49" t="s">
        <v>24</v>
      </c>
      <c r="CN120" s="19">
        <f>CO120</f>
        <v>1439</v>
      </c>
      <c r="CO120" s="218">
        <v>1439</v>
      </c>
    </row>
    <row r="121" spans="1:203" s="2" customFormat="1" ht="12.95" customHeight="1">
      <c r="B121" s="20" t="s">
        <v>6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231"/>
      <c r="X121" s="231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11"/>
      <c r="AI121" s="211"/>
      <c r="AJ121" s="211"/>
      <c r="AK121" s="211"/>
      <c r="AL121" s="231"/>
      <c r="AM121" s="265"/>
      <c r="AN121" s="265"/>
      <c r="AO121" s="265"/>
      <c r="AP121" s="211"/>
      <c r="AQ121" s="231"/>
      <c r="AR121" s="265"/>
      <c r="AS121" s="265"/>
      <c r="AT121" s="265"/>
      <c r="AU121" s="211"/>
      <c r="AV121" s="231"/>
      <c r="AW121" s="265"/>
      <c r="AX121" s="265"/>
      <c r="AY121" s="265"/>
      <c r="AZ121" s="211"/>
      <c r="BA121" s="231"/>
      <c r="BB121" s="265"/>
      <c r="BC121" s="265"/>
      <c r="BD121" s="265"/>
      <c r="BE121" s="211"/>
      <c r="BF121" s="231"/>
      <c r="BG121" s="265"/>
      <c r="BH121" s="265"/>
      <c r="BI121" s="265"/>
      <c r="BJ121" s="211"/>
      <c r="BK121" s="231"/>
      <c r="BL121" s="265"/>
      <c r="BM121" s="265"/>
      <c r="BN121" s="265"/>
      <c r="BO121" s="211"/>
      <c r="BP121" s="231"/>
      <c r="BQ121" s="265"/>
      <c r="BR121" s="265"/>
      <c r="BS121" s="265"/>
      <c r="BT121" s="211"/>
      <c r="BU121" s="231"/>
      <c r="BV121" s="35"/>
      <c r="BW121" s="35"/>
      <c r="BX121" s="35"/>
      <c r="BY121" s="22"/>
      <c r="BZ121" s="231"/>
      <c r="CA121" s="35"/>
      <c r="CB121" s="35"/>
      <c r="CC121" s="35"/>
      <c r="CD121" s="22"/>
      <c r="CE121" s="231"/>
      <c r="CF121" s="35"/>
      <c r="CG121" s="35"/>
      <c r="CH121" s="35"/>
      <c r="CI121" s="22"/>
      <c r="CJ121" s="231"/>
      <c r="CK121" s="35"/>
      <c r="CL121" s="35"/>
      <c r="CM121" s="35"/>
      <c r="CN121" s="22"/>
      <c r="CO121" s="211">
        <f>CO120/CJ120-1</f>
        <v>-2.3744911804613245E-2</v>
      </c>
    </row>
    <row r="122" spans="1:203" s="2" customFormat="1" ht="13.9" customHeight="1">
      <c r="B122" s="12" t="s">
        <v>324</v>
      </c>
      <c r="C122" s="13">
        <v>0.29199999999999998</v>
      </c>
      <c r="D122" s="13"/>
      <c r="E122" s="13"/>
      <c r="F122" s="13"/>
      <c r="G122" s="13"/>
      <c r="H122" s="13">
        <v>0.28599999999999998</v>
      </c>
      <c r="I122" s="13"/>
      <c r="J122" s="13"/>
      <c r="K122" s="13"/>
      <c r="L122" s="13"/>
      <c r="M122" s="13">
        <v>0.28999999999999998</v>
      </c>
      <c r="N122" s="13"/>
      <c r="O122" s="13"/>
      <c r="P122" s="13"/>
      <c r="Q122" s="13"/>
      <c r="R122" s="13">
        <v>0.28899999999999998</v>
      </c>
      <c r="S122" s="13"/>
      <c r="T122" s="13"/>
      <c r="U122" s="13"/>
      <c r="V122" s="13"/>
      <c r="W122" s="231">
        <v>0.28999999999999998</v>
      </c>
      <c r="X122" s="231"/>
      <c r="Y122" s="231"/>
      <c r="Z122" s="231"/>
      <c r="AA122" s="231"/>
      <c r="AB122" s="231">
        <v>0.28199999999999997</v>
      </c>
      <c r="AC122" s="231"/>
      <c r="AD122" s="231"/>
      <c r="AE122" s="231"/>
      <c r="AF122" s="231"/>
      <c r="AG122" s="231">
        <v>0.26300000000000001</v>
      </c>
      <c r="AH122" s="266" t="s">
        <v>24</v>
      </c>
      <c r="AI122" s="266" t="s">
        <v>24</v>
      </c>
      <c r="AJ122" s="266" t="s">
        <v>24</v>
      </c>
      <c r="AK122" s="266" t="s">
        <v>24</v>
      </c>
      <c r="AL122" s="231">
        <v>0.255</v>
      </c>
      <c r="AM122" s="266" t="s">
        <v>24</v>
      </c>
      <c r="AN122" s="266" t="s">
        <v>24</v>
      </c>
      <c r="AO122" s="266" t="s">
        <v>24</v>
      </c>
      <c r="AP122" s="266" t="s">
        <v>24</v>
      </c>
      <c r="AQ122" s="231">
        <v>0.252</v>
      </c>
      <c r="AR122" s="266" t="s">
        <v>24</v>
      </c>
      <c r="AS122" s="266" t="s">
        <v>24</v>
      </c>
      <c r="AT122" s="246">
        <v>0.22700000000000001</v>
      </c>
      <c r="AU122" s="246">
        <v>0.23100000000000001</v>
      </c>
      <c r="AV122" s="265">
        <v>0.23100000000000001</v>
      </c>
      <c r="AW122" s="266" t="s">
        <v>24</v>
      </c>
      <c r="AX122" s="266" t="s">
        <v>24</v>
      </c>
      <c r="AY122" s="265">
        <v>0.23300000000000001</v>
      </c>
      <c r="AZ122" s="265">
        <v>0.23599999999999999</v>
      </c>
      <c r="BA122" s="265">
        <v>0.23599999999999999</v>
      </c>
      <c r="BB122" s="266" t="s">
        <v>24</v>
      </c>
      <c r="BC122" s="266" t="s">
        <v>24</v>
      </c>
      <c r="BD122" s="265">
        <v>0.21</v>
      </c>
      <c r="BE122" s="265">
        <v>0.20699999999999999</v>
      </c>
      <c r="BF122" s="231">
        <v>0.20699999999999999</v>
      </c>
      <c r="BG122" s="266" t="s">
        <v>24</v>
      </c>
      <c r="BH122" s="266" t="s">
        <v>24</v>
      </c>
      <c r="BI122" s="266" t="s">
        <v>24</v>
      </c>
      <c r="BJ122" s="266" t="s">
        <v>24</v>
      </c>
      <c r="BK122" s="231">
        <v>0.21199999999999999</v>
      </c>
      <c r="BL122" s="266" t="s">
        <v>24</v>
      </c>
      <c r="BM122" s="266" t="s">
        <v>24</v>
      </c>
      <c r="BN122" s="265">
        <v>0.214</v>
      </c>
      <c r="BO122" s="265">
        <f>BP122</f>
        <v>0.223</v>
      </c>
      <c r="BP122" s="231">
        <v>0.223</v>
      </c>
      <c r="BQ122" s="266" t="s">
        <v>24</v>
      </c>
      <c r="BR122" s="266" t="s">
        <v>24</v>
      </c>
      <c r="BS122" s="265">
        <v>0.22600000000000001</v>
      </c>
      <c r="BT122" s="266" t="s">
        <v>24</v>
      </c>
      <c r="BU122" s="231">
        <v>0.22600000000000001</v>
      </c>
      <c r="BV122" s="49" t="s">
        <v>24</v>
      </c>
      <c r="BW122" s="49" t="s">
        <v>24</v>
      </c>
      <c r="BX122" s="49" t="s">
        <v>24</v>
      </c>
      <c r="BY122" s="49" t="s">
        <v>24</v>
      </c>
      <c r="BZ122" s="231">
        <v>0.22700000000000001</v>
      </c>
      <c r="CA122" s="49" t="s">
        <v>24</v>
      </c>
      <c r="CB122" s="49" t="s">
        <v>24</v>
      </c>
      <c r="CC122" s="35">
        <v>0.22800000000000001</v>
      </c>
      <c r="CD122" s="35">
        <f>CE122</f>
        <v>0.23400000000000001</v>
      </c>
      <c r="CE122" s="231">
        <v>0.23400000000000001</v>
      </c>
      <c r="CF122" s="49" t="s">
        <v>24</v>
      </c>
      <c r="CG122" s="49" t="s">
        <v>24</v>
      </c>
      <c r="CH122" s="35">
        <v>0.23300000000000001</v>
      </c>
      <c r="CI122" s="49" t="s">
        <v>24</v>
      </c>
      <c r="CJ122" s="216" t="s">
        <v>24</v>
      </c>
      <c r="CK122" s="49" t="s">
        <v>24</v>
      </c>
      <c r="CL122" s="49" t="s">
        <v>24</v>
      </c>
      <c r="CM122" s="35">
        <v>0.23100000000000001</v>
      </c>
      <c r="CN122" s="49" t="s">
        <v>24</v>
      </c>
      <c r="CO122" s="216" t="s">
        <v>24</v>
      </c>
    </row>
    <row r="123" spans="1:203" s="11" customFormat="1" ht="4.1500000000000004" customHeight="1">
      <c r="A123" s="1"/>
      <c r="B123" s="180"/>
      <c r="C123" s="180"/>
      <c r="D123" s="190"/>
      <c r="E123" s="190"/>
      <c r="F123" s="190"/>
      <c r="G123" s="190"/>
      <c r="H123" s="190"/>
      <c r="I123" s="190"/>
      <c r="J123" s="190"/>
      <c r="K123" s="190"/>
      <c r="L123" s="181"/>
      <c r="M123" s="181"/>
      <c r="N123" s="190"/>
      <c r="O123" s="190"/>
      <c r="P123" s="190"/>
      <c r="Q123" s="181"/>
      <c r="R123" s="181"/>
      <c r="S123" s="190"/>
      <c r="T123" s="190"/>
      <c r="U123" s="190"/>
      <c r="V123" s="181"/>
      <c r="W123" s="181"/>
      <c r="X123" s="190"/>
      <c r="Y123" s="190"/>
      <c r="Z123" s="190"/>
      <c r="AA123" s="181"/>
      <c r="AB123" s="181"/>
      <c r="AC123" s="190"/>
      <c r="AD123" s="190"/>
      <c r="AE123" s="190"/>
      <c r="AF123" s="181"/>
      <c r="AG123" s="181"/>
      <c r="AH123" s="190"/>
      <c r="AI123" s="190"/>
      <c r="AJ123" s="190"/>
      <c r="AK123" s="181"/>
      <c r="AL123" s="181"/>
      <c r="AM123" s="190"/>
      <c r="AN123" s="190"/>
      <c r="AO123" s="190"/>
      <c r="AP123" s="181"/>
      <c r="AQ123" s="181"/>
      <c r="AR123" s="190"/>
      <c r="AS123" s="190"/>
      <c r="AT123" s="190"/>
      <c r="AU123" s="181"/>
      <c r="AV123" s="181"/>
      <c r="AW123" s="190"/>
      <c r="AX123" s="190"/>
      <c r="AY123" s="190"/>
      <c r="AZ123" s="181"/>
      <c r="BA123" s="181"/>
      <c r="BB123" s="190"/>
      <c r="BC123" s="190"/>
      <c r="BD123" s="190"/>
      <c r="BE123" s="181"/>
      <c r="BF123" s="181"/>
      <c r="BG123" s="190"/>
      <c r="BH123" s="190"/>
      <c r="BI123" s="190"/>
      <c r="BJ123" s="181"/>
      <c r="BK123" s="181"/>
      <c r="BL123" s="190"/>
      <c r="BM123" s="190"/>
      <c r="BN123" s="190"/>
      <c r="BO123" s="181"/>
      <c r="BP123" s="181"/>
      <c r="BQ123" s="190"/>
      <c r="BR123" s="190"/>
      <c r="BS123" s="190"/>
      <c r="BT123" s="181"/>
      <c r="BU123" s="181"/>
      <c r="BV123" s="190"/>
      <c r="BW123" s="190"/>
      <c r="BX123" s="190"/>
      <c r="BY123" s="181"/>
      <c r="BZ123" s="181"/>
      <c r="CA123" s="190"/>
      <c r="CB123" s="190"/>
      <c r="CC123" s="190"/>
      <c r="CD123" s="181"/>
      <c r="CE123" s="181"/>
      <c r="CF123" s="190"/>
      <c r="CG123" s="190"/>
      <c r="CH123" s="190"/>
      <c r="CI123" s="181"/>
      <c r="CJ123" s="181"/>
      <c r="CK123" s="190"/>
      <c r="CL123" s="190"/>
      <c r="CM123" s="190"/>
      <c r="CN123" s="181"/>
      <c r="CO123" s="18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</row>
    <row r="124" spans="1:203" s="2" customFormat="1" ht="13.9" customHeight="1">
      <c r="B124" s="12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231"/>
      <c r="X124" s="231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66"/>
      <c r="AI124" s="266"/>
      <c r="AJ124" s="266"/>
      <c r="AK124" s="266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49"/>
      <c r="CG124" s="111"/>
      <c r="CH124" s="111"/>
      <c r="CI124" s="111"/>
      <c r="CJ124" s="111"/>
      <c r="CK124" s="49"/>
      <c r="CL124" s="111"/>
      <c r="CM124" s="111"/>
      <c r="CN124" s="111"/>
      <c r="CO124" s="111"/>
    </row>
    <row r="125" spans="1:203" ht="25.35" customHeight="1">
      <c r="B125" s="177" t="s">
        <v>12</v>
      </c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  <c r="AA125" s="183"/>
      <c r="AB125" s="183"/>
      <c r="AC125" s="183"/>
      <c r="AD125" s="183"/>
      <c r="AE125" s="183"/>
      <c r="AF125" s="183"/>
      <c r="AG125" s="183"/>
      <c r="AH125" s="183"/>
      <c r="AI125" s="183"/>
      <c r="AJ125" s="183"/>
      <c r="AK125" s="183"/>
      <c r="AL125" s="183"/>
      <c r="AM125" s="183"/>
      <c r="AN125" s="183"/>
      <c r="AO125" s="183"/>
      <c r="AP125" s="183"/>
      <c r="AQ125" s="183"/>
      <c r="AR125" s="183"/>
      <c r="AS125" s="183"/>
      <c r="AT125" s="183"/>
      <c r="AU125" s="183"/>
      <c r="AV125" s="183"/>
      <c r="AW125" s="183"/>
      <c r="AX125" s="183"/>
      <c r="AY125" s="183"/>
      <c r="AZ125" s="183"/>
      <c r="BA125" s="183"/>
      <c r="BB125" s="183"/>
      <c r="BC125" s="183"/>
      <c r="BD125" s="183"/>
      <c r="BE125" s="183"/>
      <c r="BF125" s="183"/>
      <c r="BG125" s="183"/>
      <c r="BH125" s="183"/>
      <c r="BI125" s="183"/>
      <c r="BJ125" s="183"/>
      <c r="BK125" s="183"/>
      <c r="BL125" s="183"/>
      <c r="BM125" s="183"/>
      <c r="BN125" s="183"/>
      <c r="BO125" s="183"/>
      <c r="BP125" s="183"/>
      <c r="BQ125" s="183"/>
      <c r="BR125" s="183"/>
      <c r="BS125" s="183"/>
      <c r="BT125" s="183"/>
      <c r="BU125" s="183"/>
      <c r="BV125" s="183"/>
      <c r="BW125" s="183"/>
      <c r="BX125" s="183"/>
      <c r="BY125" s="183"/>
      <c r="BZ125" s="183"/>
      <c r="CA125" s="183"/>
      <c r="CB125" s="183"/>
      <c r="CC125" s="183"/>
      <c r="CD125" s="183"/>
      <c r="CE125" s="183"/>
      <c r="CF125" s="183"/>
      <c r="CG125" s="183"/>
      <c r="CH125" s="183"/>
      <c r="CI125" s="183"/>
      <c r="CJ125" s="183"/>
      <c r="CK125" s="183"/>
      <c r="CL125" s="183"/>
      <c r="CM125" s="183"/>
      <c r="CN125" s="183"/>
      <c r="CO125" s="183"/>
    </row>
    <row r="126" spans="1:203" ht="13.9" customHeight="1">
      <c r="B126" s="201" t="s">
        <v>18</v>
      </c>
      <c r="C126" s="122"/>
      <c r="D126" s="283"/>
      <c r="E126" s="283"/>
      <c r="F126" s="283"/>
      <c r="G126" s="283"/>
      <c r="H126" s="122"/>
      <c r="I126" s="283"/>
      <c r="J126" s="283"/>
      <c r="K126" s="283"/>
      <c r="L126" s="283"/>
      <c r="M126" s="283"/>
      <c r="N126" s="283"/>
      <c r="O126" s="283"/>
      <c r="P126" s="283"/>
      <c r="Q126" s="283"/>
      <c r="R126" s="283"/>
      <c r="S126" s="283"/>
      <c r="T126" s="283"/>
      <c r="U126" s="283"/>
      <c r="V126" s="283"/>
      <c r="W126" s="283"/>
      <c r="X126" s="283"/>
      <c r="Y126" s="283"/>
      <c r="Z126" s="283"/>
      <c r="AA126" s="283"/>
      <c r="AB126" s="283"/>
      <c r="AC126" s="283"/>
      <c r="AD126" s="283"/>
      <c r="AE126" s="283"/>
      <c r="AF126" s="283"/>
      <c r="AG126" s="283"/>
      <c r="AH126" s="283"/>
      <c r="AI126" s="283"/>
      <c r="AJ126" s="283"/>
      <c r="AK126" s="283"/>
      <c r="AL126" s="283"/>
      <c r="AM126" s="283"/>
      <c r="AN126" s="283"/>
      <c r="AO126" s="283"/>
      <c r="AP126" s="283"/>
      <c r="AQ126" s="283"/>
      <c r="AR126" s="283"/>
      <c r="AS126" s="283"/>
      <c r="AT126" s="283"/>
      <c r="AU126" s="283"/>
      <c r="AV126" s="283"/>
      <c r="AW126" s="283"/>
      <c r="AX126" s="283"/>
      <c r="AY126" s="283"/>
      <c r="AZ126" s="283"/>
      <c r="BA126" s="283"/>
      <c r="BB126" s="283"/>
      <c r="BC126" s="283"/>
      <c r="BD126" s="283"/>
      <c r="BE126" s="283"/>
      <c r="BF126" s="283"/>
      <c r="BG126" s="283"/>
      <c r="BH126" s="283"/>
      <c r="BI126" s="283"/>
      <c r="BJ126" s="283"/>
      <c r="BK126" s="283"/>
      <c r="BL126" s="283"/>
      <c r="BM126" s="283"/>
      <c r="BN126" s="283"/>
      <c r="BO126" s="283"/>
      <c r="BP126" s="283"/>
      <c r="BQ126" s="283"/>
      <c r="BR126" s="283"/>
      <c r="BS126" s="283"/>
      <c r="BT126" s="283"/>
      <c r="BU126" s="283"/>
      <c r="BV126" s="283"/>
      <c r="BW126" s="283"/>
      <c r="BX126" s="283"/>
      <c r="BY126" s="283"/>
      <c r="BZ126" s="283"/>
      <c r="CA126" s="283"/>
      <c r="CB126" s="283"/>
      <c r="CC126" s="283"/>
      <c r="CD126" s="283"/>
      <c r="CE126" s="283"/>
      <c r="CF126" s="283"/>
      <c r="CG126" s="283"/>
      <c r="CH126" s="283"/>
      <c r="CI126" s="283"/>
      <c r="CJ126" s="283"/>
      <c r="CK126" s="283"/>
      <c r="CL126" s="283"/>
      <c r="CM126" s="283"/>
      <c r="CN126" s="283"/>
      <c r="CO126" s="283"/>
    </row>
    <row r="127" spans="1:203" ht="3.6" customHeight="1">
      <c r="B127" s="12"/>
      <c r="C127" s="5"/>
      <c r="D127" s="12"/>
      <c r="E127" s="12"/>
      <c r="F127" s="12"/>
      <c r="G127" s="12"/>
      <c r="H127" s="5"/>
      <c r="I127" s="12"/>
      <c r="J127" s="12"/>
      <c r="K127" s="12"/>
      <c r="L127" s="12"/>
      <c r="M127" s="3"/>
      <c r="N127" s="12"/>
      <c r="O127" s="12"/>
      <c r="P127" s="12"/>
      <c r="Q127" s="12"/>
      <c r="R127" s="3"/>
      <c r="S127" s="12"/>
      <c r="T127" s="12"/>
      <c r="U127" s="12"/>
      <c r="V127" s="12"/>
      <c r="W127" s="226"/>
      <c r="X127" s="234"/>
      <c r="Y127" s="234"/>
      <c r="Z127" s="234"/>
      <c r="AA127" s="234"/>
      <c r="AB127" s="226"/>
      <c r="AC127" s="234"/>
      <c r="AD127" s="234"/>
      <c r="AE127" s="234"/>
      <c r="AF127" s="234"/>
      <c r="AG127" s="226"/>
      <c r="AH127" s="234"/>
      <c r="AI127" s="234"/>
      <c r="AJ127" s="234"/>
      <c r="AK127" s="234"/>
      <c r="AL127" s="226"/>
      <c r="AM127" s="234"/>
      <c r="AN127" s="234"/>
      <c r="AO127" s="234"/>
      <c r="AP127" s="234"/>
      <c r="AQ127" s="226"/>
      <c r="AR127" s="234"/>
      <c r="AS127" s="234"/>
      <c r="AT127" s="234"/>
      <c r="AU127" s="234"/>
      <c r="AV127" s="226"/>
      <c r="AW127" s="234"/>
      <c r="AX127" s="234"/>
      <c r="AY127" s="234"/>
      <c r="AZ127" s="234"/>
      <c r="BA127" s="226"/>
      <c r="BB127" s="234"/>
      <c r="BC127" s="234"/>
      <c r="BD127" s="234"/>
      <c r="BE127" s="234"/>
      <c r="BF127" s="226"/>
      <c r="BG127" s="234"/>
      <c r="BH127" s="234"/>
      <c r="BI127" s="234"/>
      <c r="BJ127" s="234"/>
      <c r="BK127" s="226"/>
      <c r="BL127" s="234"/>
      <c r="BM127" s="234"/>
      <c r="BN127" s="234"/>
      <c r="BO127" s="234"/>
      <c r="BP127" s="226"/>
      <c r="BQ127" s="234"/>
      <c r="BR127" s="234"/>
      <c r="BS127" s="234"/>
      <c r="BT127" s="234"/>
      <c r="BU127" s="226"/>
      <c r="BV127" s="12"/>
      <c r="BW127" s="12"/>
      <c r="BX127" s="12"/>
      <c r="BY127" s="12"/>
      <c r="BZ127" s="226"/>
      <c r="CA127" s="12"/>
      <c r="CB127" s="12"/>
      <c r="CC127" s="12"/>
      <c r="CD127" s="12"/>
      <c r="CE127" s="226"/>
      <c r="CF127" s="12"/>
      <c r="CG127" s="12"/>
      <c r="CH127" s="12"/>
      <c r="CI127" s="12"/>
      <c r="CJ127" s="226"/>
      <c r="CK127" s="12"/>
      <c r="CL127" s="12"/>
      <c r="CM127" s="12"/>
      <c r="CN127" s="12"/>
      <c r="CO127" s="226"/>
    </row>
    <row r="128" spans="1:203" ht="13.9" customHeight="1">
      <c r="B128" s="12" t="s">
        <v>84</v>
      </c>
      <c r="C128" s="58">
        <v>2621</v>
      </c>
      <c r="D128" s="27" t="s">
        <v>25</v>
      </c>
      <c r="E128" s="27" t="s">
        <v>25</v>
      </c>
      <c r="F128" s="27" t="s">
        <v>25</v>
      </c>
      <c r="G128" s="27" t="s">
        <v>25</v>
      </c>
      <c r="H128" s="58">
        <v>2325</v>
      </c>
      <c r="I128" s="27" t="s">
        <v>25</v>
      </c>
      <c r="J128" s="27" t="s">
        <v>25</v>
      </c>
      <c r="K128" s="27" t="s">
        <v>25</v>
      </c>
      <c r="L128" s="27" t="s">
        <v>25</v>
      </c>
      <c r="M128" s="58">
        <v>2445</v>
      </c>
      <c r="N128" s="27" t="s">
        <v>25</v>
      </c>
      <c r="O128" s="27" t="s">
        <v>25</v>
      </c>
      <c r="P128" s="27" t="s">
        <v>25</v>
      </c>
      <c r="Q128" s="27" t="s">
        <v>25</v>
      </c>
      <c r="R128" s="58">
        <v>2112</v>
      </c>
      <c r="S128" s="49" t="s">
        <v>24</v>
      </c>
      <c r="T128" s="49" t="s">
        <v>24</v>
      </c>
      <c r="U128" s="49" t="s">
        <v>24</v>
      </c>
      <c r="V128" s="49" t="s">
        <v>24</v>
      </c>
      <c r="W128" s="270">
        <v>2262</v>
      </c>
      <c r="X128" s="266" t="s">
        <v>24</v>
      </c>
      <c r="Y128" s="266" t="s">
        <v>24</v>
      </c>
      <c r="Z128" s="266" t="s">
        <v>24</v>
      </c>
      <c r="AA128" s="266" t="s">
        <v>24</v>
      </c>
      <c r="AB128" s="270">
        <v>2102</v>
      </c>
      <c r="AC128" s="266" t="s">
        <v>24</v>
      </c>
      <c r="AD128" s="266" t="s">
        <v>24</v>
      </c>
      <c r="AE128" s="266" t="s">
        <v>24</v>
      </c>
      <c r="AF128" s="266" t="s">
        <v>24</v>
      </c>
      <c r="AG128" s="270">
        <v>2007</v>
      </c>
      <c r="AH128" s="266" t="s">
        <v>24</v>
      </c>
      <c r="AI128" s="266" t="s">
        <v>24</v>
      </c>
      <c r="AJ128" s="266" t="s">
        <v>24</v>
      </c>
      <c r="AK128" s="210">
        <v>1932</v>
      </c>
      <c r="AL128" s="270">
        <v>1932</v>
      </c>
      <c r="AM128" s="266" t="s">
        <v>24</v>
      </c>
      <c r="AN128" s="266" t="s">
        <v>24</v>
      </c>
      <c r="AO128" s="266" t="s">
        <v>24</v>
      </c>
      <c r="AP128" s="210">
        <v>1966</v>
      </c>
      <c r="AQ128" s="270">
        <v>1966</v>
      </c>
      <c r="AR128" s="266" t="s">
        <v>24</v>
      </c>
      <c r="AS128" s="266" t="s">
        <v>24</v>
      </c>
      <c r="AT128" s="266" t="s">
        <v>24</v>
      </c>
      <c r="AU128" s="210">
        <v>1905</v>
      </c>
      <c r="AV128" s="270">
        <v>1905</v>
      </c>
      <c r="AW128" s="266" t="s">
        <v>24</v>
      </c>
      <c r="AX128" s="266" t="s">
        <v>24</v>
      </c>
      <c r="AY128" s="266" t="s">
        <v>24</v>
      </c>
      <c r="AZ128" s="210">
        <v>1864</v>
      </c>
      <c r="BA128" s="270">
        <v>1864</v>
      </c>
      <c r="BB128" s="266" t="s">
        <v>24</v>
      </c>
      <c r="BC128" s="266" t="s">
        <v>24</v>
      </c>
      <c r="BD128" s="266" t="s">
        <v>24</v>
      </c>
      <c r="BE128" s="210">
        <f>BF128</f>
        <v>1653</v>
      </c>
      <c r="BF128" s="270">
        <v>1653</v>
      </c>
      <c r="BG128" s="266" t="s">
        <v>24</v>
      </c>
      <c r="BH128" s="266" t="s">
        <v>24</v>
      </c>
      <c r="BI128" s="266" t="s">
        <v>24</v>
      </c>
      <c r="BJ128" s="210">
        <f>BK128</f>
        <v>1419</v>
      </c>
      <c r="BK128" s="270">
        <v>1419</v>
      </c>
      <c r="BL128" s="266" t="s">
        <v>24</v>
      </c>
      <c r="BM128" s="266" t="s">
        <v>24</v>
      </c>
      <c r="BN128" s="266" t="s">
        <v>24</v>
      </c>
      <c r="BO128" s="210">
        <v>1311</v>
      </c>
      <c r="BP128" s="270">
        <v>1311</v>
      </c>
      <c r="BQ128" s="266" t="s">
        <v>24</v>
      </c>
      <c r="BR128" s="266" t="s">
        <v>24</v>
      </c>
      <c r="BS128" s="266" t="s">
        <v>24</v>
      </c>
      <c r="BT128" s="210">
        <f>BU128</f>
        <v>1121</v>
      </c>
      <c r="BU128" s="270">
        <v>1121</v>
      </c>
      <c r="BV128" s="49" t="s">
        <v>24</v>
      </c>
      <c r="BW128" s="49" t="s">
        <v>24</v>
      </c>
      <c r="BX128" s="49" t="s">
        <v>24</v>
      </c>
      <c r="BY128" s="19">
        <f>BZ128</f>
        <v>949</v>
      </c>
      <c r="BZ128" s="270">
        <v>949</v>
      </c>
      <c r="CA128" s="49" t="s">
        <v>24</v>
      </c>
      <c r="CB128" s="49" t="s">
        <v>24</v>
      </c>
      <c r="CC128" s="49" t="s">
        <v>24</v>
      </c>
      <c r="CD128" s="19">
        <f>CE128</f>
        <v>699</v>
      </c>
      <c r="CE128" s="270">
        <v>699</v>
      </c>
      <c r="CF128" s="49" t="s">
        <v>24</v>
      </c>
      <c r="CG128" s="49" t="s">
        <v>24</v>
      </c>
      <c r="CH128" s="49" t="s">
        <v>24</v>
      </c>
      <c r="CI128" s="19">
        <f>CJ128</f>
        <v>597</v>
      </c>
      <c r="CJ128" s="270">
        <v>597</v>
      </c>
      <c r="CK128" s="49" t="s">
        <v>24</v>
      </c>
      <c r="CL128" s="49" t="s">
        <v>24</v>
      </c>
      <c r="CM128" s="49" t="s">
        <v>24</v>
      </c>
      <c r="CN128" s="19">
        <f>CO128</f>
        <v>535</v>
      </c>
      <c r="CO128" s="270">
        <v>535</v>
      </c>
    </row>
    <row r="129" spans="1:203" ht="13.9" customHeight="1">
      <c r="B129" s="20" t="s">
        <v>6</v>
      </c>
      <c r="C129" s="4"/>
      <c r="D129" s="22"/>
      <c r="E129" s="22"/>
      <c r="F129" s="22"/>
      <c r="G129" s="22"/>
      <c r="H129" s="4">
        <f>H128/C128-1</f>
        <v>-0.11293399465852727</v>
      </c>
      <c r="I129" s="22"/>
      <c r="J129" s="22"/>
      <c r="K129" s="22"/>
      <c r="L129" s="21"/>
      <c r="M129" s="4">
        <f>M128/H128-1</f>
        <v>5.1612903225806361E-2</v>
      </c>
      <c r="N129" s="22"/>
      <c r="O129" s="22"/>
      <c r="P129" s="22"/>
      <c r="Q129" s="21"/>
      <c r="R129" s="4">
        <f>R128/M128-1</f>
        <v>-0.1361963190184049</v>
      </c>
      <c r="S129" s="22"/>
      <c r="T129" s="22"/>
      <c r="U129" s="22"/>
      <c r="V129" s="21"/>
      <c r="W129" s="211">
        <f>W128/R128-1</f>
        <v>7.1022727272727293E-2</v>
      </c>
      <c r="X129" s="211"/>
      <c r="Y129" s="211"/>
      <c r="Z129" s="211"/>
      <c r="AA129" s="212"/>
      <c r="AB129" s="211">
        <f>AB128/W128-1</f>
        <v>-7.0733863837312061E-2</v>
      </c>
      <c r="AC129" s="211"/>
      <c r="AD129" s="211"/>
      <c r="AE129" s="211"/>
      <c r="AF129" s="212"/>
      <c r="AG129" s="211">
        <f>AG128/AB128-1</f>
        <v>-4.5195052331113206E-2</v>
      </c>
      <c r="AH129" s="211"/>
      <c r="AI129" s="211"/>
      <c r="AJ129" s="211"/>
      <c r="AK129" s="212"/>
      <c r="AL129" s="211">
        <f>AL128/AG128-1</f>
        <v>-3.7369207772795177E-2</v>
      </c>
      <c r="AM129" s="211"/>
      <c r="AN129" s="211"/>
      <c r="AO129" s="211"/>
      <c r="AP129" s="212"/>
      <c r="AQ129" s="211">
        <f>AQ128/AL128-1</f>
        <v>1.7598343685300222E-2</v>
      </c>
      <c r="AR129" s="211"/>
      <c r="AS129" s="211"/>
      <c r="AT129" s="211"/>
      <c r="AU129" s="212"/>
      <c r="AV129" s="211">
        <f>AV128/AQ128-1</f>
        <v>-3.1027466937945114E-2</v>
      </c>
      <c r="AW129" s="211"/>
      <c r="AX129" s="211"/>
      <c r="AY129" s="211"/>
      <c r="AZ129" s="212"/>
      <c r="BA129" s="211">
        <f>BA128/AV128-1</f>
        <v>-2.1522309711286103E-2</v>
      </c>
      <c r="BB129" s="211"/>
      <c r="BC129" s="211"/>
      <c r="BD129" s="211"/>
      <c r="BE129" s="212"/>
      <c r="BF129" s="211">
        <f>BF128/BA128-1</f>
        <v>-0.1131974248927039</v>
      </c>
      <c r="BG129" s="211"/>
      <c r="BH129" s="211"/>
      <c r="BI129" s="211"/>
      <c r="BJ129" s="212"/>
      <c r="BK129" s="211">
        <f>BK128/BF128-1</f>
        <v>-0.14156079854809434</v>
      </c>
      <c r="BL129" s="211"/>
      <c r="BM129" s="211"/>
      <c r="BN129" s="211"/>
      <c r="BO129" s="212"/>
      <c r="BP129" s="211">
        <f>BP128/BK128-1</f>
        <v>-7.6109936575052828E-2</v>
      </c>
      <c r="BQ129" s="211"/>
      <c r="BR129" s="211"/>
      <c r="BS129" s="211"/>
      <c r="BT129" s="212"/>
      <c r="BU129" s="211">
        <f>BU128/BP128-1</f>
        <v>-0.14492753623188404</v>
      </c>
      <c r="BV129" s="22"/>
      <c r="BW129" s="22"/>
      <c r="BX129" s="22"/>
      <c r="BY129" s="21"/>
      <c r="BZ129" s="211">
        <f>BZ128/BU128-1</f>
        <v>-0.15343443354148079</v>
      </c>
      <c r="CA129" s="22"/>
      <c r="CB129" s="22"/>
      <c r="CC129" s="22"/>
      <c r="CD129" s="21"/>
      <c r="CE129" s="211">
        <f>CE128/BZ128-1</f>
        <v>-0.26343519494204426</v>
      </c>
      <c r="CF129" s="22"/>
      <c r="CG129" s="22"/>
      <c r="CH129" s="22"/>
      <c r="CI129" s="21"/>
      <c r="CJ129" s="211">
        <f>CJ128/CE128-1</f>
        <v>-0.14592274678111583</v>
      </c>
      <c r="CK129" s="22"/>
      <c r="CL129" s="22"/>
      <c r="CM129" s="22"/>
      <c r="CN129" s="21"/>
      <c r="CO129" s="211">
        <f>CO128/CJ128-1</f>
        <v>-0.10385259631490784</v>
      </c>
    </row>
    <row r="130" spans="1:203" ht="13.9" customHeight="1">
      <c r="B130" s="12" t="s">
        <v>555</v>
      </c>
      <c r="C130" s="4"/>
      <c r="D130" s="22"/>
      <c r="E130" s="22"/>
      <c r="F130" s="22"/>
      <c r="G130" s="22"/>
      <c r="H130" s="4"/>
      <c r="I130" s="22"/>
      <c r="J130" s="22"/>
      <c r="K130" s="22"/>
      <c r="L130" s="21"/>
      <c r="M130" s="4"/>
      <c r="N130" s="22"/>
      <c r="O130" s="22"/>
      <c r="P130" s="22"/>
      <c r="Q130" s="21"/>
      <c r="R130" s="4"/>
      <c r="S130" s="22"/>
      <c r="T130" s="22"/>
      <c r="U130" s="22"/>
      <c r="V130" s="21"/>
      <c r="W130" s="211"/>
      <c r="X130" s="211"/>
      <c r="Y130" s="211"/>
      <c r="Z130" s="211"/>
      <c r="AA130" s="212"/>
      <c r="AB130" s="211"/>
      <c r="AC130" s="211"/>
      <c r="AD130" s="211"/>
      <c r="AE130" s="211"/>
      <c r="AF130" s="212"/>
      <c r="AG130" s="211"/>
      <c r="AH130" s="211"/>
      <c r="AI130" s="211"/>
      <c r="AJ130" s="211"/>
      <c r="AK130" s="212"/>
      <c r="AL130" s="211"/>
      <c r="AM130" s="211"/>
      <c r="AN130" s="211"/>
      <c r="AO130" s="211"/>
      <c r="AP130" s="212"/>
      <c r="AQ130" s="211"/>
      <c r="AR130" s="211"/>
      <c r="AS130" s="211"/>
      <c r="AT130" s="211"/>
      <c r="AU130" s="212"/>
      <c r="AV130" s="211"/>
      <c r="AW130" s="211"/>
      <c r="AX130" s="211"/>
      <c r="AY130" s="211"/>
      <c r="AZ130" s="212"/>
      <c r="BA130" s="211"/>
      <c r="BB130" s="211"/>
      <c r="BC130" s="211"/>
      <c r="BD130" s="211"/>
      <c r="BE130" s="212"/>
      <c r="BF130" s="211"/>
      <c r="BG130" s="211"/>
      <c r="BH130" s="211"/>
      <c r="BI130" s="211"/>
      <c r="BJ130" s="212"/>
      <c r="BK130" s="211"/>
      <c r="BL130" s="211"/>
      <c r="BM130" s="211"/>
      <c r="BN130" s="211"/>
      <c r="BO130" s="212"/>
      <c r="BP130" s="211"/>
      <c r="BQ130" s="211"/>
      <c r="BR130" s="211"/>
      <c r="BS130" s="211"/>
      <c r="BT130" s="212"/>
      <c r="BU130" s="211"/>
      <c r="BV130" s="22"/>
      <c r="BW130" s="22"/>
      <c r="BX130" s="22"/>
      <c r="BY130" s="22"/>
      <c r="BZ130" s="211"/>
      <c r="CA130" s="22"/>
      <c r="CB130" s="22"/>
      <c r="CC130" s="22"/>
      <c r="CD130" s="21"/>
      <c r="CE130" s="211"/>
      <c r="CF130" s="49" t="s">
        <v>24</v>
      </c>
      <c r="CG130" s="49" t="s">
        <v>24</v>
      </c>
      <c r="CH130" s="49" t="s">
        <v>24</v>
      </c>
      <c r="CI130" s="19">
        <f>CJ130</f>
        <v>599</v>
      </c>
      <c r="CJ130" s="270">
        <v>599</v>
      </c>
      <c r="CK130" s="49" t="s">
        <v>24</v>
      </c>
      <c r="CL130" s="49" t="s">
        <v>24</v>
      </c>
      <c r="CM130" s="49" t="s">
        <v>24</v>
      </c>
      <c r="CN130" s="19">
        <f>CO130</f>
        <v>542</v>
      </c>
      <c r="CO130" s="270">
        <v>542</v>
      </c>
    </row>
    <row r="131" spans="1:203">
      <c r="B131" s="20" t="s">
        <v>6</v>
      </c>
      <c r="AL131" s="211"/>
      <c r="AM131" s="21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11"/>
      <c r="BH131" s="211"/>
      <c r="BI131" s="211"/>
      <c r="BJ131" s="211"/>
      <c r="BK131" s="211"/>
      <c r="BL131" s="211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2"/>
      <c r="BW131" s="22"/>
      <c r="BX131" s="22"/>
      <c r="BY131" s="22"/>
      <c r="BZ131" s="211"/>
      <c r="CE131" s="211"/>
      <c r="CJ131" s="211"/>
      <c r="CO131" s="211">
        <f>CO130/CJ130-1</f>
        <v>-9.5158597662771238E-2</v>
      </c>
    </row>
    <row r="132" spans="1:203" ht="13.9" customHeight="1">
      <c r="B132" s="12" t="s">
        <v>99</v>
      </c>
      <c r="C132" s="37" t="s">
        <v>25</v>
      </c>
      <c r="D132" s="27" t="s">
        <v>25</v>
      </c>
      <c r="E132" s="27" t="s">
        <v>25</v>
      </c>
      <c r="F132" s="27" t="s">
        <v>25</v>
      </c>
      <c r="G132" s="27" t="s">
        <v>25</v>
      </c>
      <c r="H132" s="37" t="s">
        <v>25</v>
      </c>
      <c r="I132" s="26">
        <v>3.9E-2</v>
      </c>
      <c r="J132" s="26">
        <v>3.5999999999999997E-2</v>
      </c>
      <c r="K132" s="26">
        <v>3.4000000000000002E-2</v>
      </c>
      <c r="L132" s="26">
        <v>3.9E-2</v>
      </c>
      <c r="M132" s="10">
        <v>0.14799999999999999</v>
      </c>
      <c r="N132" s="26">
        <v>3.2000000000000001E-2</v>
      </c>
      <c r="O132" s="26">
        <v>2.9000000000000001E-2</v>
      </c>
      <c r="P132" s="26">
        <v>3.2000000000000001E-2</v>
      </c>
      <c r="Q132" s="26">
        <v>3.5000000000000003E-2</v>
      </c>
      <c r="R132" s="10">
        <v>0.127</v>
      </c>
      <c r="S132" s="26">
        <v>2.9000000000000001E-2</v>
      </c>
      <c r="T132" s="26">
        <v>2.8000000000000001E-2</v>
      </c>
      <c r="U132" s="26">
        <v>3.2000000000000001E-2</v>
      </c>
      <c r="V132" s="26">
        <v>3.6999999999999998E-2</v>
      </c>
      <c r="W132" s="265">
        <v>0.126</v>
      </c>
      <c r="X132" s="231">
        <v>4.2999999999999997E-2</v>
      </c>
      <c r="Y132" s="231">
        <v>4.1000000000000002E-2</v>
      </c>
      <c r="Z132" s="231">
        <v>4.5999999999999999E-2</v>
      </c>
      <c r="AA132" s="231">
        <v>5.5E-2</v>
      </c>
      <c r="AB132" s="265">
        <v>0.184</v>
      </c>
      <c r="AC132" s="231">
        <v>4.2000000000000003E-2</v>
      </c>
      <c r="AD132" s="231">
        <v>4.4999999999999998E-2</v>
      </c>
      <c r="AE132" s="231">
        <v>4.7E-2</v>
      </c>
      <c r="AF132" s="231">
        <v>4.5999999999999999E-2</v>
      </c>
      <c r="AG132" s="265">
        <v>0.18</v>
      </c>
      <c r="AH132" s="231">
        <v>0.04</v>
      </c>
      <c r="AI132" s="231">
        <v>3.6999999999999998E-2</v>
      </c>
      <c r="AJ132" s="231">
        <v>4.4999999999999998E-2</v>
      </c>
      <c r="AK132" s="231">
        <v>4.7E-2</v>
      </c>
      <c r="AL132" s="265">
        <v>0.17</v>
      </c>
      <c r="AM132" s="231">
        <v>4.1000000000000002E-2</v>
      </c>
      <c r="AN132" s="231">
        <v>4.2000000000000003E-2</v>
      </c>
      <c r="AO132" s="231">
        <v>4.3999999999999997E-2</v>
      </c>
      <c r="AP132" s="231">
        <v>4.5999999999999999E-2</v>
      </c>
      <c r="AQ132" s="265">
        <v>0.17299999999999999</v>
      </c>
      <c r="AR132" s="231">
        <v>5.1999999999999998E-2</v>
      </c>
      <c r="AS132" s="231">
        <v>4.4999999999999998E-2</v>
      </c>
      <c r="AT132" s="231">
        <v>5.5E-2</v>
      </c>
      <c r="AU132" s="265">
        <f>AV132-AT132-AS132-AR132</f>
        <v>5.1999999999999998E-2</v>
      </c>
      <c r="AV132" s="265">
        <v>0.20399999999999999</v>
      </c>
      <c r="AW132" s="231">
        <v>5.2999999999999999E-2</v>
      </c>
      <c r="AX132" s="231">
        <v>0.05</v>
      </c>
      <c r="AY132" s="231">
        <v>6.3E-2</v>
      </c>
      <c r="AZ132" s="265">
        <f>BA132-AY132-AX132-AW132</f>
        <v>6.8000000000000005E-2</v>
      </c>
      <c r="BA132" s="265">
        <v>0.23400000000000001</v>
      </c>
      <c r="BB132" s="231">
        <v>0.06</v>
      </c>
      <c r="BC132" s="231">
        <v>0.06</v>
      </c>
      <c r="BD132" s="231">
        <v>5.8000000000000003E-2</v>
      </c>
      <c r="BE132" s="265">
        <f>BF132-BD132-BC132-BB132</f>
        <v>7.7000000000000013E-2</v>
      </c>
      <c r="BF132" s="265">
        <v>0.255</v>
      </c>
      <c r="BG132" s="231">
        <v>6.6000000000000003E-2</v>
      </c>
      <c r="BH132" s="231">
        <v>6.2E-2</v>
      </c>
      <c r="BI132" s="231">
        <v>7.0999999999999994E-2</v>
      </c>
      <c r="BJ132" s="265">
        <v>6.3E-2</v>
      </c>
      <c r="BK132" s="265">
        <f>BJ132+BI132+BH132+BG132</f>
        <v>0.26200000000000001</v>
      </c>
      <c r="BL132" s="231">
        <v>6.7000000000000004E-2</v>
      </c>
      <c r="BM132" s="231">
        <v>6.0999999999999999E-2</v>
      </c>
      <c r="BN132" s="231">
        <v>7.1999999999999995E-2</v>
      </c>
      <c r="BO132" s="265">
        <f>BP132-BN132-BM132-BL132</f>
        <v>0.10199999999999998</v>
      </c>
      <c r="BP132" s="265">
        <v>0.30199999999999999</v>
      </c>
      <c r="BQ132" s="231">
        <v>7.9000000000000001E-2</v>
      </c>
      <c r="BR132" s="231">
        <v>0.06</v>
      </c>
      <c r="BS132" s="231">
        <v>5.5E-2</v>
      </c>
      <c r="BT132" s="265">
        <f>BU132-BS132-BR132-BQ132</f>
        <v>5.9000000000000011E-2</v>
      </c>
      <c r="BU132" s="265">
        <v>0.253</v>
      </c>
      <c r="BV132" s="26">
        <v>7.2999999999999995E-2</v>
      </c>
      <c r="BW132" s="26">
        <v>0.129</v>
      </c>
      <c r="BX132" s="26">
        <v>0.124</v>
      </c>
      <c r="BY132" s="35">
        <v>0.15</v>
      </c>
      <c r="BZ132" s="265">
        <v>0.46500000000000002</v>
      </c>
      <c r="CA132" s="26">
        <v>0.14699999999999999</v>
      </c>
      <c r="CB132" s="26">
        <v>0.1</v>
      </c>
      <c r="CC132" s="26">
        <v>0.11</v>
      </c>
      <c r="CD132" s="35">
        <v>0.09</v>
      </c>
      <c r="CE132" s="265">
        <v>0.45600000000000002</v>
      </c>
      <c r="CF132" s="26">
        <v>0.08</v>
      </c>
      <c r="CG132" s="26">
        <v>0.107</v>
      </c>
      <c r="CH132" s="26">
        <v>9.8000000000000004E-2</v>
      </c>
      <c r="CI132" s="35">
        <v>6.6000000000000003E-2</v>
      </c>
      <c r="CJ132" s="265">
        <v>0.35299999999999998</v>
      </c>
      <c r="CK132" s="26">
        <v>6.3E-2</v>
      </c>
      <c r="CL132" s="26">
        <v>5.0999999999999997E-2</v>
      </c>
      <c r="CM132" s="26">
        <v>5.7000000000000002E-2</v>
      </c>
      <c r="CN132" s="35">
        <v>0.05</v>
      </c>
      <c r="CO132" s="265">
        <v>0.222</v>
      </c>
    </row>
    <row r="133" spans="1:203" ht="6" customHeight="1">
      <c r="B133" s="12"/>
      <c r="C133" s="37"/>
      <c r="D133" s="27"/>
      <c r="E133" s="27"/>
      <c r="F133" s="27"/>
      <c r="G133" s="27"/>
      <c r="H133" s="37"/>
      <c r="I133" s="26"/>
      <c r="J133" s="26"/>
      <c r="K133" s="26"/>
      <c r="L133" s="26"/>
      <c r="M133" s="10"/>
      <c r="N133" s="26"/>
      <c r="O133" s="26"/>
      <c r="P133" s="26"/>
      <c r="Q133" s="26"/>
      <c r="R133" s="10"/>
      <c r="S133" s="26"/>
      <c r="T133" s="26"/>
      <c r="U133" s="26"/>
      <c r="V133" s="26"/>
      <c r="W133" s="265"/>
      <c r="X133" s="231"/>
      <c r="Y133" s="231"/>
      <c r="Z133" s="231"/>
      <c r="AA133" s="231"/>
      <c r="AB133" s="265"/>
      <c r="AC133" s="231"/>
      <c r="AD133" s="231"/>
      <c r="AE133" s="231"/>
      <c r="AF133" s="231"/>
      <c r="AG133" s="265"/>
      <c r="AH133" s="231"/>
      <c r="AI133" s="231"/>
      <c r="AJ133" s="231"/>
      <c r="AK133" s="231"/>
      <c r="AL133" s="265"/>
      <c r="AM133" s="231"/>
      <c r="AN133" s="231"/>
      <c r="AO133" s="231"/>
      <c r="AP133" s="231"/>
      <c r="AQ133" s="265"/>
      <c r="AR133" s="231"/>
      <c r="AS133" s="231"/>
      <c r="AT133" s="231"/>
      <c r="AU133" s="231"/>
      <c r="AV133" s="265"/>
      <c r="AW133" s="231"/>
      <c r="AX133" s="231"/>
      <c r="AY133" s="231"/>
      <c r="AZ133" s="231"/>
      <c r="BA133" s="265"/>
      <c r="BB133" s="231"/>
      <c r="BC133" s="231"/>
      <c r="BD133" s="231"/>
      <c r="BE133" s="231"/>
      <c r="BF133" s="265"/>
      <c r="BG133" s="231"/>
      <c r="BH133" s="231"/>
      <c r="BI133" s="231"/>
      <c r="BJ133" s="231"/>
      <c r="BK133" s="265"/>
      <c r="BL133" s="231"/>
      <c r="BM133" s="231"/>
      <c r="BN133" s="231"/>
      <c r="BO133" s="231"/>
      <c r="BP133" s="265"/>
      <c r="BQ133" s="231"/>
      <c r="BR133" s="231"/>
      <c r="BS133" s="231"/>
      <c r="BT133" s="231"/>
      <c r="BU133" s="265"/>
      <c r="BV133" s="26"/>
      <c r="BW133" s="26"/>
      <c r="BX133" s="26"/>
      <c r="BY133" s="26"/>
      <c r="BZ133" s="265"/>
      <c r="CA133" s="26"/>
      <c r="CB133" s="26"/>
      <c r="CC133" s="26"/>
      <c r="CD133" s="26"/>
      <c r="CE133" s="265"/>
      <c r="CF133" s="26"/>
      <c r="CG133" s="26"/>
      <c r="CH133" s="26"/>
      <c r="CI133" s="26"/>
      <c r="CJ133" s="265"/>
      <c r="CK133" s="26"/>
      <c r="CL133" s="26"/>
      <c r="CM133" s="26"/>
      <c r="CN133" s="26"/>
      <c r="CO133" s="265"/>
    </row>
    <row r="134" spans="1:203" s="11" customFormat="1" ht="4.1500000000000004" customHeight="1">
      <c r="A134" s="1"/>
      <c r="B134" s="180"/>
      <c r="C134" s="180"/>
      <c r="D134" s="190"/>
      <c r="E134" s="190"/>
      <c r="F134" s="190"/>
      <c r="G134" s="190"/>
      <c r="H134" s="190"/>
      <c r="I134" s="190"/>
      <c r="J134" s="190"/>
      <c r="K134" s="190"/>
      <c r="L134" s="181"/>
      <c r="M134" s="181"/>
      <c r="N134" s="190"/>
      <c r="O134" s="190"/>
      <c r="P134" s="190"/>
      <c r="Q134" s="181"/>
      <c r="R134" s="181"/>
      <c r="S134" s="190"/>
      <c r="T134" s="190"/>
      <c r="U134" s="190"/>
      <c r="V134" s="181"/>
      <c r="W134" s="181"/>
      <c r="X134" s="190"/>
      <c r="Y134" s="190"/>
      <c r="Z134" s="190"/>
      <c r="AA134" s="181"/>
      <c r="AB134" s="181"/>
      <c r="AC134" s="190"/>
      <c r="AD134" s="190"/>
      <c r="AE134" s="190"/>
      <c r="AF134" s="181"/>
      <c r="AG134" s="181"/>
      <c r="AH134" s="190"/>
      <c r="AI134" s="190"/>
      <c r="AJ134" s="190"/>
      <c r="AK134" s="181"/>
      <c r="AL134" s="181"/>
      <c r="AM134" s="190"/>
      <c r="AN134" s="190"/>
      <c r="AO134" s="190"/>
      <c r="AP134" s="181"/>
      <c r="AQ134" s="181"/>
      <c r="AR134" s="190"/>
      <c r="AS134" s="190"/>
      <c r="AT134" s="190"/>
      <c r="AU134" s="181"/>
      <c r="AV134" s="181"/>
      <c r="AW134" s="190"/>
      <c r="AX134" s="190"/>
      <c r="AY134" s="190"/>
      <c r="AZ134" s="181"/>
      <c r="BA134" s="181"/>
      <c r="BB134" s="190"/>
      <c r="BC134" s="190"/>
      <c r="BD134" s="190"/>
      <c r="BE134" s="181"/>
      <c r="BF134" s="181"/>
      <c r="BG134" s="190"/>
      <c r="BH134" s="190"/>
      <c r="BI134" s="190"/>
      <c r="BJ134" s="181"/>
      <c r="BK134" s="181"/>
      <c r="BL134" s="190"/>
      <c r="BM134" s="190"/>
      <c r="BN134" s="190"/>
      <c r="BO134" s="181"/>
      <c r="BP134" s="181"/>
      <c r="BQ134" s="190"/>
      <c r="BR134" s="190"/>
      <c r="BS134" s="190"/>
      <c r="BT134" s="181"/>
      <c r="BU134" s="181"/>
      <c r="BV134" s="190"/>
      <c r="BW134" s="190"/>
      <c r="BX134" s="190"/>
      <c r="BY134" s="181"/>
      <c r="BZ134" s="181"/>
      <c r="CA134" s="190"/>
      <c r="CB134" s="190"/>
      <c r="CC134" s="190"/>
      <c r="CD134" s="181"/>
      <c r="CE134" s="181"/>
      <c r="CF134" s="190"/>
      <c r="CG134" s="190"/>
      <c r="CH134" s="190"/>
      <c r="CI134" s="181"/>
      <c r="CJ134" s="181"/>
      <c r="CK134" s="190"/>
      <c r="CL134" s="190"/>
      <c r="CM134" s="190"/>
      <c r="CN134" s="181"/>
      <c r="CO134" s="18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</row>
    <row r="135" spans="1:203" ht="13.9" customHeight="1">
      <c r="B135" s="12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231"/>
      <c r="X135" s="231"/>
      <c r="Y135" s="231"/>
      <c r="Z135" s="231"/>
      <c r="AA135" s="231"/>
      <c r="AB135" s="231"/>
      <c r="AC135" s="231"/>
      <c r="AD135" s="231"/>
      <c r="AE135" s="231"/>
      <c r="AF135" s="231"/>
      <c r="AG135" s="231"/>
      <c r="AH135" s="266"/>
      <c r="AI135" s="266"/>
      <c r="AJ135" s="266"/>
      <c r="AK135" s="266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49"/>
      <c r="CG135" s="111"/>
      <c r="CH135" s="111"/>
      <c r="CI135" s="111"/>
      <c r="CJ135" s="111"/>
      <c r="CK135" s="49"/>
      <c r="CL135" s="111"/>
      <c r="CM135" s="111"/>
      <c r="CN135" s="111"/>
      <c r="CO135" s="111"/>
    </row>
    <row r="136" spans="1:203" s="11" customFormat="1" ht="4.1500000000000004" customHeight="1">
      <c r="A136" s="1"/>
      <c r="B136" s="192"/>
      <c r="C136" s="190"/>
      <c r="D136" s="190"/>
      <c r="E136" s="190"/>
      <c r="F136" s="190"/>
      <c r="G136" s="190"/>
      <c r="H136" s="190"/>
      <c r="I136" s="190"/>
      <c r="J136" s="190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0"/>
      <c r="BN136" s="190"/>
      <c r="BO136" s="190"/>
      <c r="BP136" s="190"/>
      <c r="BQ136" s="190"/>
      <c r="BR136" s="190"/>
      <c r="BS136" s="190"/>
      <c r="BT136" s="190"/>
      <c r="BU136" s="190"/>
      <c r="BV136" s="190"/>
      <c r="BW136" s="190"/>
      <c r="BX136" s="190"/>
      <c r="BY136" s="190"/>
      <c r="BZ136" s="190"/>
      <c r="CA136" s="190"/>
      <c r="CB136" s="190"/>
      <c r="CC136" s="190"/>
      <c r="CD136" s="190"/>
      <c r="CE136" s="190"/>
      <c r="CF136" s="190"/>
      <c r="CG136" s="190"/>
      <c r="CH136" s="190"/>
      <c r="CI136" s="190"/>
      <c r="CJ136" s="190"/>
      <c r="CK136" s="190"/>
      <c r="CL136" s="190"/>
      <c r="CM136" s="190"/>
      <c r="CN136" s="190"/>
      <c r="CO136" s="190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</row>
    <row r="137" spans="1:203" s="1" customFormat="1" ht="25.35" customHeight="1">
      <c r="B137" s="177" t="s">
        <v>16</v>
      </c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3"/>
      <c r="AO137" s="183"/>
      <c r="AP137" s="183"/>
      <c r="AQ137" s="183"/>
      <c r="AR137" s="183"/>
      <c r="AS137" s="183"/>
      <c r="AT137" s="183"/>
      <c r="AU137" s="183"/>
      <c r="AV137" s="183"/>
      <c r="AW137" s="183"/>
      <c r="AX137" s="183"/>
      <c r="AY137" s="183"/>
      <c r="AZ137" s="183"/>
      <c r="BA137" s="183"/>
      <c r="BB137" s="183"/>
      <c r="BC137" s="183"/>
      <c r="BD137" s="183"/>
      <c r="BE137" s="183"/>
      <c r="BF137" s="183"/>
      <c r="BG137" s="183"/>
      <c r="BH137" s="183"/>
      <c r="BI137" s="183"/>
      <c r="BJ137" s="183"/>
      <c r="BK137" s="183"/>
      <c r="BL137" s="183"/>
      <c r="BM137" s="183"/>
      <c r="BN137" s="183"/>
      <c r="BO137" s="183"/>
      <c r="BP137" s="183"/>
      <c r="BQ137" s="183"/>
      <c r="BR137" s="183"/>
      <c r="BS137" s="183"/>
      <c r="BT137" s="183"/>
      <c r="BU137" s="183"/>
      <c r="BV137" s="183"/>
      <c r="BW137" s="183"/>
      <c r="BX137" s="183"/>
      <c r="BY137" s="183"/>
      <c r="BZ137" s="183"/>
      <c r="CA137" s="183"/>
      <c r="CB137" s="183"/>
      <c r="CC137" s="183"/>
      <c r="CD137" s="183"/>
      <c r="CE137" s="183"/>
      <c r="CF137" s="183"/>
      <c r="CG137" s="183"/>
      <c r="CH137" s="183"/>
      <c r="CI137" s="183"/>
      <c r="CJ137" s="183"/>
      <c r="CK137" s="183"/>
      <c r="CL137" s="183"/>
      <c r="CM137" s="183"/>
      <c r="CN137" s="183"/>
      <c r="CO137" s="183"/>
    </row>
    <row r="138" spans="1:203" ht="13.9" customHeight="1">
      <c r="B138" s="201" t="s">
        <v>18</v>
      </c>
      <c r="C138" s="122"/>
      <c r="D138" s="283"/>
      <c r="E138" s="283"/>
      <c r="F138" s="283"/>
      <c r="G138" s="283"/>
      <c r="H138" s="122"/>
      <c r="I138" s="283"/>
      <c r="J138" s="283"/>
      <c r="K138" s="283"/>
      <c r="L138" s="283"/>
      <c r="M138" s="283"/>
      <c r="N138" s="283"/>
      <c r="O138" s="283"/>
      <c r="P138" s="283"/>
      <c r="Q138" s="283"/>
      <c r="R138" s="283"/>
      <c r="S138" s="283"/>
      <c r="T138" s="283"/>
      <c r="U138" s="283"/>
      <c r="V138" s="283"/>
      <c r="W138" s="283"/>
      <c r="X138" s="283"/>
      <c r="Y138" s="283"/>
      <c r="Z138" s="283"/>
      <c r="AA138" s="283"/>
      <c r="AB138" s="283"/>
      <c r="AC138" s="283"/>
      <c r="AD138" s="283"/>
      <c r="AE138" s="283"/>
      <c r="AF138" s="283"/>
      <c r="AG138" s="283"/>
      <c r="AH138" s="283"/>
      <c r="AI138" s="283"/>
      <c r="AJ138" s="283"/>
      <c r="AK138" s="283"/>
      <c r="AL138" s="283"/>
      <c r="AM138" s="283"/>
      <c r="AN138" s="283"/>
      <c r="AO138" s="283"/>
      <c r="AP138" s="283"/>
      <c r="AQ138" s="283"/>
      <c r="AR138" s="283"/>
      <c r="AS138" s="283"/>
      <c r="AT138" s="283"/>
      <c r="AU138" s="283"/>
      <c r="AV138" s="283"/>
      <c r="AW138" s="283"/>
      <c r="AX138" s="283"/>
      <c r="AY138" s="283"/>
      <c r="AZ138" s="283"/>
      <c r="BA138" s="283"/>
      <c r="BB138" s="283"/>
      <c r="BC138" s="283"/>
      <c r="BD138" s="283"/>
      <c r="BE138" s="283"/>
      <c r="BF138" s="283"/>
      <c r="BG138" s="283"/>
      <c r="BH138" s="283"/>
      <c r="BI138" s="283"/>
      <c r="BJ138" s="283"/>
      <c r="BK138" s="283"/>
      <c r="BL138" s="283"/>
      <c r="BM138" s="283"/>
      <c r="BN138" s="283"/>
      <c r="BO138" s="283"/>
      <c r="BP138" s="283"/>
      <c r="BQ138" s="283"/>
      <c r="BR138" s="283"/>
      <c r="BS138" s="283"/>
      <c r="BT138" s="283"/>
      <c r="BU138" s="283"/>
      <c r="BV138" s="283"/>
      <c r="BW138" s="283"/>
      <c r="BX138" s="283"/>
      <c r="BY138" s="283"/>
      <c r="BZ138" s="283"/>
      <c r="CA138" s="283"/>
      <c r="CB138" s="283"/>
      <c r="CC138" s="283"/>
      <c r="CD138" s="283"/>
      <c r="CE138" s="283"/>
      <c r="CF138" s="283"/>
      <c r="CG138" s="283"/>
      <c r="CH138" s="283"/>
      <c r="CI138" s="283"/>
      <c r="CJ138" s="283"/>
      <c r="CK138" s="283"/>
      <c r="CL138" s="283"/>
      <c r="CM138" s="283"/>
      <c r="CN138" s="283"/>
      <c r="CO138" s="283"/>
    </row>
    <row r="139" spans="1:203" s="2" customFormat="1" ht="13.9" customHeight="1">
      <c r="R139" s="3"/>
      <c r="W139" s="226"/>
      <c r="X139" s="226"/>
      <c r="Y139" s="226"/>
      <c r="Z139" s="226"/>
      <c r="AA139" s="226"/>
      <c r="AB139" s="226"/>
      <c r="AC139" s="234"/>
      <c r="AD139" s="234"/>
      <c r="AE139" s="234"/>
      <c r="AF139" s="234"/>
      <c r="AG139" s="226"/>
      <c r="AH139" s="226"/>
      <c r="AI139" s="226"/>
      <c r="AJ139" s="226"/>
      <c r="AK139" s="226"/>
      <c r="AL139" s="226"/>
      <c r="AM139" s="226"/>
      <c r="AN139" s="226"/>
      <c r="AO139" s="226"/>
      <c r="AP139" s="226"/>
      <c r="AQ139" s="226"/>
      <c r="AR139" s="226"/>
      <c r="AS139" s="226"/>
      <c r="AT139" s="226"/>
      <c r="AU139" s="226"/>
      <c r="AV139" s="226"/>
      <c r="AW139" s="226"/>
      <c r="AX139" s="226"/>
      <c r="AY139" s="226"/>
      <c r="AZ139" s="226"/>
      <c r="BA139" s="226"/>
      <c r="BB139" s="226"/>
      <c r="BC139" s="226"/>
      <c r="BD139" s="226"/>
      <c r="BE139" s="226"/>
      <c r="BF139" s="226"/>
      <c r="BG139" s="226"/>
      <c r="BH139" s="226"/>
      <c r="BI139" s="226"/>
      <c r="BJ139" s="226"/>
      <c r="BK139" s="226"/>
      <c r="BL139" s="234"/>
      <c r="BM139" s="234"/>
      <c r="BN139" s="234"/>
      <c r="BO139" s="234"/>
      <c r="BP139" s="226"/>
      <c r="BQ139" s="234"/>
      <c r="BR139" s="234"/>
      <c r="BS139" s="234"/>
      <c r="BT139" s="234"/>
      <c r="BU139" s="226"/>
      <c r="BZ139" s="226"/>
      <c r="CE139" s="226"/>
      <c r="CJ139" s="226"/>
      <c r="CO139" s="226"/>
    </row>
    <row r="140" spans="1:203" s="2" customFormat="1" ht="13.9" customHeight="1">
      <c r="B140" s="12" t="s">
        <v>445</v>
      </c>
      <c r="C140" s="5">
        <v>549</v>
      </c>
      <c r="D140" s="12">
        <v>549</v>
      </c>
      <c r="E140" s="12">
        <v>551</v>
      </c>
      <c r="F140" s="12">
        <v>556</v>
      </c>
      <c r="G140" s="12">
        <v>560</v>
      </c>
      <c r="H140" s="5">
        <v>560</v>
      </c>
      <c r="I140" s="12">
        <v>560</v>
      </c>
      <c r="J140" s="12">
        <v>562</v>
      </c>
      <c r="K140" s="12">
        <v>567</v>
      </c>
      <c r="L140" s="19">
        <v>571</v>
      </c>
      <c r="M140" s="5">
        <v>571</v>
      </c>
      <c r="N140" s="12">
        <v>571</v>
      </c>
      <c r="O140" s="12">
        <v>573</v>
      </c>
      <c r="P140" s="12">
        <v>575</v>
      </c>
      <c r="Q140" s="19">
        <v>578</v>
      </c>
      <c r="R140" s="5">
        <v>578</v>
      </c>
      <c r="S140" s="12">
        <v>580</v>
      </c>
      <c r="T140" s="12">
        <v>581</v>
      </c>
      <c r="U140" s="12">
        <v>585</v>
      </c>
      <c r="V140" s="19">
        <v>586</v>
      </c>
      <c r="W140" s="234">
        <v>586</v>
      </c>
      <c r="X140" s="234">
        <v>585</v>
      </c>
      <c r="Y140" s="234">
        <v>582</v>
      </c>
      <c r="Z140" s="234">
        <v>581</v>
      </c>
      <c r="AA140" s="210">
        <v>578</v>
      </c>
      <c r="AB140" s="234">
        <v>578</v>
      </c>
      <c r="AC140" s="234">
        <v>578</v>
      </c>
      <c r="AD140" s="234">
        <v>583</v>
      </c>
      <c r="AE140" s="234">
        <v>593</v>
      </c>
      <c r="AF140" s="210">
        <v>600</v>
      </c>
      <c r="AG140" s="234">
        <v>600</v>
      </c>
      <c r="AH140" s="234">
        <v>605</v>
      </c>
      <c r="AI140" s="234">
        <v>611</v>
      </c>
      <c r="AJ140" s="234">
        <v>622</v>
      </c>
      <c r="AK140" s="210">
        <v>630</v>
      </c>
      <c r="AL140" s="234">
        <v>630</v>
      </c>
      <c r="AM140" s="234">
        <v>632</v>
      </c>
      <c r="AN140" s="234">
        <v>636</v>
      </c>
      <c r="AO140" s="234">
        <v>637</v>
      </c>
      <c r="AP140" s="210">
        <v>635</v>
      </c>
      <c r="AQ140" s="234">
        <v>635</v>
      </c>
      <c r="AR140" s="234">
        <v>629</v>
      </c>
      <c r="AS140" s="234">
        <v>623</v>
      </c>
      <c r="AT140" s="234">
        <v>618</v>
      </c>
      <c r="AU140" s="210">
        <v>614</v>
      </c>
      <c r="AV140" s="234">
        <v>614</v>
      </c>
      <c r="AW140" s="234">
        <v>608</v>
      </c>
      <c r="AX140" s="234">
        <v>603</v>
      </c>
      <c r="AY140" s="234">
        <v>597</v>
      </c>
      <c r="AZ140" s="210">
        <v>587</v>
      </c>
      <c r="BA140" s="234">
        <v>587</v>
      </c>
      <c r="BB140" s="234">
        <v>580</v>
      </c>
      <c r="BC140" s="234">
        <v>582</v>
      </c>
      <c r="BD140" s="234">
        <v>584</v>
      </c>
      <c r="BE140" s="210">
        <f>BF140</f>
        <v>574</v>
      </c>
      <c r="BF140" s="234">
        <v>574</v>
      </c>
      <c r="BG140" s="234">
        <v>568</v>
      </c>
      <c r="BH140" s="234">
        <v>565</v>
      </c>
      <c r="BI140" s="234">
        <v>558</v>
      </c>
      <c r="BJ140" s="210">
        <f>BK140</f>
        <v>555</v>
      </c>
      <c r="BK140" s="234">
        <v>555</v>
      </c>
      <c r="BL140" s="234">
        <v>556</v>
      </c>
      <c r="BM140" s="234">
        <v>557</v>
      </c>
      <c r="BN140" s="234">
        <v>556</v>
      </c>
      <c r="BO140" s="210">
        <v>557</v>
      </c>
      <c r="BP140" s="234">
        <v>557</v>
      </c>
      <c r="BQ140" s="234">
        <v>559</v>
      </c>
      <c r="BR140" s="234">
        <v>560</v>
      </c>
      <c r="BS140" s="234">
        <v>560</v>
      </c>
      <c r="BT140" s="210">
        <f>BU140</f>
        <v>563</v>
      </c>
      <c r="BU140" s="234">
        <v>563</v>
      </c>
      <c r="BV140" s="12">
        <f>BV145+BV150</f>
        <v>564</v>
      </c>
      <c r="BW140" s="2">
        <v>567</v>
      </c>
      <c r="BX140" s="2">
        <v>575</v>
      </c>
      <c r="BY140" s="59">
        <f>BZ140</f>
        <v>579</v>
      </c>
      <c r="BZ140" s="234">
        <v>579</v>
      </c>
      <c r="CA140" s="12">
        <f>CA145+CA150</f>
        <v>580</v>
      </c>
      <c r="CB140" s="2">
        <v>579</v>
      </c>
      <c r="CC140" s="2">
        <v>576</v>
      </c>
      <c r="CD140" s="59">
        <f>CE140</f>
        <v>574</v>
      </c>
      <c r="CE140" s="234">
        <v>574</v>
      </c>
      <c r="CF140" s="12">
        <f>CF145+CF150</f>
        <v>571</v>
      </c>
      <c r="CG140" s="2">
        <v>567</v>
      </c>
      <c r="CH140" s="2">
        <v>563</v>
      </c>
      <c r="CI140" s="59">
        <f>CJ140</f>
        <v>562</v>
      </c>
      <c r="CJ140" s="234">
        <v>562</v>
      </c>
      <c r="CK140" s="12">
        <f>CK145+CK150</f>
        <v>561</v>
      </c>
      <c r="CL140" s="2">
        <f>CL145+CL150</f>
        <v>562</v>
      </c>
      <c r="CM140" s="2">
        <f>CM145+CM150</f>
        <v>565</v>
      </c>
      <c r="CN140" s="59">
        <f>CO140</f>
        <v>565</v>
      </c>
      <c r="CO140" s="234">
        <v>565</v>
      </c>
    </row>
    <row r="141" spans="1:203" ht="13.9" customHeight="1">
      <c r="B141" s="20" t="s">
        <v>5</v>
      </c>
      <c r="C141" s="4"/>
      <c r="D141" s="21"/>
      <c r="E141" s="21">
        <f>E140/D140-1</f>
        <v>3.6429872495447047E-3</v>
      </c>
      <c r="F141" s="21">
        <f>F140/E140-1</f>
        <v>9.0744101633393193E-3</v>
      </c>
      <c r="G141" s="21">
        <f>G140/F140-1</f>
        <v>7.194244604316502E-3</v>
      </c>
      <c r="H141" s="4"/>
      <c r="I141" s="21">
        <f>I140/G140-1</f>
        <v>0</v>
      </c>
      <c r="J141" s="21">
        <f>J140/I140-1</f>
        <v>3.5714285714285587E-3</v>
      </c>
      <c r="K141" s="21">
        <f>K140/J140-1</f>
        <v>8.8967971530249379E-3</v>
      </c>
      <c r="L141" s="21">
        <f>L140/K140-1</f>
        <v>7.0546737213403876E-3</v>
      </c>
      <c r="M141" s="3"/>
      <c r="N141" s="21">
        <f>N140/L140-1</f>
        <v>0</v>
      </c>
      <c r="O141" s="21">
        <f>O140/N140-1</f>
        <v>3.5026269702276291E-3</v>
      </c>
      <c r="P141" s="21">
        <f>P140/O140-1</f>
        <v>3.4904013961605251E-3</v>
      </c>
      <c r="Q141" s="21">
        <f>Q140/P140-1</f>
        <v>5.2173913043478404E-3</v>
      </c>
      <c r="R141" s="3"/>
      <c r="S141" s="21">
        <f>S140/Q140-1</f>
        <v>3.4602076124568004E-3</v>
      </c>
      <c r="T141" s="21">
        <f>T140/S140-1</f>
        <v>1.7241379310344307E-3</v>
      </c>
      <c r="U141" s="21">
        <f>U140/T140-1</f>
        <v>6.8846815834766595E-3</v>
      </c>
      <c r="V141" s="21">
        <f>V140/U140-1</f>
        <v>1.7094017094017033E-3</v>
      </c>
      <c r="W141" s="226"/>
      <c r="X141" s="212">
        <f>X140/V140-1</f>
        <v>-1.7064846416382506E-3</v>
      </c>
      <c r="Y141" s="212">
        <f>Y140/X140-1</f>
        <v>-5.12820512820511E-3</v>
      </c>
      <c r="Z141" s="212">
        <f>Z140/Y140-1</f>
        <v>-1.7182130584192379E-3</v>
      </c>
      <c r="AA141" s="212">
        <f>AA140/Z140-1</f>
        <v>-5.1635111876076056E-3</v>
      </c>
      <c r="AB141" s="226"/>
      <c r="AC141" s="212">
        <f>AC140/AA140-1</f>
        <v>0</v>
      </c>
      <c r="AD141" s="212">
        <f>AD140/AC140-1</f>
        <v>8.65051903114189E-3</v>
      </c>
      <c r="AE141" s="212">
        <f>AE140/AD140-1</f>
        <v>1.7152658662092701E-2</v>
      </c>
      <c r="AF141" s="212">
        <f>AF140/AE140-1</f>
        <v>1.180438448566612E-2</v>
      </c>
      <c r="AG141" s="226"/>
      <c r="AH141" s="212">
        <f>AH140/AF140-1</f>
        <v>8.3333333333333037E-3</v>
      </c>
      <c r="AI141" s="212">
        <f>AI140/AH140-1</f>
        <v>9.917355371900749E-3</v>
      </c>
      <c r="AJ141" s="212">
        <f>AJ140/AI140-1</f>
        <v>1.8003273322422242E-2</v>
      </c>
      <c r="AK141" s="212">
        <f>AK140/AJ140-1</f>
        <v>1.2861736334405238E-2</v>
      </c>
      <c r="AL141" s="226"/>
      <c r="AM141" s="212">
        <f>AM140/AK140-1</f>
        <v>3.1746031746031633E-3</v>
      </c>
      <c r="AN141" s="212">
        <f>AN140/AM140-1</f>
        <v>6.3291139240506666E-3</v>
      </c>
      <c r="AO141" s="212">
        <f>AO140/AN140-1</f>
        <v>1.5723270440251014E-3</v>
      </c>
      <c r="AP141" s="212">
        <f>AP140/AO140-1</f>
        <v>-3.1397174254317317E-3</v>
      </c>
      <c r="AQ141" s="226"/>
      <c r="AR141" s="212">
        <f>AR140/AP140-1</f>
        <v>-9.4488188976378229E-3</v>
      </c>
      <c r="AS141" s="212">
        <f>AS140/AR140-1</f>
        <v>-9.5389507154213238E-3</v>
      </c>
      <c r="AT141" s="212">
        <f>AT140/AS140-1</f>
        <v>-8.0256821829856051E-3</v>
      </c>
      <c r="AU141" s="212">
        <f>AU140/AT140-1</f>
        <v>-6.4724919093851474E-3</v>
      </c>
      <c r="AV141" s="226"/>
      <c r="AW141" s="212">
        <f>AW140/AU140-1</f>
        <v>-9.7719869706840434E-3</v>
      </c>
      <c r="AX141" s="212">
        <f>AX140/AW140-1</f>
        <v>-8.2236842105263275E-3</v>
      </c>
      <c r="AY141" s="212">
        <f>AY140/AX140-1</f>
        <v>-9.9502487562188602E-3</v>
      </c>
      <c r="AZ141" s="212">
        <f>AZ140/AY140-1</f>
        <v>-1.675041876046901E-2</v>
      </c>
      <c r="BA141" s="226"/>
      <c r="BB141" s="212">
        <f>BB140/AZ140-1</f>
        <v>-1.1925042589437829E-2</v>
      </c>
      <c r="BC141" s="212">
        <f>BC140/BB140-1</f>
        <v>3.4482758620688614E-3</v>
      </c>
      <c r="BD141" s="212">
        <f>BD140/BC140-1</f>
        <v>3.4364261168384758E-3</v>
      </c>
      <c r="BE141" s="212">
        <f>BE140/BD140-1</f>
        <v>-1.7123287671232834E-2</v>
      </c>
      <c r="BF141" s="226"/>
      <c r="BG141" s="212">
        <f>BG140/BE140-1</f>
        <v>-1.0452961672473893E-2</v>
      </c>
      <c r="BH141" s="212">
        <f>BH140/BG140-1</f>
        <v>-5.2816901408451189E-3</v>
      </c>
      <c r="BI141" s="212">
        <f>BI140/BH140-1</f>
        <v>-1.2389380530973493E-2</v>
      </c>
      <c r="BJ141" s="212">
        <f>BJ140/BI140-1</f>
        <v>-5.3763440860215006E-3</v>
      </c>
      <c r="BK141" s="226"/>
      <c r="BL141" s="212">
        <f>BL140/BJ140-1</f>
        <v>1.8018018018017834E-3</v>
      </c>
      <c r="BM141" s="212">
        <f>BM140/BL140-1</f>
        <v>1.7985611510791255E-3</v>
      </c>
      <c r="BN141" s="212">
        <f>BN140/BM140-1</f>
        <v>-1.7953321364452268E-3</v>
      </c>
      <c r="BO141" s="212">
        <f>BO140/BN140-1</f>
        <v>1.7985611510791255E-3</v>
      </c>
      <c r="BP141" s="226"/>
      <c r="BQ141" s="212">
        <f>BQ140/BO140-1</f>
        <v>3.5906642728904536E-3</v>
      </c>
      <c r="BR141" s="212">
        <f>BR140/BQ140-1</f>
        <v>1.7889087656528524E-3</v>
      </c>
      <c r="BS141" s="212">
        <f>BS140/BR140-1</f>
        <v>0</v>
      </c>
      <c r="BT141" s="212">
        <f>BT140/BS140-1</f>
        <v>5.3571428571428381E-3</v>
      </c>
      <c r="BU141" s="226"/>
      <c r="BV141" s="21">
        <f>BV140/BT140-1</f>
        <v>1.7761989342806039E-3</v>
      </c>
      <c r="BW141" s="67">
        <f>BW140/BV140-1</f>
        <v>5.3191489361701372E-3</v>
      </c>
      <c r="BX141" s="67">
        <f>BX140/BW140-1</f>
        <v>1.4109347442680775E-2</v>
      </c>
      <c r="BY141" s="67">
        <f>BY140/BX140-1</f>
        <v>6.9565217391305278E-3</v>
      </c>
      <c r="BZ141" s="226"/>
      <c r="CA141" s="21">
        <f>CA140/BY140-1</f>
        <v>1.7271157167531026E-3</v>
      </c>
      <c r="CB141" s="67">
        <f>CB140/CA140-1</f>
        <v>-1.7241379310344307E-3</v>
      </c>
      <c r="CC141" s="67">
        <f>CC140/CB140-1</f>
        <v>-5.1813471502590858E-3</v>
      </c>
      <c r="CD141" s="67">
        <f>CD140/CC140-1</f>
        <v>-3.4722222222222099E-3</v>
      </c>
      <c r="CE141" s="226"/>
      <c r="CF141" s="21">
        <f>CF140/CD140-1</f>
        <v>-5.2264808362368909E-3</v>
      </c>
      <c r="CG141" s="67">
        <f>CG140/CF140-1</f>
        <v>-7.0052539404553693E-3</v>
      </c>
      <c r="CH141" s="67">
        <f>CH140/CG140-1</f>
        <v>-7.0546737213403876E-3</v>
      </c>
      <c r="CI141" s="67">
        <f>CI140/CH140-1</f>
        <v>-1.7761989342806039E-3</v>
      </c>
      <c r="CJ141" s="226"/>
      <c r="CK141" s="21">
        <f>CK140/CI140-1</f>
        <v>-1.779359430605032E-3</v>
      </c>
      <c r="CL141" s="67">
        <f>CL140/CK140-1</f>
        <v>1.7825311942958333E-3</v>
      </c>
      <c r="CM141" s="67">
        <f>CM140/CL140-1</f>
        <v>5.3380782918148739E-3</v>
      </c>
      <c r="CN141" s="67">
        <f>CN140/CM140-1</f>
        <v>0</v>
      </c>
      <c r="CO141" s="226"/>
    </row>
    <row r="142" spans="1:203" ht="13.9" customHeight="1">
      <c r="B142" s="20" t="s">
        <v>6</v>
      </c>
      <c r="C142" s="4"/>
      <c r="D142" s="22"/>
      <c r="E142" s="22"/>
      <c r="F142" s="22"/>
      <c r="G142" s="22"/>
      <c r="H142" s="4">
        <f t="shared" ref="H142:O142" si="143">H140/C140-1</f>
        <v>2.0036429872495543E-2</v>
      </c>
      <c r="I142" s="22">
        <f t="shared" si="143"/>
        <v>2.0036429872495543E-2</v>
      </c>
      <c r="J142" s="22">
        <f t="shared" si="143"/>
        <v>1.9963702359346636E-2</v>
      </c>
      <c r="K142" s="22">
        <f t="shared" si="143"/>
        <v>1.9784172661870603E-2</v>
      </c>
      <c r="L142" s="21">
        <f t="shared" si="143"/>
        <v>1.9642857142857073E-2</v>
      </c>
      <c r="M142" s="4">
        <f t="shared" si="143"/>
        <v>1.9642857142857073E-2</v>
      </c>
      <c r="N142" s="22">
        <f t="shared" si="143"/>
        <v>1.9642857142857073E-2</v>
      </c>
      <c r="O142" s="22">
        <f t="shared" si="143"/>
        <v>1.9572953736654908E-2</v>
      </c>
      <c r="P142" s="22">
        <f t="shared" ref="P142:Z142" si="144">P140/K140-1</f>
        <v>1.4109347442680775E-2</v>
      </c>
      <c r="Q142" s="21">
        <f t="shared" si="144"/>
        <v>1.2259194395796813E-2</v>
      </c>
      <c r="R142" s="4">
        <f t="shared" si="144"/>
        <v>1.2259194395796813E-2</v>
      </c>
      <c r="S142" s="22">
        <f t="shared" si="144"/>
        <v>1.5761821366024442E-2</v>
      </c>
      <c r="T142" s="22">
        <f t="shared" si="144"/>
        <v>1.3961605584642323E-2</v>
      </c>
      <c r="U142" s="22">
        <f t="shared" si="144"/>
        <v>1.7391304347825987E-2</v>
      </c>
      <c r="V142" s="21">
        <f t="shared" si="144"/>
        <v>1.384083044982698E-2</v>
      </c>
      <c r="W142" s="211">
        <f t="shared" si="144"/>
        <v>1.384083044982698E-2</v>
      </c>
      <c r="X142" s="211">
        <f t="shared" si="144"/>
        <v>8.6206896551723755E-3</v>
      </c>
      <c r="Y142" s="211">
        <f t="shared" si="144"/>
        <v>1.7211703958692759E-3</v>
      </c>
      <c r="Z142" s="211">
        <f t="shared" si="144"/>
        <v>-6.8376068376068133E-3</v>
      </c>
      <c r="AA142" s="212">
        <f t="shared" ref="AA142:AJ142" si="145">AA140/V140-1</f>
        <v>-1.3651877133105783E-2</v>
      </c>
      <c r="AB142" s="211">
        <f t="shared" si="145"/>
        <v>-1.3651877133105783E-2</v>
      </c>
      <c r="AC142" s="211">
        <f t="shared" si="145"/>
        <v>-1.1965811965811923E-2</v>
      </c>
      <c r="AD142" s="211">
        <f t="shared" si="145"/>
        <v>1.7182130584192379E-3</v>
      </c>
      <c r="AE142" s="211">
        <f t="shared" si="145"/>
        <v>2.06540447504302E-2</v>
      </c>
      <c r="AF142" s="212">
        <f t="shared" si="145"/>
        <v>3.8062283737024138E-2</v>
      </c>
      <c r="AG142" s="211">
        <f t="shared" si="145"/>
        <v>3.8062283737024138E-2</v>
      </c>
      <c r="AH142" s="211">
        <f t="shared" si="145"/>
        <v>4.6712802768166028E-2</v>
      </c>
      <c r="AI142" s="211">
        <f t="shared" si="145"/>
        <v>4.8027444253859297E-2</v>
      </c>
      <c r="AJ142" s="211">
        <f t="shared" si="145"/>
        <v>4.8903878583473892E-2</v>
      </c>
      <c r="AK142" s="212">
        <f t="shared" ref="AK142:AT142" si="146">AK140/AF140-1</f>
        <v>5.0000000000000044E-2</v>
      </c>
      <c r="AL142" s="211">
        <f t="shared" si="146"/>
        <v>5.0000000000000044E-2</v>
      </c>
      <c r="AM142" s="211">
        <f t="shared" si="146"/>
        <v>4.4628099173553704E-2</v>
      </c>
      <c r="AN142" s="211">
        <f t="shared" si="146"/>
        <v>4.0916530278232388E-2</v>
      </c>
      <c r="AO142" s="211">
        <f t="shared" si="146"/>
        <v>2.4115755627009738E-2</v>
      </c>
      <c r="AP142" s="212">
        <f t="shared" si="146"/>
        <v>7.9365079365079083E-3</v>
      </c>
      <c r="AQ142" s="211">
        <f t="shared" si="146"/>
        <v>7.9365079365079083E-3</v>
      </c>
      <c r="AR142" s="211">
        <f t="shared" si="146"/>
        <v>-4.746835443038E-3</v>
      </c>
      <c r="AS142" s="211">
        <f t="shared" si="146"/>
        <v>-2.0440251572327095E-2</v>
      </c>
      <c r="AT142" s="211">
        <f t="shared" si="146"/>
        <v>-2.9827315541601229E-2</v>
      </c>
      <c r="AU142" s="212">
        <f t="shared" ref="AU142:BX142" si="147">AU140/AP140-1</f>
        <v>-3.3070866141732269E-2</v>
      </c>
      <c r="AV142" s="211">
        <f t="shared" si="147"/>
        <v>-3.3070866141732269E-2</v>
      </c>
      <c r="AW142" s="211">
        <f t="shared" si="147"/>
        <v>-3.3386327503974522E-2</v>
      </c>
      <c r="AX142" s="211">
        <f t="shared" si="147"/>
        <v>-3.2102728731942198E-2</v>
      </c>
      <c r="AY142" s="211">
        <f t="shared" si="147"/>
        <v>-3.398058252427183E-2</v>
      </c>
      <c r="AZ142" s="212">
        <f t="shared" si="147"/>
        <v>-4.3973941368078195E-2</v>
      </c>
      <c r="BA142" s="211">
        <f t="shared" si="147"/>
        <v>-4.3973941368078195E-2</v>
      </c>
      <c r="BB142" s="211">
        <f t="shared" si="147"/>
        <v>-4.6052631578947345E-2</v>
      </c>
      <c r="BC142" s="211">
        <f t="shared" si="147"/>
        <v>-3.4825870646766122E-2</v>
      </c>
      <c r="BD142" s="211">
        <f t="shared" si="147"/>
        <v>-2.1775544388609736E-2</v>
      </c>
      <c r="BE142" s="212">
        <f t="shared" si="147"/>
        <v>-2.2146507666098825E-2</v>
      </c>
      <c r="BF142" s="211">
        <f t="shared" si="147"/>
        <v>-2.2146507666098825E-2</v>
      </c>
      <c r="BG142" s="211">
        <f t="shared" si="147"/>
        <v>-2.0689655172413834E-2</v>
      </c>
      <c r="BH142" s="211">
        <f t="shared" si="147"/>
        <v>-2.9209621993127155E-2</v>
      </c>
      <c r="BI142" s="211">
        <f t="shared" si="147"/>
        <v>-4.4520547945205435E-2</v>
      </c>
      <c r="BJ142" s="212">
        <f t="shared" si="147"/>
        <v>-3.3101045296167197E-2</v>
      </c>
      <c r="BK142" s="211">
        <f t="shared" si="147"/>
        <v>-3.3101045296167197E-2</v>
      </c>
      <c r="BL142" s="211">
        <f t="shared" si="147"/>
        <v>-2.1126760563380254E-2</v>
      </c>
      <c r="BM142" s="211">
        <f t="shared" si="147"/>
        <v>-1.415929203539823E-2</v>
      </c>
      <c r="BN142" s="211">
        <f t="shared" si="147"/>
        <v>-3.5842293906810374E-3</v>
      </c>
      <c r="BO142" s="212">
        <f t="shared" si="147"/>
        <v>3.6036036036035668E-3</v>
      </c>
      <c r="BP142" s="211">
        <f t="shared" si="147"/>
        <v>3.6036036036035668E-3</v>
      </c>
      <c r="BQ142" s="211">
        <f t="shared" si="147"/>
        <v>5.3956834532373765E-3</v>
      </c>
      <c r="BR142" s="211">
        <f t="shared" si="147"/>
        <v>5.3859964093356805E-3</v>
      </c>
      <c r="BS142" s="211">
        <f t="shared" si="147"/>
        <v>7.194244604316502E-3</v>
      </c>
      <c r="BT142" s="212">
        <f t="shared" si="147"/>
        <v>1.0771992818671361E-2</v>
      </c>
      <c r="BU142" s="211">
        <f t="shared" si="147"/>
        <v>1.0771992818671361E-2</v>
      </c>
      <c r="BV142" s="22">
        <f t="shared" si="147"/>
        <v>8.9445438282647061E-3</v>
      </c>
      <c r="BW142" s="66">
        <f t="shared" si="147"/>
        <v>1.2499999999999956E-2</v>
      </c>
      <c r="BX142" s="66">
        <f t="shared" si="147"/>
        <v>2.6785714285714191E-2</v>
      </c>
      <c r="BY142" s="67">
        <f>BY140/BT140-1</f>
        <v>2.8419182948490329E-2</v>
      </c>
      <c r="BZ142" s="211">
        <f>BZ140/BU140-1</f>
        <v>2.8419182948490329E-2</v>
      </c>
      <c r="CA142" s="22">
        <f>CA140/BV140-1</f>
        <v>2.8368794326241176E-2</v>
      </c>
      <c r="CB142" s="66">
        <f>CB140/BW140-1</f>
        <v>2.1164021164021163E-2</v>
      </c>
      <c r="CC142" s="66">
        <f t="shared" ref="CC142" si="148">CC140/BX140-1</f>
        <v>1.7391304347826875E-3</v>
      </c>
      <c r="CD142" s="67">
        <f>CD140/BY140-1</f>
        <v>-8.6355785837650689E-3</v>
      </c>
      <c r="CE142" s="211">
        <f>CE140/BZ140-1</f>
        <v>-8.6355785837650689E-3</v>
      </c>
      <c r="CF142" s="22">
        <f>CF140/CA140-1</f>
        <v>-1.551724137931032E-2</v>
      </c>
      <c r="CG142" s="66">
        <f>CG140/CB140-1</f>
        <v>-2.0725388601036232E-2</v>
      </c>
      <c r="CH142" s="66">
        <f t="shared" ref="CH142" si="149">CH140/CC140-1</f>
        <v>-2.256944444444442E-2</v>
      </c>
      <c r="CI142" s="67">
        <f>CI140/CD140-1</f>
        <v>-2.0905923344947785E-2</v>
      </c>
      <c r="CJ142" s="211">
        <f>CJ140/CE140-1</f>
        <v>-2.0905923344947785E-2</v>
      </c>
      <c r="CK142" s="22">
        <f t="shared" ref="CK142" si="150">CK140/CF140-1</f>
        <v>-1.7513134851138368E-2</v>
      </c>
      <c r="CL142" s="66">
        <f>CL140/CG140-1</f>
        <v>-8.81834215167554E-3</v>
      </c>
      <c r="CM142" s="66">
        <f>CM140/CH140-1</f>
        <v>3.5523978685612079E-3</v>
      </c>
      <c r="CN142" s="67">
        <f>CN140/CI140-1</f>
        <v>5.3380782918148739E-3</v>
      </c>
      <c r="CO142" s="211">
        <f>CO140/CJ140-1</f>
        <v>5.3380782918148739E-3</v>
      </c>
    </row>
    <row r="143" spans="1:203" ht="13.9" customHeight="1">
      <c r="B143" s="20" t="s">
        <v>121</v>
      </c>
      <c r="C143" s="4"/>
      <c r="D143" s="22"/>
      <c r="E143" s="22"/>
      <c r="F143" s="22"/>
      <c r="G143" s="22"/>
      <c r="H143" s="112">
        <f>H140-C140</f>
        <v>11</v>
      </c>
      <c r="I143" s="22"/>
      <c r="J143" s="22"/>
      <c r="K143" s="22"/>
      <c r="L143" s="21"/>
      <c r="M143" s="112">
        <f>M140-H140</f>
        <v>11</v>
      </c>
      <c r="N143" s="22"/>
      <c r="O143" s="22"/>
      <c r="P143" s="22"/>
      <c r="Q143" s="21"/>
      <c r="R143" s="112">
        <f>R140-M140</f>
        <v>7</v>
      </c>
      <c r="S143" s="22"/>
      <c r="T143" s="22"/>
      <c r="U143" s="22"/>
      <c r="V143" s="21"/>
      <c r="W143" s="249">
        <f>W140-R140</f>
        <v>8</v>
      </c>
      <c r="X143" s="239"/>
      <c r="Y143" s="239"/>
      <c r="Z143" s="239"/>
      <c r="AA143" s="250"/>
      <c r="AB143" s="249">
        <f>AB140-W140</f>
        <v>-8</v>
      </c>
      <c r="AC143" s="239"/>
      <c r="AD143" s="239"/>
      <c r="AE143" s="239"/>
      <c r="AF143" s="250"/>
      <c r="AG143" s="249">
        <f>AG140-AB140</f>
        <v>22</v>
      </c>
      <c r="AH143" s="239"/>
      <c r="AI143" s="239"/>
      <c r="AJ143" s="239"/>
      <c r="AK143" s="250"/>
      <c r="AL143" s="249">
        <f>AL140-AG140</f>
        <v>30</v>
      </c>
      <c r="AM143" s="239"/>
      <c r="AN143" s="251">
        <f>AN140-AM140</f>
        <v>4</v>
      </c>
      <c r="AO143" s="251">
        <f>AO140-AN140</f>
        <v>1</v>
      </c>
      <c r="AP143" s="251">
        <f>AP140-AO140</f>
        <v>-2</v>
      </c>
      <c r="AQ143" s="249">
        <f>AQ140-AL140</f>
        <v>5</v>
      </c>
      <c r="AR143" s="249">
        <f>AR140-AP140</f>
        <v>-6</v>
      </c>
      <c r="AS143" s="249">
        <f>AS140-AR140</f>
        <v>-6</v>
      </c>
      <c r="AT143" s="249">
        <f>AT140-AS140</f>
        <v>-5</v>
      </c>
      <c r="AU143" s="249">
        <f>AU140-AT140</f>
        <v>-4</v>
      </c>
      <c r="AV143" s="249">
        <f>AV140-AQ140</f>
        <v>-21</v>
      </c>
      <c r="AW143" s="249">
        <f>AW140-AU140</f>
        <v>-6</v>
      </c>
      <c r="AX143" s="249">
        <f>AX140-AW140</f>
        <v>-5</v>
      </c>
      <c r="AY143" s="249">
        <f>AY140-AX140</f>
        <v>-6</v>
      </c>
      <c r="AZ143" s="249">
        <f>AZ140-AY140</f>
        <v>-10</v>
      </c>
      <c r="BA143" s="249">
        <f>BA140-AV140</f>
        <v>-27</v>
      </c>
      <c r="BB143" s="249">
        <f>BB140-AZ140</f>
        <v>-7</v>
      </c>
      <c r="BC143" s="249">
        <f>BC140-BB140</f>
        <v>2</v>
      </c>
      <c r="BD143" s="249">
        <f>BD140-BC140</f>
        <v>2</v>
      </c>
      <c r="BE143" s="249">
        <f>BE140-BD140</f>
        <v>-10</v>
      </c>
      <c r="BF143" s="249">
        <f>BF140-BA140</f>
        <v>-13</v>
      </c>
      <c r="BG143" s="249">
        <f>BG140-BE140</f>
        <v>-6</v>
      </c>
      <c r="BH143" s="249">
        <f>BH140-BG140</f>
        <v>-3</v>
      </c>
      <c r="BI143" s="249">
        <f>BI140-BH140</f>
        <v>-7</v>
      </c>
      <c r="BJ143" s="249">
        <f>BJ140-BI140</f>
        <v>-3</v>
      </c>
      <c r="BK143" s="249">
        <f>BK140-BF140</f>
        <v>-19</v>
      </c>
      <c r="BL143" s="249">
        <f>BL140-BJ140</f>
        <v>1</v>
      </c>
      <c r="BM143" s="249">
        <f>BM140-BL140</f>
        <v>1</v>
      </c>
      <c r="BN143" s="249">
        <f>BN140-BM140</f>
        <v>-1</v>
      </c>
      <c r="BO143" s="249">
        <f>BO140-BN140</f>
        <v>1</v>
      </c>
      <c r="BP143" s="249">
        <f>BP140-BK140</f>
        <v>2</v>
      </c>
      <c r="BQ143" s="249">
        <f>BQ140-BO140</f>
        <v>2</v>
      </c>
      <c r="BR143" s="249">
        <f>BR140-BQ140</f>
        <v>1</v>
      </c>
      <c r="BS143" s="249">
        <f>BS140-BR140</f>
        <v>0</v>
      </c>
      <c r="BT143" s="249">
        <f>BT140-BS140</f>
        <v>3</v>
      </c>
      <c r="BU143" s="249">
        <f>BU140-BP140</f>
        <v>6</v>
      </c>
      <c r="BV143" s="113">
        <f>BV140-BT140</f>
        <v>1</v>
      </c>
      <c r="BW143" s="113">
        <f>BW140-BV140</f>
        <v>3</v>
      </c>
      <c r="BX143" s="113">
        <f>BX140-BW140</f>
        <v>8</v>
      </c>
      <c r="BY143" s="113">
        <f>BY140-BX140</f>
        <v>4</v>
      </c>
      <c r="BZ143" s="249">
        <f>BZ140-BU140</f>
        <v>16</v>
      </c>
      <c r="CA143" s="113">
        <f>CA140-BY140</f>
        <v>1</v>
      </c>
      <c r="CB143" s="113">
        <f>CB140-CA140</f>
        <v>-1</v>
      </c>
      <c r="CC143" s="113">
        <f>CC140-CB140</f>
        <v>-3</v>
      </c>
      <c r="CD143" s="113">
        <f>CD140-CC140</f>
        <v>-2</v>
      </c>
      <c r="CE143" s="249">
        <f>CE140-BZ140</f>
        <v>-5</v>
      </c>
      <c r="CF143" s="113">
        <f>CF140-CD140</f>
        <v>-3</v>
      </c>
      <c r="CG143" s="113">
        <f>CG140-CF140</f>
        <v>-4</v>
      </c>
      <c r="CH143" s="113">
        <f>CH140-CG140</f>
        <v>-4</v>
      </c>
      <c r="CI143" s="113">
        <f>CI140-CH140</f>
        <v>-1</v>
      </c>
      <c r="CJ143" s="249">
        <f>CJ140-CE140</f>
        <v>-12</v>
      </c>
      <c r="CK143" s="113">
        <f>CK140-CI140</f>
        <v>-1</v>
      </c>
      <c r="CL143" s="113">
        <f>CL140-CK140</f>
        <v>1</v>
      </c>
      <c r="CM143" s="113">
        <f>CM140-CL140</f>
        <v>3</v>
      </c>
      <c r="CN143" s="113">
        <f>CN140-CM140</f>
        <v>0</v>
      </c>
      <c r="CO143" s="249">
        <f>CO140-CJ140</f>
        <v>3</v>
      </c>
    </row>
    <row r="144" spans="1:203" ht="13.9" customHeight="1">
      <c r="B144" s="20"/>
      <c r="C144" s="4"/>
      <c r="D144" s="22"/>
      <c r="E144" s="22"/>
      <c r="F144" s="22"/>
      <c r="G144" s="22"/>
      <c r="H144" s="4"/>
      <c r="I144" s="22"/>
      <c r="J144" s="22"/>
      <c r="K144" s="22"/>
      <c r="L144" s="21"/>
      <c r="M144" s="4"/>
      <c r="N144" s="22"/>
      <c r="O144" s="22"/>
      <c r="P144" s="22"/>
      <c r="Q144" s="21"/>
      <c r="R144" s="4"/>
      <c r="S144" s="22"/>
      <c r="T144" s="22"/>
      <c r="U144" s="22"/>
      <c r="V144" s="21"/>
      <c r="W144" s="239"/>
      <c r="X144" s="239"/>
      <c r="Y144" s="239"/>
      <c r="Z144" s="239"/>
      <c r="AA144" s="250"/>
      <c r="AB144" s="239"/>
      <c r="AC144" s="239"/>
      <c r="AD144" s="239"/>
      <c r="AE144" s="239"/>
      <c r="AF144" s="250"/>
      <c r="AG144" s="239"/>
      <c r="AH144" s="239"/>
      <c r="AI144" s="239"/>
      <c r="AJ144" s="239"/>
      <c r="AK144" s="250"/>
      <c r="AL144" s="239"/>
      <c r="AM144" s="239"/>
      <c r="AN144" s="251"/>
      <c r="AO144" s="251"/>
      <c r="AP144" s="251"/>
      <c r="AQ144" s="272"/>
      <c r="AR144" s="249"/>
      <c r="AS144" s="249"/>
      <c r="AT144" s="249"/>
      <c r="AU144" s="249"/>
      <c r="AV144" s="249"/>
      <c r="AW144" s="249"/>
      <c r="AX144" s="249"/>
      <c r="AY144" s="249"/>
      <c r="AZ144" s="249"/>
      <c r="BA144" s="249"/>
      <c r="BB144" s="249"/>
      <c r="BC144" s="249"/>
      <c r="BD144" s="249"/>
      <c r="BE144" s="249"/>
      <c r="BF144" s="249"/>
      <c r="BG144" s="249"/>
      <c r="BH144" s="249"/>
      <c r="BI144" s="249"/>
      <c r="BJ144" s="249"/>
      <c r="BK144" s="249"/>
      <c r="BL144" s="249"/>
      <c r="BM144" s="249"/>
      <c r="BN144" s="249"/>
      <c r="BO144" s="249"/>
      <c r="BP144" s="249"/>
      <c r="BQ144" s="249"/>
      <c r="BR144" s="249"/>
      <c r="BS144" s="249"/>
      <c r="BT144" s="249"/>
      <c r="BU144" s="249"/>
      <c r="BV144" s="113"/>
      <c r="BW144" s="113"/>
      <c r="BX144" s="113"/>
      <c r="BY144" s="113"/>
      <c r="BZ144" s="249"/>
      <c r="CA144" s="113"/>
      <c r="CB144" s="113"/>
      <c r="CC144" s="113"/>
      <c r="CD144" s="113"/>
      <c r="CE144" s="249"/>
      <c r="CF144" s="113"/>
      <c r="CG144" s="113"/>
      <c r="CH144" s="113"/>
      <c r="CI144" s="113"/>
      <c r="CJ144" s="249"/>
      <c r="CK144" s="113"/>
      <c r="CL144" s="113"/>
      <c r="CM144" s="113"/>
      <c r="CN144" s="113"/>
      <c r="CO144" s="249"/>
    </row>
    <row r="145" spans="2:93" ht="13.9" customHeight="1">
      <c r="B145" s="12" t="s">
        <v>323</v>
      </c>
      <c r="C145" s="4"/>
      <c r="D145" s="22"/>
      <c r="E145" s="22"/>
      <c r="F145" s="22"/>
      <c r="G145" s="22"/>
      <c r="H145" s="4"/>
      <c r="I145" s="22"/>
      <c r="J145" s="22"/>
      <c r="K145" s="22"/>
      <c r="L145" s="21"/>
      <c r="M145" s="4"/>
      <c r="N145" s="22"/>
      <c r="O145" s="22"/>
      <c r="P145" s="22"/>
      <c r="Q145" s="21"/>
      <c r="R145" s="4"/>
      <c r="S145" s="22"/>
      <c r="T145" s="22"/>
      <c r="U145" s="22"/>
      <c r="V145" s="21"/>
      <c r="W145" s="269" t="s">
        <v>25</v>
      </c>
      <c r="X145" s="269" t="s">
        <v>25</v>
      </c>
      <c r="Y145" s="269" t="s">
        <v>25</v>
      </c>
      <c r="Z145" s="269" t="s">
        <v>25</v>
      </c>
      <c r="AA145" s="269" t="s">
        <v>25</v>
      </c>
      <c r="AB145" s="269" t="s">
        <v>25</v>
      </c>
      <c r="AC145" s="269" t="s">
        <v>25</v>
      </c>
      <c r="AD145" s="269" t="s">
        <v>25</v>
      </c>
      <c r="AE145" s="269" t="s">
        <v>25</v>
      </c>
      <c r="AF145" s="269" t="s">
        <v>25</v>
      </c>
      <c r="AG145" s="269" t="s">
        <v>25</v>
      </c>
      <c r="AH145" s="269" t="s">
        <v>25</v>
      </c>
      <c r="AI145" s="269" t="s">
        <v>25</v>
      </c>
      <c r="AJ145" s="269" t="s">
        <v>25</v>
      </c>
      <c r="AK145" s="269" t="s">
        <v>25</v>
      </c>
      <c r="AL145" s="269" t="s">
        <v>25</v>
      </c>
      <c r="AM145" s="269" t="s">
        <v>25</v>
      </c>
      <c r="AN145" s="269" t="s">
        <v>25</v>
      </c>
      <c r="AO145" s="269" t="s">
        <v>25</v>
      </c>
      <c r="AP145" s="269" t="s">
        <v>25</v>
      </c>
      <c r="AQ145" s="269" t="s">
        <v>25</v>
      </c>
      <c r="AR145" s="269" t="s">
        <v>25</v>
      </c>
      <c r="AS145" s="269" t="s">
        <v>25</v>
      </c>
      <c r="AT145" s="269" t="s">
        <v>25</v>
      </c>
      <c r="AU145" s="269" t="s">
        <v>25</v>
      </c>
      <c r="AV145" s="269" t="s">
        <v>25</v>
      </c>
      <c r="AW145" s="269" t="s">
        <v>25</v>
      </c>
      <c r="AX145" s="269" t="s">
        <v>25</v>
      </c>
      <c r="AY145" s="269" t="s">
        <v>25</v>
      </c>
      <c r="AZ145" s="269" t="s">
        <v>25</v>
      </c>
      <c r="BA145" s="269" t="s">
        <v>25</v>
      </c>
      <c r="BB145" s="269" t="s">
        <v>25</v>
      </c>
      <c r="BC145" s="269" t="s">
        <v>25</v>
      </c>
      <c r="BD145" s="269" t="s">
        <v>25</v>
      </c>
      <c r="BE145" s="269" t="s">
        <v>25</v>
      </c>
      <c r="BF145" s="269" t="s">
        <v>25</v>
      </c>
      <c r="BG145" s="269" t="s">
        <v>25</v>
      </c>
      <c r="BH145" s="269" t="s">
        <v>25</v>
      </c>
      <c r="BI145" s="269" t="s">
        <v>25</v>
      </c>
      <c r="BJ145" s="269" t="s">
        <v>25</v>
      </c>
      <c r="BK145" s="269" t="s">
        <v>25</v>
      </c>
      <c r="BL145" s="234">
        <f t="shared" ref="BL145:BU145" si="151">BL140-BL150</f>
        <v>512</v>
      </c>
      <c r="BM145" s="234">
        <f t="shared" si="151"/>
        <v>509</v>
      </c>
      <c r="BN145" s="234">
        <f t="shared" si="151"/>
        <v>500</v>
      </c>
      <c r="BO145" s="234">
        <f t="shared" si="151"/>
        <v>493</v>
      </c>
      <c r="BP145" s="234">
        <f t="shared" si="151"/>
        <v>493</v>
      </c>
      <c r="BQ145" s="234">
        <f t="shared" si="151"/>
        <v>489</v>
      </c>
      <c r="BR145" s="234">
        <f t="shared" si="151"/>
        <v>486</v>
      </c>
      <c r="BS145" s="234">
        <f t="shared" si="151"/>
        <v>481</v>
      </c>
      <c r="BT145" s="234">
        <f t="shared" si="151"/>
        <v>479</v>
      </c>
      <c r="BU145" s="234">
        <f t="shared" si="151"/>
        <v>479</v>
      </c>
      <c r="BV145" s="12">
        <v>475</v>
      </c>
      <c r="BW145" s="12">
        <f>BW140-BW150</f>
        <v>473</v>
      </c>
      <c r="BX145" s="12">
        <f>BX140-BX150</f>
        <v>474</v>
      </c>
      <c r="BY145" s="12">
        <f>BZ145</f>
        <v>474</v>
      </c>
      <c r="BZ145" s="234">
        <v>474</v>
      </c>
      <c r="CA145" s="12">
        <v>472</v>
      </c>
      <c r="CB145" s="12">
        <v>468</v>
      </c>
      <c r="CC145" s="12">
        <f>CC140-CC150</f>
        <v>460</v>
      </c>
      <c r="CD145" s="12">
        <f>CE145</f>
        <v>454</v>
      </c>
      <c r="CE145" s="234">
        <f>CE140-CE150</f>
        <v>454</v>
      </c>
      <c r="CF145" s="12">
        <v>447</v>
      </c>
      <c r="CG145" s="12">
        <f>CG140-CG150</f>
        <v>438</v>
      </c>
      <c r="CH145" s="12">
        <f>CH140-CH150</f>
        <v>431</v>
      </c>
      <c r="CI145" s="12">
        <f>CJ145</f>
        <v>423</v>
      </c>
      <c r="CJ145" s="234">
        <f>CJ140-CJ150</f>
        <v>423</v>
      </c>
      <c r="CK145" s="12">
        <v>415</v>
      </c>
      <c r="CL145" s="12">
        <v>411</v>
      </c>
      <c r="CM145" s="12">
        <v>411</v>
      </c>
      <c r="CN145" s="12">
        <f>CO145</f>
        <v>409</v>
      </c>
      <c r="CO145" s="234">
        <v>409</v>
      </c>
    </row>
    <row r="146" spans="2:93" ht="13.9" customHeight="1">
      <c r="B146" s="20" t="s">
        <v>5</v>
      </c>
      <c r="C146" s="4"/>
      <c r="D146" s="22"/>
      <c r="E146" s="22"/>
      <c r="F146" s="22"/>
      <c r="G146" s="22"/>
      <c r="H146" s="4"/>
      <c r="I146" s="22"/>
      <c r="J146" s="22"/>
      <c r="K146" s="22"/>
      <c r="L146" s="21"/>
      <c r="M146" s="4"/>
      <c r="N146" s="22"/>
      <c r="O146" s="22"/>
      <c r="P146" s="22"/>
      <c r="Q146" s="21"/>
      <c r="R146" s="4"/>
      <c r="S146" s="22"/>
      <c r="T146" s="22"/>
      <c r="U146" s="22"/>
      <c r="V146" s="21"/>
      <c r="W146" s="239"/>
      <c r="X146" s="239"/>
      <c r="Y146" s="239"/>
      <c r="Z146" s="239"/>
      <c r="AA146" s="250"/>
      <c r="AB146" s="239"/>
      <c r="AC146" s="239"/>
      <c r="AD146" s="239"/>
      <c r="AE146" s="239"/>
      <c r="AF146" s="250"/>
      <c r="AG146" s="239"/>
      <c r="AH146" s="239"/>
      <c r="AI146" s="239"/>
      <c r="AJ146" s="239"/>
      <c r="AK146" s="250"/>
      <c r="AL146" s="239"/>
      <c r="AM146" s="239"/>
      <c r="AN146" s="251"/>
      <c r="AO146" s="251"/>
      <c r="AP146" s="251"/>
      <c r="AQ146" s="272"/>
      <c r="AR146" s="249"/>
      <c r="AS146" s="249"/>
      <c r="AT146" s="249"/>
      <c r="AU146" s="249"/>
      <c r="AV146" s="249"/>
      <c r="AW146" s="249"/>
      <c r="AX146" s="249"/>
      <c r="AY146" s="249"/>
      <c r="AZ146" s="249"/>
      <c r="BA146" s="249"/>
      <c r="BB146" s="249"/>
      <c r="BC146" s="249"/>
      <c r="BD146" s="249"/>
      <c r="BE146" s="249"/>
      <c r="BF146" s="249"/>
      <c r="BG146" s="249"/>
      <c r="BH146" s="249"/>
      <c r="BI146" s="249"/>
      <c r="BJ146" s="249"/>
      <c r="BK146" s="249"/>
      <c r="BL146" s="212"/>
      <c r="BM146" s="212">
        <f>BM145/BL145-1</f>
        <v>-5.859375E-3</v>
      </c>
      <c r="BN146" s="212">
        <f>BN145/BM145-1</f>
        <v>-1.7681728880157177E-2</v>
      </c>
      <c r="BO146" s="212">
        <f>BO145/BN145-1</f>
        <v>-1.4000000000000012E-2</v>
      </c>
      <c r="BP146" s="226"/>
      <c r="BQ146" s="212">
        <f>BQ145/BO145-1</f>
        <v>-8.113590263691739E-3</v>
      </c>
      <c r="BR146" s="212">
        <f>BR145/BQ145-1</f>
        <v>-6.1349693251533388E-3</v>
      </c>
      <c r="BS146" s="212">
        <f>BS145/BR145-1</f>
        <v>-1.0288065843621408E-2</v>
      </c>
      <c r="BT146" s="212">
        <f>BT145/BS145-1</f>
        <v>-4.1580041580041582E-3</v>
      </c>
      <c r="BU146" s="226"/>
      <c r="BV146" s="21">
        <f>BV145/BT145-1</f>
        <v>-8.3507306889353261E-3</v>
      </c>
      <c r="BW146" s="67">
        <f>BW145/BV145-1</f>
        <v>-4.2105263157894424E-3</v>
      </c>
      <c r="BX146" s="67">
        <f>BX145/BW145-1</f>
        <v>2.1141649048626032E-3</v>
      </c>
      <c r="BY146" s="67">
        <f>BY145/BX145-1</f>
        <v>0</v>
      </c>
      <c r="BZ146" s="226"/>
      <c r="CA146" s="21">
        <f>CA145/BY145-1</f>
        <v>-4.2194092827003704E-3</v>
      </c>
      <c r="CB146" s="67">
        <f>CB145/CA145-1</f>
        <v>-8.4745762711864181E-3</v>
      </c>
      <c r="CC146" s="67">
        <f>CC145/CB145-1</f>
        <v>-1.7094017094017144E-2</v>
      </c>
      <c r="CD146" s="67">
        <f>CD145/CC145-1</f>
        <v>-1.3043478260869601E-2</v>
      </c>
      <c r="CE146" s="226"/>
      <c r="CF146" s="21">
        <f>CF145/CD145-1</f>
        <v>-1.5418502202643181E-2</v>
      </c>
      <c r="CG146" s="67">
        <f>CG145/CF145-1</f>
        <v>-2.0134228187919434E-2</v>
      </c>
      <c r="CH146" s="67">
        <f>CH145/CG145-1</f>
        <v>-1.5981735159817378E-2</v>
      </c>
      <c r="CI146" s="67">
        <f>CI145/CH145-1</f>
        <v>-1.8561484918793503E-2</v>
      </c>
      <c r="CJ146" s="226"/>
      <c r="CK146" s="21">
        <f>CK145/CI145-1</f>
        <v>-1.891252955082745E-2</v>
      </c>
      <c r="CL146" s="67">
        <f>CL145/CK145-1</f>
        <v>-9.6385542168674343E-3</v>
      </c>
      <c r="CM146" s="67">
        <f>CM145/CL145-1</f>
        <v>0</v>
      </c>
      <c r="CN146" s="67">
        <f>CN145/CM145-1</f>
        <v>-4.8661800486617945E-3</v>
      </c>
      <c r="CO146" s="226"/>
    </row>
    <row r="147" spans="2:93" ht="13.9" customHeight="1">
      <c r="B147" s="20" t="s">
        <v>6</v>
      </c>
      <c r="C147" s="4"/>
      <c r="D147" s="22"/>
      <c r="E147" s="22"/>
      <c r="F147" s="22"/>
      <c r="G147" s="22"/>
      <c r="H147" s="4"/>
      <c r="I147" s="22"/>
      <c r="J147" s="22"/>
      <c r="K147" s="22"/>
      <c r="L147" s="21"/>
      <c r="M147" s="4"/>
      <c r="N147" s="22"/>
      <c r="O147" s="22"/>
      <c r="P147" s="22"/>
      <c r="Q147" s="21"/>
      <c r="R147" s="4"/>
      <c r="S147" s="22"/>
      <c r="T147" s="22"/>
      <c r="U147" s="22"/>
      <c r="V147" s="21"/>
      <c r="W147" s="239"/>
      <c r="X147" s="239"/>
      <c r="Y147" s="239"/>
      <c r="Z147" s="239"/>
      <c r="AA147" s="250"/>
      <c r="AB147" s="239"/>
      <c r="AC147" s="239"/>
      <c r="AD147" s="239"/>
      <c r="AE147" s="239"/>
      <c r="AF147" s="250"/>
      <c r="AG147" s="239"/>
      <c r="AH147" s="239"/>
      <c r="AI147" s="239"/>
      <c r="AJ147" s="239"/>
      <c r="AK147" s="250"/>
      <c r="AL147" s="239"/>
      <c r="AM147" s="239"/>
      <c r="AN147" s="251"/>
      <c r="AO147" s="251"/>
      <c r="AP147" s="251"/>
      <c r="AQ147" s="272"/>
      <c r="AR147" s="249"/>
      <c r="AS147" s="249"/>
      <c r="AT147" s="249"/>
      <c r="AU147" s="249"/>
      <c r="AV147" s="249"/>
      <c r="AW147" s="249"/>
      <c r="AX147" s="249"/>
      <c r="AY147" s="249"/>
      <c r="AZ147" s="249"/>
      <c r="BA147" s="249"/>
      <c r="BB147" s="249"/>
      <c r="BC147" s="249"/>
      <c r="BD147" s="249"/>
      <c r="BE147" s="249"/>
      <c r="BF147" s="249"/>
      <c r="BG147" s="249"/>
      <c r="BH147" s="249"/>
      <c r="BI147" s="249"/>
      <c r="BJ147" s="249"/>
      <c r="BK147" s="249"/>
      <c r="BL147" s="211"/>
      <c r="BM147" s="211"/>
      <c r="BN147" s="211"/>
      <c r="BO147" s="212"/>
      <c r="BP147" s="211"/>
      <c r="BQ147" s="211">
        <f t="shared" ref="BQ147:BX147" si="152">BQ145/BL145-1</f>
        <v>-4.4921875E-2</v>
      </c>
      <c r="BR147" s="211">
        <f t="shared" si="152"/>
        <v>-4.5186640471512773E-2</v>
      </c>
      <c r="BS147" s="211">
        <f t="shared" si="152"/>
        <v>-3.8000000000000034E-2</v>
      </c>
      <c r="BT147" s="212">
        <f t="shared" si="152"/>
        <v>-2.8397565922920864E-2</v>
      </c>
      <c r="BU147" s="211">
        <f t="shared" si="152"/>
        <v>-2.8397565922920864E-2</v>
      </c>
      <c r="BV147" s="22">
        <f t="shared" si="152"/>
        <v>-2.8629856850715729E-2</v>
      </c>
      <c r="BW147" s="66">
        <f t="shared" si="152"/>
        <v>-2.6748971193415683E-2</v>
      </c>
      <c r="BX147" s="66">
        <f t="shared" si="152"/>
        <v>-1.4553014553014498E-2</v>
      </c>
      <c r="BY147" s="67">
        <f>BY145/BT145-1</f>
        <v>-1.043841336116913E-2</v>
      </c>
      <c r="BZ147" s="211">
        <f>BZ145/BU145-1</f>
        <v>-1.043841336116913E-2</v>
      </c>
      <c r="CA147" s="22">
        <f>CA145/BV145-1</f>
        <v>-6.3157894736841635E-3</v>
      </c>
      <c r="CB147" s="66">
        <f>CB145/BW145-1</f>
        <v>-1.0570824524312905E-2</v>
      </c>
      <c r="CC147" s="66">
        <f t="shared" ref="CC147" si="153">CC145/BX145-1</f>
        <v>-2.9535864978902926E-2</v>
      </c>
      <c r="CD147" s="67">
        <f>CD145/BY145-1</f>
        <v>-4.2194092827004259E-2</v>
      </c>
      <c r="CE147" s="211">
        <f>CE145/BZ145-1</f>
        <v>-4.2194092827004259E-2</v>
      </c>
      <c r="CF147" s="22">
        <f>CF145/CA145-1</f>
        <v>-5.2966101694915224E-2</v>
      </c>
      <c r="CG147" s="66">
        <f>CG145/CB145-1</f>
        <v>-6.4102564102564097E-2</v>
      </c>
      <c r="CH147" s="66">
        <f t="shared" ref="CH147" si="154">CH145/CC145-1</f>
        <v>-6.3043478260869534E-2</v>
      </c>
      <c r="CI147" s="67">
        <f>CI145/CD145-1</f>
        <v>-6.8281938325991165E-2</v>
      </c>
      <c r="CJ147" s="211">
        <f>CJ145/CE145-1</f>
        <v>-6.8281938325991165E-2</v>
      </c>
      <c r="CK147" s="22">
        <f t="shared" ref="CK147" si="155">CK145/CF145-1</f>
        <v>-7.1588366890380284E-2</v>
      </c>
      <c r="CL147" s="66">
        <f>CL145/CG145-1</f>
        <v>-6.164383561643838E-2</v>
      </c>
      <c r="CM147" s="66">
        <f>CM145/CH145-1</f>
        <v>-4.6403712296983812E-2</v>
      </c>
      <c r="CN147" s="67">
        <f>CN145/CI145-1</f>
        <v>-3.3096926713948038E-2</v>
      </c>
      <c r="CO147" s="211">
        <f>CO145/CJ145-1</f>
        <v>-3.3096926713948038E-2</v>
      </c>
    </row>
    <row r="148" spans="2:93" ht="13.9" customHeight="1">
      <c r="B148" s="20" t="s">
        <v>121</v>
      </c>
      <c r="C148" s="4"/>
      <c r="D148" s="22"/>
      <c r="E148" s="22"/>
      <c r="F148" s="22"/>
      <c r="G148" s="22"/>
      <c r="H148" s="4"/>
      <c r="I148" s="22"/>
      <c r="J148" s="22"/>
      <c r="K148" s="22"/>
      <c r="L148" s="21"/>
      <c r="M148" s="4"/>
      <c r="N148" s="22"/>
      <c r="O148" s="22"/>
      <c r="P148" s="22"/>
      <c r="Q148" s="21"/>
      <c r="R148" s="4"/>
      <c r="S148" s="22"/>
      <c r="T148" s="22"/>
      <c r="U148" s="22"/>
      <c r="V148" s="21"/>
      <c r="W148" s="239"/>
      <c r="X148" s="239"/>
      <c r="Y148" s="239"/>
      <c r="Z148" s="239"/>
      <c r="AA148" s="250"/>
      <c r="AB148" s="239"/>
      <c r="AC148" s="239"/>
      <c r="AD148" s="239"/>
      <c r="AE148" s="239"/>
      <c r="AF148" s="250"/>
      <c r="AG148" s="239"/>
      <c r="AH148" s="239"/>
      <c r="AI148" s="239"/>
      <c r="AJ148" s="239"/>
      <c r="AK148" s="250"/>
      <c r="AL148" s="239"/>
      <c r="AM148" s="239"/>
      <c r="AN148" s="251"/>
      <c r="AO148" s="251"/>
      <c r="AP148" s="251"/>
      <c r="AQ148" s="272"/>
      <c r="AR148" s="249"/>
      <c r="AS148" s="249"/>
      <c r="AT148" s="249"/>
      <c r="AU148" s="249"/>
      <c r="AV148" s="249"/>
      <c r="AW148" s="249"/>
      <c r="AX148" s="249"/>
      <c r="AY148" s="249"/>
      <c r="AZ148" s="249"/>
      <c r="BA148" s="249"/>
      <c r="BB148" s="249"/>
      <c r="BC148" s="249"/>
      <c r="BD148" s="249"/>
      <c r="BE148" s="249"/>
      <c r="BF148" s="249"/>
      <c r="BG148" s="249"/>
      <c r="BH148" s="249"/>
      <c r="BI148" s="249"/>
      <c r="BJ148" s="249"/>
      <c r="BK148" s="249"/>
      <c r="BL148" s="249"/>
      <c r="BM148" s="249">
        <f>BM145-BL145</f>
        <v>-3</v>
      </c>
      <c r="BN148" s="249">
        <f>BN145-BM145</f>
        <v>-9</v>
      </c>
      <c r="BO148" s="249">
        <f>BO145-BN145</f>
        <v>-7</v>
      </c>
      <c r="BP148" s="249"/>
      <c r="BQ148" s="249">
        <f>BQ145-BO145</f>
        <v>-4</v>
      </c>
      <c r="BR148" s="249">
        <f>BR145-BQ145</f>
        <v>-3</v>
      </c>
      <c r="BS148" s="249">
        <f>BS145-BR145</f>
        <v>-5</v>
      </c>
      <c r="BT148" s="249">
        <f>BT145-BS145</f>
        <v>-2</v>
      </c>
      <c r="BU148" s="249">
        <f>BU145-BP145</f>
        <v>-14</v>
      </c>
      <c r="BV148" s="113">
        <f>BV145-BT145</f>
        <v>-4</v>
      </c>
      <c r="BW148" s="113">
        <f>BW145-BV145</f>
        <v>-2</v>
      </c>
      <c r="BX148" s="113">
        <f>BX145-BW145</f>
        <v>1</v>
      </c>
      <c r="BY148" s="113">
        <f>BY145-BX145</f>
        <v>0</v>
      </c>
      <c r="BZ148" s="249">
        <f>BZ145-BU145</f>
        <v>-5</v>
      </c>
      <c r="CA148" s="113">
        <f>CA145-BY145</f>
        <v>-2</v>
      </c>
      <c r="CB148" s="113">
        <f>CB145-CA145</f>
        <v>-4</v>
      </c>
      <c r="CC148" s="113">
        <f>CC145-CB145</f>
        <v>-8</v>
      </c>
      <c r="CD148" s="113">
        <f>CD145-CC145</f>
        <v>-6</v>
      </c>
      <c r="CE148" s="249">
        <f>CE145-BZ145</f>
        <v>-20</v>
      </c>
      <c r="CF148" s="113">
        <f>CF145-CD145</f>
        <v>-7</v>
      </c>
      <c r="CG148" s="113">
        <f>CG145-CF145</f>
        <v>-9</v>
      </c>
      <c r="CH148" s="113">
        <f>CH145-CG145</f>
        <v>-7</v>
      </c>
      <c r="CI148" s="113">
        <f>CI145-CH145</f>
        <v>-8</v>
      </c>
      <c r="CJ148" s="249">
        <f>CJ145-CE145</f>
        <v>-31</v>
      </c>
      <c r="CK148" s="113">
        <f>CK145-CI145</f>
        <v>-8</v>
      </c>
      <c r="CL148" s="113">
        <f>CL145-CK145</f>
        <v>-4</v>
      </c>
      <c r="CM148" s="113">
        <f>CM145-CL145</f>
        <v>0</v>
      </c>
      <c r="CN148" s="113">
        <f>CN145-CM145</f>
        <v>-2</v>
      </c>
      <c r="CO148" s="249">
        <f>CO145-CJ145</f>
        <v>-14</v>
      </c>
    </row>
    <row r="149" spans="2:93" ht="13.9" customHeight="1">
      <c r="B149" s="20"/>
      <c r="C149" s="4"/>
      <c r="D149" s="22"/>
      <c r="E149" s="22"/>
      <c r="F149" s="22"/>
      <c r="G149" s="22"/>
      <c r="H149" s="4"/>
      <c r="I149" s="22"/>
      <c r="J149" s="22"/>
      <c r="K149" s="22"/>
      <c r="L149" s="21"/>
      <c r="M149" s="4"/>
      <c r="N149" s="22"/>
      <c r="O149" s="22"/>
      <c r="P149" s="22"/>
      <c r="Q149" s="21"/>
      <c r="R149" s="4"/>
      <c r="S149" s="22"/>
      <c r="T149" s="22"/>
      <c r="U149" s="22"/>
      <c r="V149" s="21"/>
      <c r="W149" s="239"/>
      <c r="X149" s="239"/>
      <c r="Y149" s="239"/>
      <c r="Z149" s="239"/>
      <c r="AA149" s="250"/>
      <c r="AB149" s="239"/>
      <c r="AC149" s="239"/>
      <c r="AD149" s="239"/>
      <c r="AE149" s="239"/>
      <c r="AF149" s="250"/>
      <c r="AG149" s="239"/>
      <c r="AH149" s="239"/>
      <c r="AI149" s="239"/>
      <c r="AJ149" s="239"/>
      <c r="AK149" s="250"/>
      <c r="AL149" s="239"/>
      <c r="AM149" s="239"/>
      <c r="AN149" s="251"/>
      <c r="AO149" s="251"/>
      <c r="AP149" s="251"/>
      <c r="AQ149" s="272"/>
      <c r="AR149" s="249"/>
      <c r="AS149" s="249"/>
      <c r="AT149" s="249"/>
      <c r="AU149" s="249"/>
      <c r="AV149" s="249"/>
      <c r="AW149" s="249"/>
      <c r="AX149" s="249"/>
      <c r="AY149" s="249"/>
      <c r="AZ149" s="249"/>
      <c r="BA149" s="249"/>
      <c r="BB149" s="249"/>
      <c r="BC149" s="249"/>
      <c r="BD149" s="249"/>
      <c r="BE149" s="249"/>
      <c r="BF149" s="249"/>
      <c r="BG149" s="249"/>
      <c r="BH149" s="249"/>
      <c r="BI149" s="249"/>
      <c r="BJ149" s="249"/>
      <c r="BK149" s="249"/>
      <c r="BL149" s="249"/>
      <c r="BM149" s="249"/>
      <c r="BN149" s="249"/>
      <c r="BO149" s="249"/>
      <c r="BP149" s="249"/>
      <c r="BQ149" s="249"/>
      <c r="BR149" s="249"/>
      <c r="BS149" s="249"/>
      <c r="BT149" s="249"/>
      <c r="BU149" s="249"/>
      <c r="BV149" s="113"/>
      <c r="BW149" s="113"/>
      <c r="BX149" s="113"/>
      <c r="BY149" s="113"/>
      <c r="BZ149" s="249"/>
      <c r="CA149" s="113"/>
      <c r="CB149" s="113"/>
      <c r="CC149" s="113"/>
      <c r="CD149" s="113"/>
      <c r="CE149" s="249"/>
      <c r="CF149" s="113"/>
      <c r="CG149" s="113"/>
      <c r="CH149" s="113"/>
      <c r="CI149" s="113"/>
      <c r="CJ149" s="249"/>
      <c r="CK149" s="113"/>
      <c r="CL149" s="113"/>
      <c r="CM149" s="113"/>
      <c r="CN149" s="113"/>
      <c r="CO149" s="249"/>
    </row>
    <row r="150" spans="2:93" ht="13.9" customHeight="1">
      <c r="B150" s="12" t="s">
        <v>321</v>
      </c>
      <c r="C150" s="4"/>
      <c r="D150" s="22"/>
      <c r="E150" s="22"/>
      <c r="F150" s="22"/>
      <c r="G150" s="22"/>
      <c r="H150" s="4"/>
      <c r="I150" s="22"/>
      <c r="J150" s="22"/>
      <c r="K150" s="22"/>
      <c r="L150" s="21"/>
      <c r="M150" s="4"/>
      <c r="N150" s="22"/>
      <c r="O150" s="22"/>
      <c r="P150" s="22"/>
      <c r="Q150" s="21"/>
      <c r="R150" s="4"/>
      <c r="S150" s="22"/>
      <c r="T150" s="22"/>
      <c r="U150" s="22"/>
      <c r="V150" s="21"/>
      <c r="W150" s="269" t="s">
        <v>25</v>
      </c>
      <c r="X150" s="269" t="s">
        <v>25</v>
      </c>
      <c r="Y150" s="269" t="s">
        <v>25</v>
      </c>
      <c r="Z150" s="269" t="s">
        <v>25</v>
      </c>
      <c r="AA150" s="269" t="s">
        <v>25</v>
      </c>
      <c r="AB150" s="269" t="s">
        <v>25</v>
      </c>
      <c r="AC150" s="269" t="s">
        <v>25</v>
      </c>
      <c r="AD150" s="269" t="s">
        <v>25</v>
      </c>
      <c r="AE150" s="269" t="s">
        <v>25</v>
      </c>
      <c r="AF150" s="269" t="s">
        <v>25</v>
      </c>
      <c r="AG150" s="269" t="s">
        <v>25</v>
      </c>
      <c r="AH150" s="269" t="s">
        <v>25</v>
      </c>
      <c r="AI150" s="269" t="s">
        <v>25</v>
      </c>
      <c r="AJ150" s="269" t="s">
        <v>25</v>
      </c>
      <c r="AK150" s="269" t="s">
        <v>25</v>
      </c>
      <c r="AL150" s="269" t="s">
        <v>25</v>
      </c>
      <c r="AM150" s="269" t="s">
        <v>25</v>
      </c>
      <c r="AN150" s="269" t="s">
        <v>25</v>
      </c>
      <c r="AO150" s="269" t="s">
        <v>25</v>
      </c>
      <c r="AP150" s="269" t="s">
        <v>25</v>
      </c>
      <c r="AQ150" s="269" t="s">
        <v>25</v>
      </c>
      <c r="AR150" s="269" t="s">
        <v>25</v>
      </c>
      <c r="AS150" s="269" t="s">
        <v>25</v>
      </c>
      <c r="AT150" s="269" t="s">
        <v>25</v>
      </c>
      <c r="AU150" s="269" t="s">
        <v>25</v>
      </c>
      <c r="AV150" s="269" t="s">
        <v>25</v>
      </c>
      <c r="AW150" s="269" t="s">
        <v>25</v>
      </c>
      <c r="AX150" s="269" t="s">
        <v>25</v>
      </c>
      <c r="AY150" s="269" t="s">
        <v>25</v>
      </c>
      <c r="AZ150" s="269" t="s">
        <v>25</v>
      </c>
      <c r="BA150" s="269" t="s">
        <v>25</v>
      </c>
      <c r="BB150" s="269" t="s">
        <v>25</v>
      </c>
      <c r="BC150" s="269" t="s">
        <v>25</v>
      </c>
      <c r="BD150" s="269" t="s">
        <v>25</v>
      </c>
      <c r="BE150" s="269" t="s">
        <v>25</v>
      </c>
      <c r="BF150" s="269" t="s">
        <v>25</v>
      </c>
      <c r="BG150" s="269" t="s">
        <v>25</v>
      </c>
      <c r="BH150" s="269" t="s">
        <v>25</v>
      </c>
      <c r="BI150" s="269" t="s">
        <v>25</v>
      </c>
      <c r="BJ150" s="269" t="s">
        <v>25</v>
      </c>
      <c r="BK150" s="234">
        <v>36</v>
      </c>
      <c r="BL150" s="234">
        <v>44</v>
      </c>
      <c r="BM150" s="234">
        <v>48</v>
      </c>
      <c r="BN150" s="234">
        <v>56</v>
      </c>
      <c r="BO150" s="210">
        <v>64</v>
      </c>
      <c r="BP150" s="234">
        <v>64</v>
      </c>
      <c r="BQ150" s="234">
        <v>70</v>
      </c>
      <c r="BR150" s="234">
        <v>74</v>
      </c>
      <c r="BS150" s="234">
        <v>79</v>
      </c>
      <c r="BT150" s="210">
        <v>84</v>
      </c>
      <c r="BU150" s="234">
        <v>84</v>
      </c>
      <c r="BV150" s="12">
        <v>89</v>
      </c>
      <c r="BW150" s="2">
        <v>94</v>
      </c>
      <c r="BX150" s="2">
        <v>101</v>
      </c>
      <c r="BY150" s="59">
        <f>BZ150</f>
        <v>104</v>
      </c>
      <c r="BZ150" s="234">
        <v>104</v>
      </c>
      <c r="CA150" s="12">
        <v>108</v>
      </c>
      <c r="CB150" s="2">
        <v>111</v>
      </c>
      <c r="CC150" s="2">
        <v>116</v>
      </c>
      <c r="CD150" s="59">
        <f>CE150</f>
        <v>120</v>
      </c>
      <c r="CE150" s="234">
        <v>120</v>
      </c>
      <c r="CF150" s="12">
        <v>124</v>
      </c>
      <c r="CG150" s="2">
        <v>129</v>
      </c>
      <c r="CH150" s="2">
        <v>132</v>
      </c>
      <c r="CI150" s="59">
        <f>CJ150</f>
        <v>139</v>
      </c>
      <c r="CJ150" s="234">
        <v>139</v>
      </c>
      <c r="CK150" s="12">
        <v>146</v>
      </c>
      <c r="CL150" s="2">
        <v>151</v>
      </c>
      <c r="CM150" s="2">
        <v>154</v>
      </c>
      <c r="CN150" s="59">
        <f>CO150</f>
        <v>156</v>
      </c>
      <c r="CO150" s="234">
        <v>156</v>
      </c>
    </row>
    <row r="151" spans="2:93" ht="13.9" customHeight="1">
      <c r="B151" s="20" t="s">
        <v>5</v>
      </c>
      <c r="C151" s="4"/>
      <c r="D151" s="22"/>
      <c r="E151" s="22"/>
      <c r="F151" s="22"/>
      <c r="G151" s="22"/>
      <c r="H151" s="4"/>
      <c r="I151" s="22"/>
      <c r="J151" s="22"/>
      <c r="K151" s="22"/>
      <c r="L151" s="21"/>
      <c r="M151" s="4"/>
      <c r="N151" s="22"/>
      <c r="O151" s="22"/>
      <c r="P151" s="22"/>
      <c r="Q151" s="21"/>
      <c r="R151" s="4"/>
      <c r="S151" s="22"/>
      <c r="T151" s="22"/>
      <c r="U151" s="22"/>
      <c r="V151" s="21"/>
      <c r="W151" s="211"/>
      <c r="X151" s="211"/>
      <c r="Y151" s="211"/>
      <c r="Z151" s="211"/>
      <c r="AA151" s="212"/>
      <c r="AB151" s="211"/>
      <c r="AC151" s="211"/>
      <c r="AD151" s="211"/>
      <c r="AE151" s="211"/>
      <c r="AF151" s="212"/>
      <c r="AG151" s="211"/>
      <c r="AH151" s="211"/>
      <c r="AI151" s="211"/>
      <c r="AJ151" s="211"/>
      <c r="AK151" s="212"/>
      <c r="AL151" s="211"/>
      <c r="AM151" s="211"/>
      <c r="AN151" s="217"/>
      <c r="AO151" s="217"/>
      <c r="AP151" s="212"/>
      <c r="AQ151" s="211"/>
      <c r="AR151" s="211"/>
      <c r="AS151" s="217"/>
      <c r="AT151" s="217"/>
      <c r="AU151" s="212"/>
      <c r="AV151" s="211"/>
      <c r="AW151" s="211"/>
      <c r="AX151" s="211"/>
      <c r="AY151" s="211"/>
      <c r="AZ151" s="212"/>
      <c r="BA151" s="211"/>
      <c r="BB151" s="211"/>
      <c r="BC151" s="211"/>
      <c r="BD151" s="211"/>
      <c r="BE151" s="212"/>
      <c r="BF151" s="211"/>
      <c r="BG151" s="211"/>
      <c r="BH151" s="211"/>
      <c r="BI151" s="211"/>
      <c r="BJ151" s="212"/>
      <c r="BK151" s="211"/>
      <c r="BL151" s="212"/>
      <c r="BM151" s="212">
        <f>BM150/BL150-1</f>
        <v>9.0909090909090828E-2</v>
      </c>
      <c r="BN151" s="212">
        <f>BN150/BM150-1</f>
        <v>0.16666666666666674</v>
      </c>
      <c r="BO151" s="212">
        <f>BO150/BN150-1</f>
        <v>0.14285714285714279</v>
      </c>
      <c r="BP151" s="226"/>
      <c r="BQ151" s="212">
        <f>BQ150/BO150-1</f>
        <v>9.375E-2</v>
      </c>
      <c r="BR151" s="212">
        <f>BR150/BQ150-1</f>
        <v>5.7142857142857162E-2</v>
      </c>
      <c r="BS151" s="212">
        <f>BS150/BR150-1</f>
        <v>6.7567567567567544E-2</v>
      </c>
      <c r="BT151" s="212">
        <f>BT150/BS150-1</f>
        <v>6.3291139240506222E-2</v>
      </c>
      <c r="BU151" s="226"/>
      <c r="BV151" s="21">
        <f>BV150/BT150-1</f>
        <v>5.9523809523809534E-2</v>
      </c>
      <c r="BW151" s="67">
        <f>BW150/BV150-1</f>
        <v>5.6179775280898792E-2</v>
      </c>
      <c r="BX151" s="67">
        <f>BX150/BW150-1</f>
        <v>7.4468085106383031E-2</v>
      </c>
      <c r="BY151" s="67">
        <f>BY150/BX150-1</f>
        <v>2.9702970297029729E-2</v>
      </c>
      <c r="BZ151" s="226"/>
      <c r="CA151" s="21">
        <f>CA150/BY150-1</f>
        <v>3.8461538461538547E-2</v>
      </c>
      <c r="CB151" s="67">
        <f>CB150/CA150-1</f>
        <v>2.7777777777777679E-2</v>
      </c>
      <c r="CC151" s="67">
        <f>CC150/CB150-1</f>
        <v>4.5045045045045029E-2</v>
      </c>
      <c r="CD151" s="67">
        <f>CD150/CC150-1</f>
        <v>3.4482758620689724E-2</v>
      </c>
      <c r="CE151" s="226"/>
      <c r="CF151" s="21">
        <f>CF150/CD150-1</f>
        <v>3.3333333333333437E-2</v>
      </c>
      <c r="CG151" s="67">
        <f>CG150/CF150-1</f>
        <v>4.0322580645161255E-2</v>
      </c>
      <c r="CH151" s="67">
        <f>CH150/CG150-1</f>
        <v>2.3255813953488413E-2</v>
      </c>
      <c r="CI151" s="67">
        <f>CI150/CH150-1</f>
        <v>5.3030303030302983E-2</v>
      </c>
      <c r="CJ151" s="226"/>
      <c r="CK151" s="21">
        <f>CK150/CI150-1</f>
        <v>5.0359712230215736E-2</v>
      </c>
      <c r="CL151" s="67">
        <f>CL150/CK150-1</f>
        <v>3.4246575342465668E-2</v>
      </c>
      <c r="CM151" s="67">
        <f>CM150/CL150-1</f>
        <v>1.9867549668874274E-2</v>
      </c>
      <c r="CN151" s="67">
        <f>CN150/CM150-1</f>
        <v>1.298701298701288E-2</v>
      </c>
      <c r="CO151" s="226"/>
    </row>
    <row r="152" spans="2:93" ht="13.9" customHeight="1">
      <c r="B152" s="20" t="s">
        <v>6</v>
      </c>
      <c r="C152" s="4"/>
      <c r="D152" s="22"/>
      <c r="E152" s="22"/>
      <c r="F152" s="22"/>
      <c r="G152" s="22"/>
      <c r="H152" s="4"/>
      <c r="I152" s="22"/>
      <c r="J152" s="22"/>
      <c r="K152" s="22"/>
      <c r="L152" s="21"/>
      <c r="M152" s="4"/>
      <c r="N152" s="22"/>
      <c r="O152" s="22"/>
      <c r="P152" s="22"/>
      <c r="Q152" s="21"/>
      <c r="R152" s="4"/>
      <c r="S152" s="22"/>
      <c r="T152" s="22"/>
      <c r="U152" s="22"/>
      <c r="V152" s="21"/>
      <c r="W152" s="211"/>
      <c r="X152" s="211"/>
      <c r="Y152" s="211"/>
      <c r="Z152" s="211"/>
      <c r="AA152" s="212"/>
      <c r="AB152" s="211"/>
      <c r="AC152" s="211"/>
      <c r="AD152" s="211"/>
      <c r="AE152" s="211"/>
      <c r="AF152" s="212"/>
      <c r="AG152" s="211"/>
      <c r="AH152" s="211"/>
      <c r="AI152" s="211"/>
      <c r="AJ152" s="211"/>
      <c r="AK152" s="212"/>
      <c r="AL152" s="211"/>
      <c r="AM152" s="211"/>
      <c r="AN152" s="217"/>
      <c r="AO152" s="217"/>
      <c r="AP152" s="212"/>
      <c r="AQ152" s="211"/>
      <c r="AR152" s="211"/>
      <c r="AS152" s="217"/>
      <c r="AT152" s="217"/>
      <c r="AU152" s="212"/>
      <c r="AV152" s="211"/>
      <c r="AW152" s="211"/>
      <c r="AX152" s="211"/>
      <c r="AY152" s="211"/>
      <c r="AZ152" s="212"/>
      <c r="BA152" s="211"/>
      <c r="BB152" s="211"/>
      <c r="BC152" s="211"/>
      <c r="BD152" s="211"/>
      <c r="BE152" s="212"/>
      <c r="BF152" s="211"/>
      <c r="BG152" s="211"/>
      <c r="BH152" s="211"/>
      <c r="BI152" s="211"/>
      <c r="BJ152" s="212"/>
      <c r="BK152" s="211"/>
      <c r="BL152" s="211"/>
      <c r="BM152" s="211"/>
      <c r="BN152" s="211"/>
      <c r="BO152" s="212"/>
      <c r="BP152" s="211">
        <f t="shared" ref="BP152:BX152" si="156">BP150/BK150-1</f>
        <v>0.77777777777777768</v>
      </c>
      <c r="BQ152" s="211">
        <f t="shared" si="156"/>
        <v>0.59090909090909083</v>
      </c>
      <c r="BR152" s="211">
        <f t="shared" si="156"/>
        <v>0.54166666666666674</v>
      </c>
      <c r="BS152" s="211">
        <f t="shared" si="156"/>
        <v>0.41071428571428581</v>
      </c>
      <c r="BT152" s="212">
        <f t="shared" si="156"/>
        <v>0.3125</v>
      </c>
      <c r="BU152" s="211">
        <f t="shared" si="156"/>
        <v>0.3125</v>
      </c>
      <c r="BV152" s="22">
        <f t="shared" si="156"/>
        <v>0.27142857142857135</v>
      </c>
      <c r="BW152" s="66">
        <f t="shared" si="156"/>
        <v>0.27027027027027017</v>
      </c>
      <c r="BX152" s="66">
        <f t="shared" si="156"/>
        <v>0.27848101265822778</v>
      </c>
      <c r="BY152" s="67">
        <f>BY150/BT150-1</f>
        <v>0.23809523809523814</v>
      </c>
      <c r="BZ152" s="211">
        <f>BZ150/BU150-1</f>
        <v>0.23809523809523814</v>
      </c>
      <c r="CA152" s="22">
        <f>CA150/BV150-1</f>
        <v>0.21348314606741581</v>
      </c>
      <c r="CB152" s="66">
        <f>CB150/BW150-1</f>
        <v>0.18085106382978733</v>
      </c>
      <c r="CC152" s="66">
        <f t="shared" ref="CC152" si="157">CC150/BX150-1</f>
        <v>0.14851485148514842</v>
      </c>
      <c r="CD152" s="67">
        <f>CD150/BY150-1</f>
        <v>0.15384615384615374</v>
      </c>
      <c r="CE152" s="211">
        <f>CE150/BZ150-1</f>
        <v>0.15384615384615374</v>
      </c>
      <c r="CF152" s="22">
        <f>CF150/CA150-1</f>
        <v>0.14814814814814814</v>
      </c>
      <c r="CG152" s="66">
        <f>CG150/CB150-1</f>
        <v>0.16216216216216206</v>
      </c>
      <c r="CH152" s="66">
        <f t="shared" ref="CH152" si="158">CH150/CC150-1</f>
        <v>0.13793103448275867</v>
      </c>
      <c r="CI152" s="67">
        <f>CI150/CD150-1</f>
        <v>0.15833333333333344</v>
      </c>
      <c r="CJ152" s="211">
        <f>CJ150/CE150-1</f>
        <v>0.15833333333333344</v>
      </c>
      <c r="CK152" s="22">
        <f t="shared" ref="CK152" si="159">CK150/CF150-1</f>
        <v>0.17741935483870974</v>
      </c>
      <c r="CL152" s="66">
        <f>CL150/CG150-1</f>
        <v>0.17054263565891481</v>
      </c>
      <c r="CM152" s="66">
        <f>CM150/CH150-1</f>
        <v>0.16666666666666674</v>
      </c>
      <c r="CN152" s="67">
        <f>CN150/CI150-1</f>
        <v>0.1223021582733812</v>
      </c>
      <c r="CO152" s="211">
        <f>CO150/CJ150-1</f>
        <v>0.1223021582733812</v>
      </c>
    </row>
    <row r="153" spans="2:93" ht="13.9" customHeight="1">
      <c r="B153" s="20" t="s">
        <v>121</v>
      </c>
      <c r="C153" s="4"/>
      <c r="D153" s="22"/>
      <c r="E153" s="22"/>
      <c r="F153" s="22"/>
      <c r="G153" s="22"/>
      <c r="H153" s="4"/>
      <c r="I153" s="22"/>
      <c r="J153" s="22"/>
      <c r="K153" s="22"/>
      <c r="L153" s="21"/>
      <c r="M153" s="4"/>
      <c r="N153" s="22"/>
      <c r="O153" s="22"/>
      <c r="P153" s="22"/>
      <c r="Q153" s="21"/>
      <c r="R153" s="4"/>
      <c r="S153" s="22"/>
      <c r="T153" s="22"/>
      <c r="U153" s="22"/>
      <c r="V153" s="21"/>
      <c r="W153" s="211"/>
      <c r="X153" s="211"/>
      <c r="Y153" s="211"/>
      <c r="Z153" s="211"/>
      <c r="AA153" s="212"/>
      <c r="AB153" s="211"/>
      <c r="AC153" s="211"/>
      <c r="AD153" s="211"/>
      <c r="AE153" s="211"/>
      <c r="AF153" s="212"/>
      <c r="AG153" s="211"/>
      <c r="AH153" s="211"/>
      <c r="AI153" s="211"/>
      <c r="AJ153" s="211"/>
      <c r="AK153" s="212"/>
      <c r="AL153" s="211"/>
      <c r="AM153" s="211"/>
      <c r="AN153" s="217"/>
      <c r="AO153" s="217"/>
      <c r="AP153" s="212"/>
      <c r="AQ153" s="211"/>
      <c r="AR153" s="211"/>
      <c r="AS153" s="217"/>
      <c r="AT153" s="217"/>
      <c r="AU153" s="212"/>
      <c r="AV153" s="211"/>
      <c r="AW153" s="211"/>
      <c r="AX153" s="211"/>
      <c r="AY153" s="211"/>
      <c r="AZ153" s="212"/>
      <c r="BA153" s="211"/>
      <c r="BB153" s="211"/>
      <c r="BC153" s="211"/>
      <c r="BD153" s="211"/>
      <c r="BE153" s="212"/>
      <c r="BF153" s="211"/>
      <c r="BG153" s="211"/>
      <c r="BH153" s="211"/>
      <c r="BI153" s="211"/>
      <c r="BJ153" s="212"/>
      <c r="BK153" s="211"/>
      <c r="BL153" s="249"/>
      <c r="BM153" s="249">
        <f>BM150-BL150</f>
        <v>4</v>
      </c>
      <c r="BN153" s="249">
        <f>BN150-BM150</f>
        <v>8</v>
      </c>
      <c r="BO153" s="249">
        <f>BO150-BN150</f>
        <v>8</v>
      </c>
      <c r="BP153" s="249">
        <f>BP150-BK150</f>
        <v>28</v>
      </c>
      <c r="BQ153" s="249">
        <f>BQ150-BO150</f>
        <v>6</v>
      </c>
      <c r="BR153" s="249">
        <f>BR150-BQ150</f>
        <v>4</v>
      </c>
      <c r="BS153" s="249">
        <f>BS150-BR150</f>
        <v>5</v>
      </c>
      <c r="BT153" s="249">
        <f>BT150-BS150</f>
        <v>5</v>
      </c>
      <c r="BU153" s="249">
        <f>BU150-BP150</f>
        <v>20</v>
      </c>
      <c r="BV153" s="113">
        <f>BV150-BT150</f>
        <v>5</v>
      </c>
      <c r="BW153" s="113">
        <f>BW150-BV150</f>
        <v>5</v>
      </c>
      <c r="BX153" s="113">
        <f>BX150-BW150</f>
        <v>7</v>
      </c>
      <c r="BY153" s="113">
        <f>BY150-BX150</f>
        <v>3</v>
      </c>
      <c r="BZ153" s="249">
        <f>BZ150-BU150</f>
        <v>20</v>
      </c>
      <c r="CA153" s="113">
        <f>CA150-BY150</f>
        <v>4</v>
      </c>
      <c r="CB153" s="113">
        <f>CB150-CA150</f>
        <v>3</v>
      </c>
      <c r="CC153" s="113">
        <f>CC150-CB150</f>
        <v>5</v>
      </c>
      <c r="CD153" s="113">
        <f>CD150-CC150</f>
        <v>4</v>
      </c>
      <c r="CE153" s="249">
        <f>CE150-BZ150</f>
        <v>16</v>
      </c>
      <c r="CF153" s="113">
        <f>CF150-CD150</f>
        <v>4</v>
      </c>
      <c r="CG153" s="113">
        <f>CG150-CF150</f>
        <v>5</v>
      </c>
      <c r="CH153" s="113">
        <f>CH150-CG150</f>
        <v>3</v>
      </c>
      <c r="CI153" s="113">
        <f>CI150-CH150</f>
        <v>7</v>
      </c>
      <c r="CJ153" s="249">
        <f>CJ150-CE150</f>
        <v>19</v>
      </c>
      <c r="CK153" s="113">
        <f>CK150-CI150</f>
        <v>7</v>
      </c>
      <c r="CL153" s="113">
        <f>CL150-CK150</f>
        <v>5</v>
      </c>
      <c r="CM153" s="113">
        <f>CM150-CL150</f>
        <v>3</v>
      </c>
      <c r="CN153" s="113">
        <f>CN150-CM150</f>
        <v>2</v>
      </c>
      <c r="CO153" s="249">
        <f>CO150-CJ150</f>
        <v>17</v>
      </c>
    </row>
    <row r="154" spans="2:93" ht="13.9" customHeight="1">
      <c r="B154" s="20"/>
      <c r="C154" s="4"/>
      <c r="D154" s="22"/>
      <c r="E154" s="22"/>
      <c r="F154" s="22"/>
      <c r="G154" s="22"/>
      <c r="H154" s="4"/>
      <c r="I154" s="22"/>
      <c r="J154" s="22"/>
      <c r="K154" s="22"/>
      <c r="L154" s="21"/>
      <c r="M154" s="4"/>
      <c r="N154" s="22"/>
      <c r="O154" s="22"/>
      <c r="P154" s="22"/>
      <c r="Q154" s="21"/>
      <c r="R154" s="4"/>
      <c r="S154" s="22"/>
      <c r="T154" s="22"/>
      <c r="U154" s="22"/>
      <c r="V154" s="21"/>
      <c r="W154" s="211"/>
      <c r="X154" s="211"/>
      <c r="Y154" s="211"/>
      <c r="Z154" s="211"/>
      <c r="AA154" s="212"/>
      <c r="AB154" s="211"/>
      <c r="AC154" s="211"/>
      <c r="AD154" s="211"/>
      <c r="AE154" s="211"/>
      <c r="AF154" s="212"/>
      <c r="AG154" s="211"/>
      <c r="AH154" s="211"/>
      <c r="AI154" s="211"/>
      <c r="AJ154" s="211"/>
      <c r="AK154" s="212"/>
      <c r="AL154" s="211"/>
      <c r="AM154" s="211"/>
      <c r="AN154" s="217"/>
      <c r="AO154" s="217"/>
      <c r="AP154" s="212"/>
      <c r="AQ154" s="211"/>
      <c r="AR154" s="211"/>
      <c r="AS154" s="217"/>
      <c r="AT154" s="217"/>
      <c r="AU154" s="212"/>
      <c r="AV154" s="211"/>
      <c r="AW154" s="211"/>
      <c r="AX154" s="211"/>
      <c r="AY154" s="211"/>
      <c r="AZ154" s="212"/>
      <c r="BA154" s="211"/>
      <c r="BB154" s="211"/>
      <c r="BC154" s="211"/>
      <c r="BD154" s="211"/>
      <c r="BE154" s="212"/>
      <c r="BF154" s="211"/>
      <c r="BG154" s="211"/>
      <c r="BH154" s="211"/>
      <c r="BI154" s="211"/>
      <c r="BJ154" s="212"/>
      <c r="BK154" s="211"/>
      <c r="BL154" s="249"/>
      <c r="BM154" s="249"/>
      <c r="BN154" s="249"/>
      <c r="BO154" s="249"/>
      <c r="BP154" s="249"/>
      <c r="BQ154" s="249"/>
      <c r="BR154" s="249"/>
      <c r="BS154" s="249"/>
      <c r="BT154" s="249"/>
      <c r="BU154" s="249"/>
      <c r="BV154" s="113"/>
      <c r="BW154" s="113"/>
      <c r="BX154" s="113"/>
      <c r="BY154" s="113"/>
      <c r="BZ154" s="249"/>
      <c r="CA154" s="113"/>
      <c r="CB154" s="113"/>
      <c r="CC154" s="113"/>
      <c r="CD154" s="113"/>
      <c r="CE154" s="249"/>
      <c r="CF154" s="113"/>
      <c r="CG154" s="113"/>
      <c r="CH154" s="113"/>
      <c r="CI154" s="113"/>
      <c r="CJ154" s="249"/>
      <c r="CK154" s="113"/>
      <c r="CL154" s="113"/>
      <c r="CM154" s="113"/>
      <c r="CN154" s="113"/>
      <c r="CO154" s="249"/>
    </row>
    <row r="155" spans="2:93" ht="13.9" customHeight="1">
      <c r="B155" s="12" t="s">
        <v>320</v>
      </c>
      <c r="C155" s="4"/>
      <c r="D155" s="22"/>
      <c r="E155" s="22"/>
      <c r="F155" s="22"/>
      <c r="G155" s="22"/>
      <c r="H155" s="4"/>
      <c r="I155" s="22"/>
      <c r="J155" s="22"/>
      <c r="K155" s="22"/>
      <c r="L155" s="21"/>
      <c r="M155" s="4"/>
      <c r="N155" s="22"/>
      <c r="O155" s="22"/>
      <c r="P155" s="22"/>
      <c r="Q155" s="21"/>
      <c r="R155" s="4"/>
      <c r="S155" s="22"/>
      <c r="T155" s="22"/>
      <c r="U155" s="22"/>
      <c r="V155" s="21"/>
      <c r="W155" s="269" t="s">
        <v>25</v>
      </c>
      <c r="X155" s="269" t="s">
        <v>25</v>
      </c>
      <c r="Y155" s="269" t="s">
        <v>25</v>
      </c>
      <c r="Z155" s="269" t="s">
        <v>25</v>
      </c>
      <c r="AA155" s="269" t="s">
        <v>25</v>
      </c>
      <c r="AB155" s="269" t="s">
        <v>25</v>
      </c>
      <c r="AC155" s="269" t="s">
        <v>25</v>
      </c>
      <c r="AD155" s="269" t="s">
        <v>25</v>
      </c>
      <c r="AE155" s="269" t="s">
        <v>25</v>
      </c>
      <c r="AF155" s="269" t="s">
        <v>25</v>
      </c>
      <c r="AG155" s="269" t="s">
        <v>25</v>
      </c>
      <c r="AH155" s="269" t="s">
        <v>25</v>
      </c>
      <c r="AI155" s="269" t="s">
        <v>25</v>
      </c>
      <c r="AJ155" s="269" t="s">
        <v>25</v>
      </c>
      <c r="AK155" s="269" t="s">
        <v>25</v>
      </c>
      <c r="AL155" s="269" t="s">
        <v>25</v>
      </c>
      <c r="AM155" s="269" t="s">
        <v>25</v>
      </c>
      <c r="AN155" s="269" t="s">
        <v>25</v>
      </c>
      <c r="AO155" s="269" t="s">
        <v>25</v>
      </c>
      <c r="AP155" s="269" t="s">
        <v>25</v>
      </c>
      <c r="AQ155" s="269" t="s">
        <v>25</v>
      </c>
      <c r="AR155" s="269" t="s">
        <v>25</v>
      </c>
      <c r="AS155" s="269" t="s">
        <v>25</v>
      </c>
      <c r="AT155" s="269" t="s">
        <v>25</v>
      </c>
      <c r="AU155" s="269" t="s">
        <v>25</v>
      </c>
      <c r="AV155" s="269" t="s">
        <v>25</v>
      </c>
      <c r="AW155" s="269" t="s">
        <v>25</v>
      </c>
      <c r="AX155" s="269" t="s">
        <v>25</v>
      </c>
      <c r="AY155" s="269" t="s">
        <v>25</v>
      </c>
      <c r="AZ155" s="269" t="s">
        <v>25</v>
      </c>
      <c r="BA155" s="269" t="s">
        <v>25</v>
      </c>
      <c r="BB155" s="269" t="s">
        <v>25</v>
      </c>
      <c r="BC155" s="269" t="s">
        <v>25</v>
      </c>
      <c r="BD155" s="269" t="s">
        <v>25</v>
      </c>
      <c r="BE155" s="269" t="s">
        <v>25</v>
      </c>
      <c r="BF155" s="269" t="s">
        <v>25</v>
      </c>
      <c r="BG155" s="269" t="s">
        <v>25</v>
      </c>
      <c r="BH155" s="269" t="s">
        <v>25</v>
      </c>
      <c r="BI155" s="269" t="s">
        <v>25</v>
      </c>
      <c r="BJ155" s="269" t="s">
        <v>25</v>
      </c>
      <c r="BK155" s="234">
        <v>40</v>
      </c>
      <c r="BL155" s="234">
        <v>53</v>
      </c>
      <c r="BM155" s="234">
        <v>72</v>
      </c>
      <c r="BN155" s="234">
        <v>94</v>
      </c>
      <c r="BO155" s="210">
        <v>120</v>
      </c>
      <c r="BP155" s="234">
        <v>120</v>
      </c>
      <c r="BQ155" s="234">
        <v>147</v>
      </c>
      <c r="BR155" s="234">
        <v>173</v>
      </c>
      <c r="BS155" s="234">
        <v>198</v>
      </c>
      <c r="BT155" s="210">
        <v>226</v>
      </c>
      <c r="BU155" s="234">
        <v>226</v>
      </c>
      <c r="BV155" s="12">
        <v>253</v>
      </c>
      <c r="BW155" s="2">
        <f>186+94</f>
        <v>280</v>
      </c>
      <c r="BX155" s="2">
        <v>307</v>
      </c>
      <c r="BY155" s="59">
        <f>BZ155</f>
        <v>329</v>
      </c>
      <c r="BZ155" s="234">
        <v>329</v>
      </c>
      <c r="CA155" s="12">
        <v>348</v>
      </c>
      <c r="CB155" s="2">
        <v>364</v>
      </c>
      <c r="CC155" s="2">
        <v>377</v>
      </c>
      <c r="CD155" s="59">
        <f>CE155</f>
        <v>392</v>
      </c>
      <c r="CE155" s="234">
        <v>392</v>
      </c>
      <c r="CF155" s="12">
        <v>412</v>
      </c>
      <c r="CG155" s="2">
        <v>431</v>
      </c>
      <c r="CH155" s="2">
        <v>452</v>
      </c>
      <c r="CI155" s="59">
        <f>CJ155</f>
        <v>467</v>
      </c>
      <c r="CJ155" s="234">
        <v>467</v>
      </c>
      <c r="CK155" s="12">
        <v>475</v>
      </c>
      <c r="CL155" s="2">
        <v>480</v>
      </c>
      <c r="CM155" s="2">
        <v>486</v>
      </c>
      <c r="CN155" s="59">
        <f>CO155</f>
        <v>492</v>
      </c>
      <c r="CO155" s="234">
        <v>492</v>
      </c>
    </row>
    <row r="156" spans="2:93" ht="13.9" customHeight="1">
      <c r="B156" s="20" t="s">
        <v>5</v>
      </c>
      <c r="C156" s="4"/>
      <c r="D156" s="22"/>
      <c r="E156" s="22"/>
      <c r="F156" s="22"/>
      <c r="G156" s="22"/>
      <c r="H156" s="4"/>
      <c r="I156" s="22"/>
      <c r="J156" s="22"/>
      <c r="K156" s="22"/>
      <c r="L156" s="21"/>
      <c r="M156" s="4"/>
      <c r="N156" s="22"/>
      <c r="O156" s="22"/>
      <c r="P156" s="22"/>
      <c r="Q156" s="21"/>
      <c r="R156" s="4"/>
      <c r="S156" s="22"/>
      <c r="T156" s="22"/>
      <c r="U156" s="22"/>
      <c r="V156" s="21"/>
      <c r="W156" s="211"/>
      <c r="X156" s="211"/>
      <c r="Y156" s="211"/>
      <c r="Z156" s="211"/>
      <c r="AA156" s="212"/>
      <c r="AB156" s="211"/>
      <c r="AC156" s="211"/>
      <c r="AD156" s="211"/>
      <c r="AE156" s="211"/>
      <c r="AF156" s="212"/>
      <c r="AG156" s="211"/>
      <c r="AH156" s="211"/>
      <c r="AI156" s="211"/>
      <c r="AJ156" s="211"/>
      <c r="AK156" s="212"/>
      <c r="AL156" s="211"/>
      <c r="AM156" s="211"/>
      <c r="AN156" s="217"/>
      <c r="AO156" s="217"/>
      <c r="AP156" s="212"/>
      <c r="AQ156" s="211"/>
      <c r="AR156" s="211"/>
      <c r="AS156" s="217"/>
      <c r="AT156" s="217"/>
      <c r="AU156" s="212"/>
      <c r="AV156" s="211"/>
      <c r="AW156" s="211"/>
      <c r="AX156" s="211"/>
      <c r="AY156" s="211"/>
      <c r="AZ156" s="212"/>
      <c r="BA156" s="211"/>
      <c r="BB156" s="211"/>
      <c r="BC156" s="211"/>
      <c r="BD156" s="211"/>
      <c r="BE156" s="212"/>
      <c r="BF156" s="211"/>
      <c r="BG156" s="211"/>
      <c r="BH156" s="211"/>
      <c r="BI156" s="211"/>
      <c r="BJ156" s="212"/>
      <c r="BK156" s="211"/>
      <c r="BL156" s="212"/>
      <c r="BM156" s="212">
        <f>BM155/BL155-1</f>
        <v>0.35849056603773577</v>
      </c>
      <c r="BN156" s="212">
        <f>BN155/BM155-1</f>
        <v>0.30555555555555558</v>
      </c>
      <c r="BO156" s="212">
        <f>BO155/BN155-1</f>
        <v>0.27659574468085113</v>
      </c>
      <c r="BP156" s="226"/>
      <c r="BQ156" s="212">
        <f>BQ155/BO155-1</f>
        <v>0.22500000000000009</v>
      </c>
      <c r="BR156" s="212">
        <f>BR155/BQ155-1</f>
        <v>0.1768707482993197</v>
      </c>
      <c r="BS156" s="212">
        <f>BS155/BR155-1</f>
        <v>0.1445086705202312</v>
      </c>
      <c r="BT156" s="212">
        <f>BT155/BS155-1</f>
        <v>0.14141414141414144</v>
      </c>
      <c r="BU156" s="226"/>
      <c r="BV156" s="21">
        <f>BV155/BT155-1</f>
        <v>0.11946902654867264</v>
      </c>
      <c r="BW156" s="67">
        <f>BW155/BV155-1</f>
        <v>0.10671936758893286</v>
      </c>
      <c r="BX156" s="67">
        <f>BX155/BW155-1</f>
        <v>9.642857142857153E-2</v>
      </c>
      <c r="BY156" s="67">
        <f>BY155/BX155-1</f>
        <v>7.1661237785016318E-2</v>
      </c>
      <c r="BZ156" s="226"/>
      <c r="CA156" s="21">
        <f>CA155/BY155-1</f>
        <v>5.7750759878419489E-2</v>
      </c>
      <c r="CB156" s="67">
        <f>CB155/CA155-1</f>
        <v>4.5977011494252817E-2</v>
      </c>
      <c r="CC156" s="67">
        <f>CC155/CB155-1</f>
        <v>3.5714285714285809E-2</v>
      </c>
      <c r="CD156" s="67">
        <f>CD155/CC155-1</f>
        <v>3.9787798408488007E-2</v>
      </c>
      <c r="CE156" s="226"/>
      <c r="CF156" s="21">
        <f>CF155/CD155-1</f>
        <v>5.1020408163265252E-2</v>
      </c>
      <c r="CG156" s="67">
        <f>CG155/CF155-1</f>
        <v>4.6116504854369023E-2</v>
      </c>
      <c r="CH156" s="67">
        <f>CH155/CG155-1</f>
        <v>4.8723897911832958E-2</v>
      </c>
      <c r="CI156" s="67">
        <f>CI155/CH155-1</f>
        <v>3.3185840707964598E-2</v>
      </c>
      <c r="CJ156" s="226"/>
      <c r="CK156" s="21">
        <f>CK155/CI155-1</f>
        <v>1.7130620985010614E-2</v>
      </c>
      <c r="CL156" s="67">
        <f>CL155/CK155-1</f>
        <v>1.0526315789473717E-2</v>
      </c>
      <c r="CM156" s="67">
        <f>CM155/CL155-1</f>
        <v>1.2499999999999956E-2</v>
      </c>
      <c r="CN156" s="67">
        <f>CN155/CM155-1</f>
        <v>1.2345679012345734E-2</v>
      </c>
      <c r="CO156" s="226"/>
    </row>
    <row r="157" spans="2:93" ht="13.9" customHeight="1">
      <c r="B157" s="20" t="s">
        <v>6</v>
      </c>
      <c r="C157" s="4"/>
      <c r="D157" s="22"/>
      <c r="E157" s="22"/>
      <c r="F157" s="22"/>
      <c r="G157" s="22"/>
      <c r="H157" s="4"/>
      <c r="I157" s="22"/>
      <c r="J157" s="22"/>
      <c r="K157" s="22"/>
      <c r="L157" s="21"/>
      <c r="M157" s="4"/>
      <c r="N157" s="22"/>
      <c r="O157" s="22"/>
      <c r="P157" s="22"/>
      <c r="Q157" s="21"/>
      <c r="R157" s="4"/>
      <c r="S157" s="22"/>
      <c r="T157" s="22"/>
      <c r="U157" s="22"/>
      <c r="V157" s="21"/>
      <c r="W157" s="211"/>
      <c r="X157" s="211"/>
      <c r="Y157" s="211"/>
      <c r="Z157" s="211"/>
      <c r="AA157" s="212"/>
      <c r="AB157" s="211"/>
      <c r="AC157" s="211"/>
      <c r="AD157" s="211"/>
      <c r="AE157" s="211"/>
      <c r="AF157" s="212"/>
      <c r="AG157" s="211"/>
      <c r="AH157" s="211"/>
      <c r="AI157" s="211"/>
      <c r="AJ157" s="211"/>
      <c r="AK157" s="212"/>
      <c r="AL157" s="211"/>
      <c r="AM157" s="211"/>
      <c r="AN157" s="217"/>
      <c r="AO157" s="217"/>
      <c r="AP157" s="212"/>
      <c r="AQ157" s="211"/>
      <c r="AR157" s="211"/>
      <c r="AS157" s="217"/>
      <c r="AT157" s="217"/>
      <c r="AU157" s="212"/>
      <c r="AV157" s="211"/>
      <c r="AW157" s="211"/>
      <c r="AX157" s="211"/>
      <c r="AY157" s="211"/>
      <c r="AZ157" s="212"/>
      <c r="BA157" s="211"/>
      <c r="BB157" s="211"/>
      <c r="BC157" s="211"/>
      <c r="BD157" s="211"/>
      <c r="BE157" s="212"/>
      <c r="BF157" s="211"/>
      <c r="BG157" s="211"/>
      <c r="BH157" s="211"/>
      <c r="BI157" s="211"/>
      <c r="BJ157" s="212"/>
      <c r="BK157" s="211"/>
      <c r="BL157" s="211"/>
      <c r="BM157" s="211"/>
      <c r="BN157" s="211"/>
      <c r="BO157" s="212"/>
      <c r="BP157" s="211">
        <f t="shared" ref="BP157:BX157" si="160">BP155/BK155-1</f>
        <v>2</v>
      </c>
      <c r="BQ157" s="211">
        <f t="shared" si="160"/>
        <v>1.7735849056603774</v>
      </c>
      <c r="BR157" s="211">
        <f t="shared" si="160"/>
        <v>1.4027777777777777</v>
      </c>
      <c r="BS157" s="211">
        <f t="shared" si="160"/>
        <v>1.1063829787234041</v>
      </c>
      <c r="BT157" s="212">
        <f t="shared" si="160"/>
        <v>0.8833333333333333</v>
      </c>
      <c r="BU157" s="211">
        <f t="shared" si="160"/>
        <v>0.8833333333333333</v>
      </c>
      <c r="BV157" s="22">
        <f t="shared" si="160"/>
        <v>0.72108843537414957</v>
      </c>
      <c r="BW157" s="66">
        <f t="shared" si="160"/>
        <v>0.61849710982658967</v>
      </c>
      <c r="BX157" s="66">
        <f t="shared" si="160"/>
        <v>0.55050505050505061</v>
      </c>
      <c r="BY157" s="67">
        <f>BY155/BT155-1</f>
        <v>0.45575221238938046</v>
      </c>
      <c r="BZ157" s="211">
        <f>BZ155/BU155-1</f>
        <v>0.45575221238938046</v>
      </c>
      <c r="CA157" s="22">
        <f>CA155/BV155-1</f>
        <v>0.37549407114624511</v>
      </c>
      <c r="CB157" s="66">
        <f>CB155/BW155-1</f>
        <v>0.30000000000000004</v>
      </c>
      <c r="CC157" s="66">
        <f t="shared" ref="CC157" si="161">CC155/BX155-1</f>
        <v>0.22801302931596101</v>
      </c>
      <c r="CD157" s="67">
        <f>CD155/BY155-1</f>
        <v>0.1914893617021276</v>
      </c>
      <c r="CE157" s="211">
        <f>CE155/BZ155-1</f>
        <v>0.1914893617021276</v>
      </c>
      <c r="CF157" s="22">
        <f>CF155/CA155-1</f>
        <v>0.18390804597701149</v>
      </c>
      <c r="CG157" s="66">
        <f>CG155/CB155-1</f>
        <v>0.18406593406593408</v>
      </c>
      <c r="CH157" s="66">
        <f t="shared" ref="CH157" si="162">CH155/CC155-1</f>
        <v>0.19893899204244025</v>
      </c>
      <c r="CI157" s="67">
        <f>CI155/CD155-1</f>
        <v>0.19132653061224492</v>
      </c>
      <c r="CJ157" s="211">
        <f>CJ155/CE155-1</f>
        <v>0.19132653061224492</v>
      </c>
      <c r="CK157" s="22">
        <f t="shared" ref="CK157" si="163">CK155/CF155-1</f>
        <v>0.15291262135922334</v>
      </c>
      <c r="CL157" s="66">
        <f>CL155/CG155-1</f>
        <v>0.11368909512761016</v>
      </c>
      <c r="CM157" s="66">
        <f>CM155/CH155-1</f>
        <v>7.5221238938053103E-2</v>
      </c>
      <c r="CN157" s="67">
        <f>CN155/CI155-1</f>
        <v>5.3533190578158418E-2</v>
      </c>
      <c r="CO157" s="211">
        <f>CO155/CJ155-1</f>
        <v>5.3533190578158418E-2</v>
      </c>
    </row>
    <row r="158" spans="2:93" ht="13.9" customHeight="1">
      <c r="B158" s="20" t="s">
        <v>121</v>
      </c>
      <c r="C158" s="4"/>
      <c r="D158" s="22"/>
      <c r="E158" s="22"/>
      <c r="F158" s="22"/>
      <c r="G158" s="22"/>
      <c r="H158" s="4"/>
      <c r="I158" s="22"/>
      <c r="J158" s="22"/>
      <c r="K158" s="22"/>
      <c r="L158" s="21"/>
      <c r="M158" s="4"/>
      <c r="N158" s="22"/>
      <c r="O158" s="22"/>
      <c r="P158" s="22"/>
      <c r="Q158" s="21"/>
      <c r="R158" s="4"/>
      <c r="S158" s="22"/>
      <c r="T158" s="22"/>
      <c r="U158" s="22"/>
      <c r="V158" s="21"/>
      <c r="W158" s="211"/>
      <c r="X158" s="211"/>
      <c r="Y158" s="211"/>
      <c r="Z158" s="211"/>
      <c r="AA158" s="212"/>
      <c r="AB158" s="211"/>
      <c r="AC158" s="211"/>
      <c r="AD158" s="211"/>
      <c r="AE158" s="211"/>
      <c r="AF158" s="212"/>
      <c r="AG158" s="211"/>
      <c r="AH158" s="211"/>
      <c r="AI158" s="211"/>
      <c r="AJ158" s="211"/>
      <c r="AK158" s="212"/>
      <c r="AL158" s="211"/>
      <c r="AM158" s="211"/>
      <c r="AN158" s="217"/>
      <c r="AO158" s="217"/>
      <c r="AP158" s="212"/>
      <c r="AQ158" s="211"/>
      <c r="AR158" s="211"/>
      <c r="AS158" s="217"/>
      <c r="AT158" s="217"/>
      <c r="AU158" s="212"/>
      <c r="AV158" s="211"/>
      <c r="AW158" s="211"/>
      <c r="AX158" s="211"/>
      <c r="AY158" s="211"/>
      <c r="AZ158" s="212"/>
      <c r="BA158" s="211"/>
      <c r="BB158" s="211"/>
      <c r="BC158" s="211"/>
      <c r="BD158" s="211"/>
      <c r="BE158" s="212"/>
      <c r="BF158" s="211"/>
      <c r="BG158" s="211"/>
      <c r="BH158" s="211"/>
      <c r="BI158" s="211"/>
      <c r="BJ158" s="212"/>
      <c r="BK158" s="211"/>
      <c r="BL158" s="249"/>
      <c r="BM158" s="249">
        <f>BM155-BL155</f>
        <v>19</v>
      </c>
      <c r="BN158" s="249">
        <f>BN155-BM155</f>
        <v>22</v>
      </c>
      <c r="BO158" s="249">
        <f>BO155-BN155</f>
        <v>26</v>
      </c>
      <c r="BP158" s="249">
        <f>BP155-BK155</f>
        <v>80</v>
      </c>
      <c r="BQ158" s="249">
        <f>BQ155-BO155</f>
        <v>27</v>
      </c>
      <c r="BR158" s="249">
        <f>BR155-BQ155</f>
        <v>26</v>
      </c>
      <c r="BS158" s="249">
        <f>BS155-BR155</f>
        <v>25</v>
      </c>
      <c r="BT158" s="249">
        <f>BT155-BS155</f>
        <v>28</v>
      </c>
      <c r="BU158" s="249">
        <f>BU155-BP155</f>
        <v>106</v>
      </c>
      <c r="BV158" s="113">
        <f>BV155-BT155</f>
        <v>27</v>
      </c>
      <c r="BW158" s="113">
        <f>BW155-BV155</f>
        <v>27</v>
      </c>
      <c r="BX158" s="113">
        <f>BX155-BW155</f>
        <v>27</v>
      </c>
      <c r="BY158" s="113">
        <f>BY155-BX155</f>
        <v>22</v>
      </c>
      <c r="BZ158" s="249">
        <f>BZ155-BU155</f>
        <v>103</v>
      </c>
      <c r="CA158" s="113">
        <f>CA155-BY155</f>
        <v>19</v>
      </c>
      <c r="CB158" s="113">
        <f>CB155-CA155</f>
        <v>16</v>
      </c>
      <c r="CC158" s="113">
        <f>CC155-CB155</f>
        <v>13</v>
      </c>
      <c r="CD158" s="113">
        <f>CD155-CC155</f>
        <v>15</v>
      </c>
      <c r="CE158" s="249">
        <f>CE155-BZ155</f>
        <v>63</v>
      </c>
      <c r="CF158" s="113">
        <f>CF155-CD155</f>
        <v>20</v>
      </c>
      <c r="CG158" s="113">
        <f>CG155-CF155</f>
        <v>19</v>
      </c>
      <c r="CH158" s="113">
        <f>CH155-CG155</f>
        <v>21</v>
      </c>
      <c r="CI158" s="113">
        <f>CI155-CH155</f>
        <v>15</v>
      </c>
      <c r="CJ158" s="249">
        <f>CJ155-CE155</f>
        <v>75</v>
      </c>
      <c r="CK158" s="113">
        <f>CK155-CI155</f>
        <v>8</v>
      </c>
      <c r="CL158" s="113">
        <f>CL155-CK155</f>
        <v>5</v>
      </c>
      <c r="CM158" s="113">
        <f>CM155-CL155</f>
        <v>6</v>
      </c>
      <c r="CN158" s="113">
        <f>CN155-CM155</f>
        <v>6</v>
      </c>
      <c r="CO158" s="249">
        <f>CO155-CJ155</f>
        <v>25</v>
      </c>
    </row>
    <row r="159" spans="2:93" ht="13.9" customHeight="1">
      <c r="B159" s="20" t="s">
        <v>322</v>
      </c>
      <c r="C159" s="4"/>
      <c r="D159" s="22"/>
      <c r="E159" s="22"/>
      <c r="F159" s="22"/>
      <c r="G159" s="22"/>
      <c r="H159" s="4"/>
      <c r="I159" s="22"/>
      <c r="J159" s="22"/>
      <c r="K159" s="22"/>
      <c r="L159" s="21"/>
      <c r="M159" s="4"/>
      <c r="N159" s="22"/>
      <c r="O159" s="22"/>
      <c r="P159" s="22"/>
      <c r="Q159" s="21"/>
      <c r="R159" s="4"/>
      <c r="S159" s="22"/>
      <c r="T159" s="22"/>
      <c r="U159" s="22"/>
      <c r="V159" s="21"/>
      <c r="W159" s="211"/>
      <c r="X159" s="211"/>
      <c r="Y159" s="211"/>
      <c r="Z159" s="211"/>
      <c r="AA159" s="212"/>
      <c r="AB159" s="211"/>
      <c r="AC159" s="211"/>
      <c r="AD159" s="211"/>
      <c r="AE159" s="211"/>
      <c r="AF159" s="212"/>
      <c r="AG159" s="211"/>
      <c r="AH159" s="211"/>
      <c r="AI159" s="211"/>
      <c r="AJ159" s="211"/>
      <c r="AK159" s="212"/>
      <c r="AL159" s="211"/>
      <c r="AM159" s="211"/>
      <c r="AN159" s="217"/>
      <c r="AO159" s="217"/>
      <c r="AP159" s="212"/>
      <c r="AQ159" s="211"/>
      <c r="AR159" s="211"/>
      <c r="AS159" s="217"/>
      <c r="AT159" s="217"/>
      <c r="AU159" s="212"/>
      <c r="AV159" s="211"/>
      <c r="AW159" s="211"/>
      <c r="AX159" s="211"/>
      <c r="AY159" s="211"/>
      <c r="AZ159" s="212"/>
      <c r="BA159" s="211"/>
      <c r="BB159" s="211"/>
      <c r="BC159" s="211"/>
      <c r="BD159" s="211"/>
      <c r="BE159" s="212"/>
      <c r="BF159" s="211"/>
      <c r="BG159" s="211"/>
      <c r="BH159" s="211"/>
      <c r="BI159" s="211"/>
      <c r="BJ159" s="212"/>
      <c r="BK159" s="211"/>
      <c r="BL159" s="211">
        <f t="shared" ref="BL159:BU159" si="164">BL155/BL140</f>
        <v>9.5323741007194249E-2</v>
      </c>
      <c r="BM159" s="211">
        <f t="shared" si="164"/>
        <v>0.12926391382405744</v>
      </c>
      <c r="BN159" s="211">
        <f t="shared" si="164"/>
        <v>0.16906474820143885</v>
      </c>
      <c r="BO159" s="211">
        <f t="shared" si="164"/>
        <v>0.21543985637342908</v>
      </c>
      <c r="BP159" s="211">
        <f t="shared" si="164"/>
        <v>0.21543985637342908</v>
      </c>
      <c r="BQ159" s="211">
        <f t="shared" si="164"/>
        <v>0.2629695885509839</v>
      </c>
      <c r="BR159" s="211">
        <f t="shared" si="164"/>
        <v>0.30892857142857144</v>
      </c>
      <c r="BS159" s="211">
        <f t="shared" si="164"/>
        <v>0.35357142857142859</v>
      </c>
      <c r="BT159" s="211">
        <f t="shared" si="164"/>
        <v>0.40142095914742454</v>
      </c>
      <c r="BU159" s="211">
        <f t="shared" si="164"/>
        <v>0.40142095914742454</v>
      </c>
      <c r="BV159" s="22">
        <f t="shared" ref="BV159:CB159" si="165">BV155/BV140</f>
        <v>0.44858156028368795</v>
      </c>
      <c r="BW159" s="22">
        <f t="shared" si="165"/>
        <v>0.49382716049382713</v>
      </c>
      <c r="BX159" s="22">
        <f t="shared" si="165"/>
        <v>0.53391304347826085</v>
      </c>
      <c r="BY159" s="22">
        <f t="shared" si="165"/>
        <v>0.56822107081174433</v>
      </c>
      <c r="BZ159" s="211">
        <f t="shared" si="165"/>
        <v>0.56822107081174433</v>
      </c>
      <c r="CA159" s="22">
        <f t="shared" si="165"/>
        <v>0.6</v>
      </c>
      <c r="CB159" s="22">
        <f t="shared" si="165"/>
        <v>0.62867012089810015</v>
      </c>
      <c r="CC159" s="22">
        <f t="shared" ref="CC159:CG159" si="166">CC155/CC140</f>
        <v>0.65451388888888884</v>
      </c>
      <c r="CD159" s="22">
        <f t="shared" si="166"/>
        <v>0.68292682926829273</v>
      </c>
      <c r="CE159" s="211">
        <f t="shared" si="166"/>
        <v>0.68292682926829273</v>
      </c>
      <c r="CF159" s="22">
        <f t="shared" si="166"/>
        <v>0.72154115586690015</v>
      </c>
      <c r="CG159" s="22">
        <f t="shared" si="166"/>
        <v>0.76014109347442682</v>
      </c>
      <c r="CH159" s="22">
        <f t="shared" ref="CH159:CL159" si="167">CH155/CH140</f>
        <v>0.80284191829484908</v>
      </c>
      <c r="CI159" s="22">
        <f t="shared" si="167"/>
        <v>0.83096085409252674</v>
      </c>
      <c r="CJ159" s="211">
        <f t="shared" si="167"/>
        <v>0.83096085409252674</v>
      </c>
      <c r="CK159" s="22">
        <f t="shared" si="167"/>
        <v>0.84670231729055256</v>
      </c>
      <c r="CL159" s="22">
        <f t="shared" si="167"/>
        <v>0.85409252669039148</v>
      </c>
      <c r="CM159" s="22">
        <f t="shared" ref="CM159:CO159" si="168">CM155/CM140</f>
        <v>0.86017699115044244</v>
      </c>
      <c r="CN159" s="22">
        <f t="shared" si="168"/>
        <v>0.87079646017699119</v>
      </c>
      <c r="CO159" s="211">
        <f t="shared" si="168"/>
        <v>0.87079646017699119</v>
      </c>
    </row>
    <row r="160" spans="2:93" ht="13.9" customHeight="1">
      <c r="B160" s="12" t="s">
        <v>446</v>
      </c>
      <c r="C160" s="4"/>
      <c r="D160" s="22"/>
      <c r="E160" s="22"/>
      <c r="F160" s="22"/>
      <c r="G160" s="22"/>
      <c r="H160" s="4"/>
      <c r="I160" s="22"/>
      <c r="J160" s="22"/>
      <c r="K160" s="22"/>
      <c r="L160" s="21"/>
      <c r="M160" s="4"/>
      <c r="N160" s="22"/>
      <c r="O160" s="22"/>
      <c r="P160" s="22"/>
      <c r="Q160" s="21"/>
      <c r="R160" s="4"/>
      <c r="S160" s="22"/>
      <c r="T160" s="22"/>
      <c r="U160" s="22"/>
      <c r="V160" s="21"/>
      <c r="W160" s="211"/>
      <c r="X160" s="211"/>
      <c r="Y160" s="211"/>
      <c r="Z160" s="211"/>
      <c r="AA160" s="212"/>
      <c r="AB160" s="211"/>
      <c r="AC160" s="211"/>
      <c r="AD160" s="211"/>
      <c r="AE160" s="211"/>
      <c r="AF160" s="212"/>
      <c r="AG160" s="211"/>
      <c r="AH160" s="211"/>
      <c r="AI160" s="211"/>
      <c r="AJ160" s="211"/>
      <c r="AK160" s="212"/>
      <c r="AL160" s="211"/>
      <c r="AM160" s="257"/>
      <c r="AN160" s="257"/>
      <c r="AO160" s="257"/>
      <c r="AP160" s="257"/>
      <c r="AQ160" s="252" t="s">
        <v>92</v>
      </c>
      <c r="AR160" s="257"/>
      <c r="AS160" s="257"/>
      <c r="AT160" s="257"/>
      <c r="AU160" s="257"/>
      <c r="AV160" s="252" t="s">
        <v>92</v>
      </c>
      <c r="AW160" s="258"/>
      <c r="AX160" s="258"/>
      <c r="AY160" s="258"/>
      <c r="AZ160" s="258"/>
      <c r="BA160" s="252" t="s">
        <v>92</v>
      </c>
      <c r="BB160" s="258"/>
      <c r="BC160" s="258"/>
      <c r="BD160" s="258"/>
      <c r="BE160" s="258"/>
      <c r="BF160" s="252" t="s">
        <v>92</v>
      </c>
      <c r="BG160" s="258"/>
      <c r="BH160" s="258"/>
      <c r="BI160" s="258"/>
      <c r="BJ160" s="258"/>
      <c r="BK160" s="252" t="s">
        <v>92</v>
      </c>
      <c r="BL160" s="258"/>
      <c r="BM160" s="258"/>
      <c r="BN160" s="258"/>
      <c r="BO160" s="258"/>
      <c r="BP160" s="252" t="s">
        <v>92</v>
      </c>
      <c r="BQ160" s="256"/>
      <c r="BR160" s="256"/>
      <c r="BS160" s="249"/>
      <c r="BT160" s="249"/>
      <c r="BU160" s="252" t="s">
        <v>92</v>
      </c>
      <c r="BV160" s="113"/>
      <c r="BW160" s="113"/>
      <c r="BX160" s="19">
        <v>2</v>
      </c>
      <c r="BY160" s="19">
        <v>7</v>
      </c>
      <c r="BZ160" s="210">
        <v>7</v>
      </c>
      <c r="CA160" s="19">
        <v>14</v>
      </c>
      <c r="CB160" s="19">
        <v>21</v>
      </c>
      <c r="CC160" s="19">
        <v>29</v>
      </c>
      <c r="CD160" s="19">
        <v>37</v>
      </c>
      <c r="CE160" s="210">
        <v>37</v>
      </c>
      <c r="CF160" s="19">
        <v>46</v>
      </c>
      <c r="CG160" s="19">
        <v>55</v>
      </c>
      <c r="CH160" s="19">
        <v>64</v>
      </c>
      <c r="CI160" s="19">
        <f>CJ160</f>
        <v>73</v>
      </c>
      <c r="CJ160" s="210">
        <v>73</v>
      </c>
      <c r="CK160" s="19">
        <v>85</v>
      </c>
      <c r="CL160" s="19">
        <v>94</v>
      </c>
      <c r="CM160" s="19">
        <v>106</v>
      </c>
      <c r="CN160" s="19">
        <f>CO160</f>
        <v>118</v>
      </c>
      <c r="CO160" s="210">
        <v>118</v>
      </c>
    </row>
    <row r="161" spans="2:93" ht="13.9" customHeight="1">
      <c r="B161" s="20" t="s">
        <v>5</v>
      </c>
      <c r="C161" s="4"/>
      <c r="D161" s="22"/>
      <c r="E161" s="22"/>
      <c r="F161" s="22"/>
      <c r="G161" s="22"/>
      <c r="H161" s="4"/>
      <c r="I161" s="22"/>
      <c r="J161" s="22"/>
      <c r="K161" s="22"/>
      <c r="L161" s="21"/>
      <c r="M161" s="4"/>
      <c r="N161" s="22"/>
      <c r="O161" s="22"/>
      <c r="P161" s="22"/>
      <c r="Q161" s="21"/>
      <c r="R161" s="4"/>
      <c r="S161" s="22"/>
      <c r="T161" s="22"/>
      <c r="U161" s="22"/>
      <c r="V161" s="21"/>
      <c r="W161" s="211"/>
      <c r="X161" s="211"/>
      <c r="Y161" s="211"/>
      <c r="Z161" s="211"/>
      <c r="AA161" s="212"/>
      <c r="AB161" s="211"/>
      <c r="AC161" s="211"/>
      <c r="AD161" s="211"/>
      <c r="AE161" s="211"/>
      <c r="AF161" s="212"/>
      <c r="AG161" s="211"/>
      <c r="AH161" s="211"/>
      <c r="AI161" s="211"/>
      <c r="AJ161" s="211"/>
      <c r="AK161" s="212"/>
      <c r="AL161" s="211"/>
      <c r="AM161" s="257"/>
      <c r="AN161" s="257"/>
      <c r="AO161" s="257"/>
      <c r="AP161" s="257"/>
      <c r="AQ161" s="257"/>
      <c r="AR161" s="257"/>
      <c r="AS161" s="257"/>
      <c r="AT161" s="257"/>
      <c r="AU161" s="257"/>
      <c r="AV161" s="258"/>
      <c r="AW161" s="258"/>
      <c r="AX161" s="258"/>
      <c r="AY161" s="258"/>
      <c r="AZ161" s="258"/>
      <c r="BA161" s="258"/>
      <c r="BB161" s="258"/>
      <c r="BC161" s="258"/>
      <c r="BD161" s="258"/>
      <c r="BE161" s="258"/>
      <c r="BF161" s="258"/>
      <c r="BG161" s="258"/>
      <c r="BH161" s="258"/>
      <c r="BI161" s="258"/>
      <c r="BJ161" s="258"/>
      <c r="BK161" s="258"/>
      <c r="BL161" s="258"/>
      <c r="BM161" s="258"/>
      <c r="BN161" s="258"/>
      <c r="BO161" s="258"/>
      <c r="BP161" s="258"/>
      <c r="BQ161" s="256"/>
      <c r="BR161" s="256"/>
      <c r="BS161" s="249"/>
      <c r="BT161" s="249"/>
      <c r="BU161" s="249"/>
      <c r="BV161" s="113"/>
      <c r="BW161" s="113"/>
      <c r="BX161" s="21"/>
      <c r="BY161" s="21">
        <f>BY160/BX160-1</f>
        <v>2.5</v>
      </c>
      <c r="BZ161" s="211"/>
      <c r="CA161" s="21">
        <f>CA160/BY160-1</f>
        <v>1</v>
      </c>
      <c r="CB161" s="21">
        <f>CB160/CA160-1</f>
        <v>0.5</v>
      </c>
      <c r="CC161" s="21">
        <f>CC160/CB160-1</f>
        <v>0.38095238095238093</v>
      </c>
      <c r="CD161" s="21">
        <f>CD160/CC160-1</f>
        <v>0.27586206896551735</v>
      </c>
      <c r="CE161" s="211"/>
      <c r="CF161" s="21">
        <f>CF160/CD160-1</f>
        <v>0.2432432432432432</v>
      </c>
      <c r="CG161" s="21">
        <f>CG160/CF160-1</f>
        <v>0.19565217391304346</v>
      </c>
      <c r="CH161" s="21">
        <f>CH160/CG160-1</f>
        <v>0.16363636363636358</v>
      </c>
      <c r="CI161" s="21">
        <f>CI160/CH160-1</f>
        <v>0.140625</v>
      </c>
      <c r="CJ161" s="211"/>
      <c r="CK161" s="21">
        <f>CK160/CI160-1</f>
        <v>0.16438356164383561</v>
      </c>
      <c r="CL161" s="21">
        <f>CL160/CK160-1</f>
        <v>0.10588235294117654</v>
      </c>
      <c r="CM161" s="21">
        <f>CM160/CL160-1</f>
        <v>0.12765957446808507</v>
      </c>
      <c r="CN161" s="21">
        <f>CN160/CM160-1</f>
        <v>0.1132075471698113</v>
      </c>
      <c r="CO161" s="211"/>
    </row>
    <row r="162" spans="2:93" ht="13.9" customHeight="1">
      <c r="B162" s="20" t="s">
        <v>6</v>
      </c>
      <c r="C162" s="4"/>
      <c r="D162" s="22"/>
      <c r="E162" s="22"/>
      <c r="F162" s="22"/>
      <c r="G162" s="22"/>
      <c r="H162" s="4"/>
      <c r="I162" s="22"/>
      <c r="J162" s="22"/>
      <c r="K162" s="22"/>
      <c r="L162" s="21"/>
      <c r="M162" s="4"/>
      <c r="N162" s="22"/>
      <c r="O162" s="22"/>
      <c r="P162" s="22"/>
      <c r="Q162" s="21"/>
      <c r="R162" s="4"/>
      <c r="S162" s="22"/>
      <c r="T162" s="22"/>
      <c r="U162" s="22"/>
      <c r="V162" s="21"/>
      <c r="W162" s="211"/>
      <c r="X162" s="211"/>
      <c r="Y162" s="211"/>
      <c r="Z162" s="211"/>
      <c r="AA162" s="212"/>
      <c r="AB162" s="211">
        <v>0.01</v>
      </c>
      <c r="AC162" s="211"/>
      <c r="AD162" s="211"/>
      <c r="AE162" s="211"/>
      <c r="AF162" s="212"/>
      <c r="AG162" s="211"/>
      <c r="AH162" s="211"/>
      <c r="AI162" s="211"/>
      <c r="AJ162" s="211"/>
      <c r="AK162" s="212"/>
      <c r="AL162" s="211"/>
      <c r="AM162" s="211"/>
      <c r="AN162" s="211"/>
      <c r="AO162" s="211"/>
      <c r="AP162" s="212"/>
      <c r="AQ162" s="211"/>
      <c r="AR162" s="211"/>
      <c r="AS162" s="211"/>
      <c r="AT162" s="211"/>
      <c r="AU162" s="212"/>
      <c r="AV162" s="211"/>
      <c r="AW162" s="211"/>
      <c r="AX162" s="211"/>
      <c r="AY162" s="211"/>
      <c r="AZ162" s="212"/>
      <c r="BA162" s="211"/>
      <c r="BB162" s="211"/>
      <c r="BC162" s="211"/>
      <c r="BD162" s="211"/>
      <c r="BE162" s="212"/>
      <c r="BF162" s="211"/>
      <c r="BG162" s="211"/>
      <c r="BH162" s="211"/>
      <c r="BI162" s="211"/>
      <c r="BJ162" s="212"/>
      <c r="BK162" s="211"/>
      <c r="BL162" s="211"/>
      <c r="BM162" s="211"/>
      <c r="BN162" s="211"/>
      <c r="BO162" s="212"/>
      <c r="BP162" s="211"/>
      <c r="BQ162" s="211"/>
      <c r="BR162" s="211"/>
      <c r="BS162" s="211"/>
      <c r="BT162" s="212"/>
      <c r="BU162" s="211"/>
      <c r="BV162" s="22"/>
      <c r="BW162" s="66"/>
      <c r="BX162" s="66"/>
      <c r="BY162" s="67"/>
      <c r="BZ162" s="211"/>
      <c r="CA162" s="22"/>
      <c r="CB162" s="66"/>
      <c r="CC162" s="66">
        <f t="shared" ref="CC162" si="169">CC160/BX160-1</f>
        <v>13.5</v>
      </c>
      <c r="CD162" s="67">
        <f>CD160/BY160-1</f>
        <v>4.2857142857142856</v>
      </c>
      <c r="CE162" s="211">
        <f>CE160/BZ160-1</f>
        <v>4.2857142857142856</v>
      </c>
      <c r="CF162" s="22">
        <f>CF160/CA160-1</f>
        <v>2.2857142857142856</v>
      </c>
      <c r="CG162" s="66">
        <f>CG160/CB160-1</f>
        <v>1.6190476190476191</v>
      </c>
      <c r="CH162" s="66">
        <f t="shared" ref="CH162" si="170">CH160/CC160-1</f>
        <v>1.2068965517241379</v>
      </c>
      <c r="CI162" s="67">
        <f>CI160/CD160-1</f>
        <v>0.97297297297297303</v>
      </c>
      <c r="CJ162" s="211">
        <f>CJ160/CE160-1</f>
        <v>0.97297297297297303</v>
      </c>
      <c r="CK162" s="22">
        <f t="shared" ref="CK162" si="171">CK160/CF160-1</f>
        <v>0.84782608695652173</v>
      </c>
      <c r="CL162" s="66">
        <f>CL160/CG160-1</f>
        <v>0.70909090909090899</v>
      </c>
      <c r="CM162" s="66">
        <f>CM160/CH160-1</f>
        <v>0.65625</v>
      </c>
      <c r="CN162" s="67">
        <f>CN160/CI160-1</f>
        <v>0.61643835616438358</v>
      </c>
      <c r="CO162" s="211">
        <f>CO160/CJ160-1</f>
        <v>0.61643835616438358</v>
      </c>
    </row>
    <row r="163" spans="2:93" ht="13.9" customHeight="1">
      <c r="B163" s="20" t="s">
        <v>377</v>
      </c>
      <c r="C163" s="4"/>
      <c r="D163" s="22"/>
      <c r="E163" s="22"/>
      <c r="F163" s="22"/>
      <c r="G163" s="22"/>
      <c r="H163" s="4"/>
      <c r="I163" s="22"/>
      <c r="J163" s="22"/>
      <c r="K163" s="22"/>
      <c r="L163" s="21"/>
      <c r="M163" s="4"/>
      <c r="N163" s="22"/>
      <c r="O163" s="22"/>
      <c r="P163" s="22"/>
      <c r="Q163" s="21"/>
      <c r="R163" s="4"/>
      <c r="S163" s="22"/>
      <c r="T163" s="22"/>
      <c r="U163" s="22"/>
      <c r="V163" s="21"/>
      <c r="W163" s="211"/>
      <c r="X163" s="211"/>
      <c r="Y163" s="211"/>
      <c r="Z163" s="211"/>
      <c r="AA163" s="212"/>
      <c r="AB163" s="211"/>
      <c r="AC163" s="211"/>
      <c r="AD163" s="211"/>
      <c r="AE163" s="211"/>
      <c r="AF163" s="212"/>
      <c r="AG163" s="211"/>
      <c r="AH163" s="211"/>
      <c r="AI163" s="211"/>
      <c r="AJ163" s="211"/>
      <c r="AK163" s="212"/>
      <c r="AL163" s="211"/>
      <c r="AM163" s="257"/>
      <c r="AN163" s="257"/>
      <c r="AO163" s="257"/>
      <c r="AP163" s="257"/>
      <c r="AQ163" s="257"/>
      <c r="AR163" s="257"/>
      <c r="AS163" s="257"/>
      <c r="AT163" s="257"/>
      <c r="AU163" s="257"/>
      <c r="AV163" s="258"/>
      <c r="AW163" s="258"/>
      <c r="AX163" s="258"/>
      <c r="AY163" s="258"/>
      <c r="AZ163" s="258"/>
      <c r="BA163" s="258"/>
      <c r="BB163" s="258"/>
      <c r="BC163" s="258"/>
      <c r="BD163" s="258"/>
      <c r="BE163" s="258"/>
      <c r="BF163" s="258"/>
      <c r="BG163" s="258"/>
      <c r="BH163" s="258"/>
      <c r="BI163" s="258"/>
      <c r="BJ163" s="258"/>
      <c r="BK163" s="258"/>
      <c r="BL163" s="258"/>
      <c r="BM163" s="258"/>
      <c r="BN163" s="258"/>
      <c r="BO163" s="258"/>
      <c r="BP163" s="258"/>
      <c r="BQ163" s="256"/>
      <c r="BR163" s="256"/>
      <c r="BS163" s="249"/>
      <c r="BT163" s="249"/>
      <c r="BU163" s="249"/>
      <c r="BV163" s="113"/>
      <c r="BW163" s="113"/>
      <c r="BX163" s="113">
        <f>BX160-BW160</f>
        <v>2</v>
      </c>
      <c r="BY163" s="113">
        <f>BY160-BX160</f>
        <v>5</v>
      </c>
      <c r="BZ163" s="249"/>
      <c r="CA163" s="113">
        <f>CA160-BY160</f>
        <v>7</v>
      </c>
      <c r="CB163" s="113">
        <f>CB160-CA160</f>
        <v>7</v>
      </c>
      <c r="CC163" s="113">
        <f>CC160-CB160</f>
        <v>8</v>
      </c>
      <c r="CD163" s="113">
        <f>CD160-CC160</f>
        <v>8</v>
      </c>
      <c r="CE163" s="249">
        <f>CE160-BZ160</f>
        <v>30</v>
      </c>
      <c r="CF163" s="113">
        <f>CF160-CD160</f>
        <v>9</v>
      </c>
      <c r="CG163" s="113">
        <f>CG160-CF160</f>
        <v>9</v>
      </c>
      <c r="CH163" s="113">
        <f>CH160-CG160</f>
        <v>9</v>
      </c>
      <c r="CI163" s="113">
        <f>CI160-CH160</f>
        <v>9</v>
      </c>
      <c r="CJ163" s="249">
        <f>CJ160-CE160</f>
        <v>36</v>
      </c>
      <c r="CK163" s="113">
        <f>CK160-CI160</f>
        <v>12</v>
      </c>
      <c r="CL163" s="113">
        <f>CL160-CK160</f>
        <v>9</v>
      </c>
      <c r="CM163" s="113">
        <f>CM160-CL160</f>
        <v>12</v>
      </c>
      <c r="CN163" s="113">
        <f>CN160-CM160</f>
        <v>12</v>
      </c>
      <c r="CO163" s="249">
        <f>CO160-CJ160</f>
        <v>45</v>
      </c>
    </row>
    <row r="164" spans="2:93" ht="13.9" customHeight="1">
      <c r="B164" s="12" t="s">
        <v>462</v>
      </c>
      <c r="C164" s="9">
        <v>217</v>
      </c>
      <c r="D164" s="12">
        <v>231</v>
      </c>
      <c r="E164" s="12">
        <v>230</v>
      </c>
      <c r="F164" s="12">
        <v>226</v>
      </c>
      <c r="G164" s="12">
        <v>225</v>
      </c>
      <c r="H164" s="9">
        <v>228</v>
      </c>
      <c r="I164" s="12">
        <v>228</v>
      </c>
      <c r="J164" s="12">
        <v>224</v>
      </c>
      <c r="K164" s="12">
        <v>224</v>
      </c>
      <c r="L164" s="19">
        <v>229</v>
      </c>
      <c r="M164" s="5">
        <v>226</v>
      </c>
      <c r="N164" s="12">
        <v>229</v>
      </c>
      <c r="O164" s="12">
        <v>231</v>
      </c>
      <c r="P164" s="12">
        <v>229</v>
      </c>
      <c r="Q164" s="19">
        <v>231</v>
      </c>
      <c r="R164" s="5">
        <v>230</v>
      </c>
      <c r="S164" s="12">
        <v>234</v>
      </c>
      <c r="T164" s="12">
        <v>232</v>
      </c>
      <c r="U164" s="12">
        <v>232</v>
      </c>
      <c r="V164" s="19">
        <v>229</v>
      </c>
      <c r="W164" s="234">
        <v>232</v>
      </c>
      <c r="X164" s="234">
        <v>237</v>
      </c>
      <c r="Y164" s="234">
        <v>234</v>
      </c>
      <c r="Z164" s="234">
        <v>231</v>
      </c>
      <c r="AA164" s="210">
        <v>234</v>
      </c>
      <c r="AB164" s="234">
        <v>234</v>
      </c>
      <c r="AC164" s="234">
        <v>233</v>
      </c>
      <c r="AD164" s="234">
        <v>232</v>
      </c>
      <c r="AE164" s="234">
        <v>233</v>
      </c>
      <c r="AF164" s="210">
        <v>233</v>
      </c>
      <c r="AG164" s="234">
        <v>233</v>
      </c>
      <c r="AH164" s="234">
        <v>234</v>
      </c>
      <c r="AI164" s="234">
        <v>234</v>
      </c>
      <c r="AJ164" s="234">
        <v>234</v>
      </c>
      <c r="AK164" s="210">
        <v>234</v>
      </c>
      <c r="AL164" s="234">
        <v>234</v>
      </c>
      <c r="AM164" s="234">
        <v>232</v>
      </c>
      <c r="AN164" s="234">
        <v>231</v>
      </c>
      <c r="AO164" s="234">
        <v>233</v>
      </c>
      <c r="AP164" s="210">
        <v>235</v>
      </c>
      <c r="AQ164" s="234">
        <v>233</v>
      </c>
      <c r="AR164" s="234">
        <v>231</v>
      </c>
      <c r="AS164" s="234">
        <v>231</v>
      </c>
      <c r="AT164" s="234">
        <v>233</v>
      </c>
      <c r="AU164" s="210">
        <v>237</v>
      </c>
      <c r="AV164" s="234">
        <v>233</v>
      </c>
      <c r="AW164" s="234">
        <v>232</v>
      </c>
      <c r="AX164" s="234">
        <v>229</v>
      </c>
      <c r="AY164" s="234">
        <v>226</v>
      </c>
      <c r="AZ164" s="210">
        <v>226</v>
      </c>
      <c r="BA164" s="234">
        <v>228</v>
      </c>
      <c r="BB164" s="234">
        <v>214</v>
      </c>
      <c r="BC164" s="234">
        <v>215</v>
      </c>
      <c r="BD164" s="234">
        <v>210</v>
      </c>
      <c r="BE164" s="210">
        <v>206</v>
      </c>
      <c r="BF164" s="234">
        <v>211</v>
      </c>
      <c r="BG164" s="234">
        <v>200</v>
      </c>
      <c r="BH164" s="234">
        <v>197</v>
      </c>
      <c r="BI164" s="234">
        <v>195</v>
      </c>
      <c r="BJ164" s="210">
        <v>195</v>
      </c>
      <c r="BK164" s="234">
        <v>197</v>
      </c>
      <c r="BL164" s="234">
        <v>195</v>
      </c>
      <c r="BM164" s="234">
        <v>190</v>
      </c>
      <c r="BN164" s="234">
        <v>187</v>
      </c>
      <c r="BO164" s="210">
        <v>186</v>
      </c>
      <c r="BP164" s="234">
        <v>190</v>
      </c>
      <c r="BQ164" s="234">
        <v>187</v>
      </c>
      <c r="BR164" s="234">
        <v>186</v>
      </c>
      <c r="BS164" s="234">
        <v>188</v>
      </c>
      <c r="BT164" s="210">
        <v>190</v>
      </c>
      <c r="BU164" s="234">
        <v>188</v>
      </c>
      <c r="BV164" s="12">
        <v>186</v>
      </c>
      <c r="BW164" s="2">
        <v>184</v>
      </c>
      <c r="BX164" s="2">
        <v>182</v>
      </c>
      <c r="BY164" s="59">
        <v>181</v>
      </c>
      <c r="BZ164" s="234">
        <v>183</v>
      </c>
      <c r="CA164" s="12">
        <v>185</v>
      </c>
      <c r="CB164" s="2">
        <v>185</v>
      </c>
      <c r="CC164" s="2">
        <v>182</v>
      </c>
      <c r="CD164" s="59">
        <v>175</v>
      </c>
      <c r="CE164" s="234">
        <v>182</v>
      </c>
      <c r="CF164" s="12">
        <v>173</v>
      </c>
      <c r="CG164" s="2">
        <v>174</v>
      </c>
      <c r="CH164" s="2">
        <v>175</v>
      </c>
      <c r="CI164" s="59">
        <v>172</v>
      </c>
      <c r="CJ164" s="234">
        <v>174</v>
      </c>
      <c r="CK164" s="2">
        <v>174</v>
      </c>
      <c r="CL164" s="2">
        <v>172</v>
      </c>
      <c r="CM164" s="2">
        <v>168</v>
      </c>
      <c r="CN164" s="59">
        <v>166</v>
      </c>
      <c r="CO164" s="234">
        <v>170</v>
      </c>
    </row>
    <row r="165" spans="2:93" ht="13.9" customHeight="1">
      <c r="B165" s="20" t="s">
        <v>5</v>
      </c>
      <c r="C165" s="4"/>
      <c r="D165" s="21"/>
      <c r="E165" s="21">
        <f>E164/D164-1</f>
        <v>-4.3290043290042934E-3</v>
      </c>
      <c r="F165" s="21">
        <f>F164/E164-1</f>
        <v>-1.7391304347826098E-2</v>
      </c>
      <c r="G165" s="21">
        <f>G164/F164-1</f>
        <v>-4.4247787610619538E-3</v>
      </c>
      <c r="H165" s="4"/>
      <c r="I165" s="21">
        <f>I164/G164-1</f>
        <v>1.3333333333333419E-2</v>
      </c>
      <c r="J165" s="21">
        <f>J164/I164-1</f>
        <v>-1.7543859649122862E-2</v>
      </c>
      <c r="K165" s="21">
        <f>K164/J164-1</f>
        <v>0</v>
      </c>
      <c r="L165" s="21">
        <f>L164/K164-1</f>
        <v>2.2321428571428603E-2</v>
      </c>
      <c r="M165" s="3"/>
      <c r="N165" s="21">
        <f>N164/L164-1</f>
        <v>0</v>
      </c>
      <c r="O165" s="21">
        <f>O164/N164-1</f>
        <v>8.733624454148492E-3</v>
      </c>
      <c r="P165" s="21">
        <f>P164/O164-1</f>
        <v>-8.6580086580086979E-3</v>
      </c>
      <c r="Q165" s="21">
        <f>Q164/P164-1</f>
        <v>8.733624454148492E-3</v>
      </c>
      <c r="R165" s="3"/>
      <c r="S165" s="21">
        <f>S164/Q164-1</f>
        <v>1.298701298701288E-2</v>
      </c>
      <c r="T165" s="21">
        <f>T164/S164-1</f>
        <v>-8.5470085470085166E-3</v>
      </c>
      <c r="U165" s="21">
        <f>U164/T164-1</f>
        <v>0</v>
      </c>
      <c r="V165" s="21">
        <f>V164/U164-1</f>
        <v>-1.2931034482758674E-2</v>
      </c>
      <c r="W165" s="226"/>
      <c r="X165" s="212">
        <f>X164/V164-1</f>
        <v>3.4934497816593968E-2</v>
      </c>
      <c r="Y165" s="212">
        <f>Y164/X164-1</f>
        <v>-1.2658227848101222E-2</v>
      </c>
      <c r="Z165" s="212">
        <f>Z164/Y164-1</f>
        <v>-1.2820512820512775E-2</v>
      </c>
      <c r="AA165" s="212">
        <f>AA164/Z164-1</f>
        <v>1.298701298701288E-2</v>
      </c>
      <c r="AB165" s="226"/>
      <c r="AC165" s="212">
        <f>AC164/AA164-1</f>
        <v>-4.2735042735042583E-3</v>
      </c>
      <c r="AD165" s="212">
        <f>AD164/AC164-1</f>
        <v>-4.2918454935622075E-3</v>
      </c>
      <c r="AE165" s="212">
        <f>AE164/AD164-1</f>
        <v>4.3103448275862988E-3</v>
      </c>
      <c r="AF165" s="212">
        <f>AF164/AE164-1</f>
        <v>0</v>
      </c>
      <c r="AG165" s="226"/>
      <c r="AH165" s="212">
        <f>AH164/AF164-1</f>
        <v>4.2918454935623185E-3</v>
      </c>
      <c r="AI165" s="212">
        <f>AI164/AH164-1</f>
        <v>0</v>
      </c>
      <c r="AJ165" s="212">
        <f>AJ164/AI164-1</f>
        <v>0</v>
      </c>
      <c r="AK165" s="212">
        <f>AK164/AJ164-1</f>
        <v>0</v>
      </c>
      <c r="AL165" s="226"/>
      <c r="AM165" s="212">
        <f>AM164/AK164-1</f>
        <v>-8.5470085470085166E-3</v>
      </c>
      <c r="AN165" s="212">
        <f>AN164/AM164-1</f>
        <v>-4.3103448275861878E-3</v>
      </c>
      <c r="AO165" s="212">
        <f>AO164/AN164-1</f>
        <v>8.6580086580085869E-3</v>
      </c>
      <c r="AP165" s="212">
        <f>AP164/AO164-1</f>
        <v>8.5836909871244149E-3</v>
      </c>
      <c r="AQ165" s="226"/>
      <c r="AR165" s="212">
        <f>AR164/AP164-1</f>
        <v>-1.7021276595744705E-2</v>
      </c>
      <c r="AS165" s="212">
        <f>AS164/AR164-1</f>
        <v>0</v>
      </c>
      <c r="AT165" s="212">
        <f>AT164/AS164-1</f>
        <v>8.6580086580085869E-3</v>
      </c>
      <c r="AU165" s="212">
        <f>AU164/AT164-1</f>
        <v>1.716738197424883E-2</v>
      </c>
      <c r="AV165" s="226"/>
      <c r="AW165" s="212">
        <f>AW164/AU164-1</f>
        <v>-2.1097046413502074E-2</v>
      </c>
      <c r="AX165" s="212">
        <f>AX164/AW164-1</f>
        <v>-1.2931034482758674E-2</v>
      </c>
      <c r="AY165" s="212">
        <f>AY164/AX164-1</f>
        <v>-1.3100436681222738E-2</v>
      </c>
      <c r="AZ165" s="212">
        <f>AZ164/AY164-1</f>
        <v>0</v>
      </c>
      <c r="BA165" s="226"/>
      <c r="BB165" s="212">
        <f>BB164/AZ164-1</f>
        <v>-5.3097345132743334E-2</v>
      </c>
      <c r="BC165" s="212">
        <f>BC164/BB164-1</f>
        <v>4.6728971962617383E-3</v>
      </c>
      <c r="BD165" s="212">
        <f>BD164/BC164-1</f>
        <v>-2.3255813953488413E-2</v>
      </c>
      <c r="BE165" s="212">
        <f>BE164/BD164-1</f>
        <v>-1.9047619047619091E-2</v>
      </c>
      <c r="BF165" s="226"/>
      <c r="BG165" s="212">
        <f>BG164/BE164-1</f>
        <v>-2.9126213592232997E-2</v>
      </c>
      <c r="BH165" s="212">
        <f>BH164/BG164-1</f>
        <v>-1.5000000000000013E-2</v>
      </c>
      <c r="BI165" s="212">
        <f>BI164/BH164-1</f>
        <v>-1.0152284263959421E-2</v>
      </c>
      <c r="BJ165" s="212">
        <f>BJ164/BI164-1</f>
        <v>0</v>
      </c>
      <c r="BK165" s="226"/>
      <c r="BL165" s="212">
        <f>BL164/BJ164-1</f>
        <v>0</v>
      </c>
      <c r="BM165" s="212">
        <f>BM164/BL164-1</f>
        <v>-2.5641025641025661E-2</v>
      </c>
      <c r="BN165" s="212">
        <f>BN164/BM164-1</f>
        <v>-1.5789473684210575E-2</v>
      </c>
      <c r="BO165" s="212">
        <f>BO164/BN164-1</f>
        <v>-5.3475935828877219E-3</v>
      </c>
      <c r="BP165" s="226"/>
      <c r="BQ165" s="212">
        <f>BQ164/BO164-1</f>
        <v>5.3763440860215006E-3</v>
      </c>
      <c r="BR165" s="212">
        <f>BR164/BQ164-1</f>
        <v>-5.3475935828877219E-3</v>
      </c>
      <c r="BS165" s="212">
        <f>BS164/BR164-1</f>
        <v>1.0752688172043001E-2</v>
      </c>
      <c r="BT165" s="212">
        <f>BT164/BS164-1</f>
        <v>1.0638297872340496E-2</v>
      </c>
      <c r="BU165" s="226"/>
      <c r="BV165" s="21">
        <f>BV164/BT164-1</f>
        <v>-2.1052631578947323E-2</v>
      </c>
      <c r="BW165" s="67">
        <f>BW164/BV164-1</f>
        <v>-1.0752688172043001E-2</v>
      </c>
      <c r="BX165" s="67">
        <f>BX164/BW164-1</f>
        <v>-1.0869565217391353E-2</v>
      </c>
      <c r="BY165" s="67">
        <f>BY164/BX164-1</f>
        <v>-5.494505494505475E-3</v>
      </c>
      <c r="BZ165" s="226"/>
      <c r="CA165" s="21">
        <f>CA164/BY164-1</f>
        <v>2.2099447513812098E-2</v>
      </c>
      <c r="CB165" s="67">
        <f>CB164/CA164-1</f>
        <v>0</v>
      </c>
      <c r="CC165" s="67">
        <f>CC164/CB164-1</f>
        <v>-1.6216216216216162E-2</v>
      </c>
      <c r="CD165" s="67">
        <f>CD164/CC164-1</f>
        <v>-3.8461538461538436E-2</v>
      </c>
      <c r="CE165" s="226"/>
      <c r="CF165" s="21">
        <f>CF164/CD164-1</f>
        <v>-1.1428571428571455E-2</v>
      </c>
      <c r="CG165" s="67">
        <f>CG164/CF164-1</f>
        <v>5.7803468208093012E-3</v>
      </c>
      <c r="CH165" s="67">
        <f>CH164/CG164-1</f>
        <v>5.7471264367816577E-3</v>
      </c>
      <c r="CI165" s="67">
        <f>CI164/CH164-1</f>
        <v>-1.7142857142857126E-2</v>
      </c>
      <c r="CJ165" s="226"/>
      <c r="CK165" s="21">
        <f>CK164/CI164-1</f>
        <v>1.1627906976744207E-2</v>
      </c>
      <c r="CL165" s="67">
        <f>CL164/CK164-1</f>
        <v>-1.1494252873563204E-2</v>
      </c>
      <c r="CM165" s="67">
        <f>CM164/CL164-1</f>
        <v>-2.3255813953488413E-2</v>
      </c>
      <c r="CN165" s="67">
        <f>CN164/CM164-1</f>
        <v>-1.1904761904761862E-2</v>
      </c>
      <c r="CO165" s="226"/>
    </row>
    <row r="166" spans="2:93" ht="13.9" customHeight="1">
      <c r="B166" s="20" t="s">
        <v>6</v>
      </c>
      <c r="C166" s="4"/>
      <c r="D166" s="22"/>
      <c r="E166" s="22"/>
      <c r="F166" s="22"/>
      <c r="G166" s="22"/>
      <c r="H166" s="4">
        <f t="shared" ref="H166:Z166" si="172">H164/C164-1</f>
        <v>5.0691244239631228E-2</v>
      </c>
      <c r="I166" s="22">
        <f t="shared" si="172"/>
        <v>-1.2987012987012991E-2</v>
      </c>
      <c r="J166" s="22">
        <f t="shared" si="172"/>
        <v>-2.6086956521739091E-2</v>
      </c>
      <c r="K166" s="22">
        <f t="shared" si="172"/>
        <v>-8.8495575221239076E-3</v>
      </c>
      <c r="L166" s="21">
        <f t="shared" si="172"/>
        <v>1.777777777777767E-2</v>
      </c>
      <c r="M166" s="4">
        <f t="shared" si="172"/>
        <v>-8.7719298245614308E-3</v>
      </c>
      <c r="N166" s="22">
        <f t="shared" si="172"/>
        <v>4.3859649122806044E-3</v>
      </c>
      <c r="O166" s="22">
        <f t="shared" si="172"/>
        <v>3.125E-2</v>
      </c>
      <c r="P166" s="22">
        <f t="shared" si="172"/>
        <v>2.2321428571428603E-2</v>
      </c>
      <c r="Q166" s="21">
        <f t="shared" si="172"/>
        <v>8.733624454148492E-3</v>
      </c>
      <c r="R166" s="4">
        <f t="shared" si="172"/>
        <v>1.7699115044247815E-2</v>
      </c>
      <c r="S166" s="22">
        <f t="shared" si="172"/>
        <v>2.1834061135371119E-2</v>
      </c>
      <c r="T166" s="22">
        <f t="shared" si="172"/>
        <v>4.3290043290042934E-3</v>
      </c>
      <c r="U166" s="22">
        <f t="shared" si="172"/>
        <v>1.3100436681222627E-2</v>
      </c>
      <c r="V166" s="21">
        <f t="shared" si="172"/>
        <v>-8.6580086580086979E-3</v>
      </c>
      <c r="W166" s="211">
        <f t="shared" si="172"/>
        <v>8.6956521739129933E-3</v>
      </c>
      <c r="X166" s="211">
        <f t="shared" si="172"/>
        <v>1.2820512820512775E-2</v>
      </c>
      <c r="Y166" s="211">
        <f t="shared" si="172"/>
        <v>8.6206896551723755E-3</v>
      </c>
      <c r="Z166" s="211">
        <f t="shared" si="172"/>
        <v>-4.3103448275861878E-3</v>
      </c>
      <c r="AA166" s="212">
        <f>AA164/V164-1</f>
        <v>2.1834061135371119E-2</v>
      </c>
      <c r="AB166" s="211">
        <v>0.01</v>
      </c>
      <c r="AC166" s="211">
        <f t="shared" ref="AC166:BX166" si="173">AC164/X164-1</f>
        <v>-1.6877637130801704E-2</v>
      </c>
      <c r="AD166" s="211">
        <f t="shared" si="173"/>
        <v>-8.5470085470085166E-3</v>
      </c>
      <c r="AE166" s="211">
        <f t="shared" si="173"/>
        <v>8.6580086580085869E-3</v>
      </c>
      <c r="AF166" s="212">
        <f t="shared" si="173"/>
        <v>-4.2735042735042583E-3</v>
      </c>
      <c r="AG166" s="211">
        <f t="shared" si="173"/>
        <v>-4.2735042735042583E-3</v>
      </c>
      <c r="AH166" s="211">
        <f t="shared" si="173"/>
        <v>4.2918454935623185E-3</v>
      </c>
      <c r="AI166" s="211">
        <f t="shared" si="173"/>
        <v>8.6206896551723755E-3</v>
      </c>
      <c r="AJ166" s="211">
        <f t="shared" si="173"/>
        <v>4.2918454935623185E-3</v>
      </c>
      <c r="AK166" s="212">
        <f t="shared" si="173"/>
        <v>4.2918454935623185E-3</v>
      </c>
      <c r="AL166" s="211">
        <f t="shared" si="173"/>
        <v>4.2918454935623185E-3</v>
      </c>
      <c r="AM166" s="211">
        <f t="shared" si="173"/>
        <v>-8.5470085470085166E-3</v>
      </c>
      <c r="AN166" s="211">
        <f t="shared" si="173"/>
        <v>-1.2820512820512775E-2</v>
      </c>
      <c r="AO166" s="211">
        <f t="shared" si="173"/>
        <v>-4.2735042735042583E-3</v>
      </c>
      <c r="AP166" s="212">
        <f t="shared" si="173"/>
        <v>4.2735042735042583E-3</v>
      </c>
      <c r="AQ166" s="211">
        <f t="shared" si="173"/>
        <v>-4.2735042735042583E-3</v>
      </c>
      <c r="AR166" s="211">
        <f t="shared" si="173"/>
        <v>-4.3103448275861878E-3</v>
      </c>
      <c r="AS166" s="211">
        <f t="shared" si="173"/>
        <v>0</v>
      </c>
      <c r="AT166" s="211">
        <f t="shared" si="173"/>
        <v>0</v>
      </c>
      <c r="AU166" s="212">
        <f t="shared" si="173"/>
        <v>8.5106382978723527E-3</v>
      </c>
      <c r="AV166" s="211">
        <f t="shared" si="173"/>
        <v>0</v>
      </c>
      <c r="AW166" s="211">
        <f t="shared" si="173"/>
        <v>4.3290043290042934E-3</v>
      </c>
      <c r="AX166" s="211">
        <f t="shared" si="173"/>
        <v>-8.6580086580086979E-3</v>
      </c>
      <c r="AY166" s="211">
        <f t="shared" si="173"/>
        <v>-3.0042918454935674E-2</v>
      </c>
      <c r="AZ166" s="212">
        <f t="shared" si="173"/>
        <v>-4.641350210970463E-2</v>
      </c>
      <c r="BA166" s="211">
        <f t="shared" si="173"/>
        <v>-2.1459227467811148E-2</v>
      </c>
      <c r="BB166" s="211">
        <f t="shared" si="173"/>
        <v>-7.7586206896551713E-2</v>
      </c>
      <c r="BC166" s="211">
        <f t="shared" si="173"/>
        <v>-6.1135371179039333E-2</v>
      </c>
      <c r="BD166" s="211">
        <f t="shared" si="173"/>
        <v>-7.0796460176991149E-2</v>
      </c>
      <c r="BE166" s="212">
        <f t="shared" si="173"/>
        <v>-8.8495575221238965E-2</v>
      </c>
      <c r="BF166" s="211">
        <f t="shared" si="173"/>
        <v>-7.456140350877194E-2</v>
      </c>
      <c r="BG166" s="211">
        <f t="shared" si="173"/>
        <v>-6.5420560747663559E-2</v>
      </c>
      <c r="BH166" s="211">
        <f t="shared" si="173"/>
        <v>-8.3720930232558111E-2</v>
      </c>
      <c r="BI166" s="211">
        <f t="shared" si="173"/>
        <v>-7.1428571428571397E-2</v>
      </c>
      <c r="BJ166" s="212">
        <f t="shared" si="173"/>
        <v>-5.3398058252427161E-2</v>
      </c>
      <c r="BK166" s="211">
        <f t="shared" si="173"/>
        <v>-6.6350710900473953E-2</v>
      </c>
      <c r="BL166" s="211">
        <f t="shared" si="173"/>
        <v>-2.5000000000000022E-2</v>
      </c>
      <c r="BM166" s="211">
        <f t="shared" si="173"/>
        <v>-3.5532994923857864E-2</v>
      </c>
      <c r="BN166" s="211">
        <f t="shared" si="173"/>
        <v>-4.1025641025640991E-2</v>
      </c>
      <c r="BO166" s="212">
        <f t="shared" si="173"/>
        <v>-4.6153846153846101E-2</v>
      </c>
      <c r="BP166" s="211">
        <f t="shared" si="173"/>
        <v>-3.5532994923857864E-2</v>
      </c>
      <c r="BQ166" s="211">
        <f t="shared" si="173"/>
        <v>-4.1025641025640991E-2</v>
      </c>
      <c r="BR166" s="211">
        <f t="shared" si="173"/>
        <v>-2.1052631578947323E-2</v>
      </c>
      <c r="BS166" s="211">
        <f t="shared" si="173"/>
        <v>5.3475935828877219E-3</v>
      </c>
      <c r="BT166" s="212">
        <f t="shared" si="173"/>
        <v>2.1505376344086002E-2</v>
      </c>
      <c r="BU166" s="211">
        <f t="shared" si="173"/>
        <v>-1.0526315789473717E-2</v>
      </c>
      <c r="BV166" s="22">
        <f t="shared" si="173"/>
        <v>-5.3475935828877219E-3</v>
      </c>
      <c r="BW166" s="66">
        <f t="shared" si="173"/>
        <v>-1.0752688172043001E-2</v>
      </c>
      <c r="BX166" s="66">
        <f t="shared" si="173"/>
        <v>-3.1914893617021267E-2</v>
      </c>
      <c r="BY166" s="67">
        <f>BY164/BT164-1</f>
        <v>-4.7368421052631615E-2</v>
      </c>
      <c r="BZ166" s="211">
        <f>BZ164/BU164-1</f>
        <v>-2.6595744680851019E-2</v>
      </c>
      <c r="CA166" s="22">
        <f>CA164/BV164-1</f>
        <v>-5.3763440860215006E-3</v>
      </c>
      <c r="CB166" s="66">
        <f>CB164/BW164-1</f>
        <v>5.4347826086955653E-3</v>
      </c>
      <c r="CC166" s="66">
        <f t="shared" ref="CC166" si="174">CC164/BX164-1</f>
        <v>0</v>
      </c>
      <c r="CD166" s="67">
        <f>CD164/BY164-1</f>
        <v>-3.3149171270718258E-2</v>
      </c>
      <c r="CE166" s="211">
        <f>CE164/BZ164-1</f>
        <v>-5.464480874316946E-3</v>
      </c>
      <c r="CF166" s="22">
        <f>CF164/CA164-1</f>
        <v>-6.4864864864864868E-2</v>
      </c>
      <c r="CG166" s="66">
        <f>CG164/CB164-1</f>
        <v>-5.9459459459459407E-2</v>
      </c>
      <c r="CH166" s="66">
        <f t="shared" ref="CH166" si="175">CH164/CC164-1</f>
        <v>-3.8461538461538436E-2</v>
      </c>
      <c r="CI166" s="67">
        <f>CI164/CD164-1</f>
        <v>-1.7142857142857126E-2</v>
      </c>
      <c r="CJ166" s="211">
        <f>CJ164/CE164-1</f>
        <v>-4.3956043956043911E-2</v>
      </c>
      <c r="CK166" s="22">
        <f t="shared" ref="CK166" si="176">CK164/CF164-1</f>
        <v>5.7803468208093012E-3</v>
      </c>
      <c r="CL166" s="66">
        <f>CL164/CG164-1</f>
        <v>-1.1494252873563204E-2</v>
      </c>
      <c r="CM166" s="66">
        <f>CM164/CH164-1</f>
        <v>-4.0000000000000036E-2</v>
      </c>
      <c r="CN166" s="67">
        <f>CN164/CI164-1</f>
        <v>-3.4883720930232509E-2</v>
      </c>
      <c r="CO166" s="211">
        <f>CO164/CJ164-1</f>
        <v>-2.2988505747126409E-2</v>
      </c>
    </row>
    <row r="167" spans="2:93" ht="13.9" customHeight="1">
      <c r="B167" s="12" t="s">
        <v>463</v>
      </c>
      <c r="C167" s="4"/>
      <c r="D167" s="22"/>
      <c r="E167" s="22"/>
      <c r="F167" s="22"/>
      <c r="G167" s="22"/>
      <c r="H167" s="4"/>
      <c r="I167" s="22"/>
      <c r="J167" s="22"/>
      <c r="K167" s="22"/>
      <c r="L167" s="21"/>
      <c r="M167" s="4"/>
      <c r="N167" s="22"/>
      <c r="O167" s="22"/>
      <c r="P167" s="22"/>
      <c r="Q167" s="21"/>
      <c r="R167" s="4"/>
      <c r="S167" s="22"/>
      <c r="T167" s="22"/>
      <c r="U167" s="22"/>
      <c r="V167" s="21"/>
      <c r="W167" s="211"/>
      <c r="X167" s="211"/>
      <c r="Y167" s="211"/>
      <c r="Z167" s="211"/>
      <c r="AA167" s="212"/>
      <c r="AB167" s="211"/>
      <c r="AC167" s="211"/>
      <c r="AD167" s="211"/>
      <c r="AE167" s="211"/>
      <c r="AF167" s="212"/>
      <c r="AG167" s="211"/>
      <c r="AH167" s="211"/>
      <c r="AI167" s="211"/>
      <c r="AJ167" s="211"/>
      <c r="AK167" s="212"/>
      <c r="AL167" s="234"/>
      <c r="AM167" s="211"/>
      <c r="AN167" s="211"/>
      <c r="AO167" s="211"/>
      <c r="AP167" s="212"/>
      <c r="AQ167" s="234"/>
      <c r="AR167" s="234"/>
      <c r="AS167" s="234"/>
      <c r="AT167" s="234"/>
      <c r="AU167" s="210"/>
      <c r="AV167" s="234"/>
      <c r="AW167" s="234"/>
      <c r="AX167" s="234"/>
      <c r="AY167" s="234"/>
      <c r="AZ167" s="210"/>
      <c r="BA167" s="234"/>
      <c r="BB167" s="234"/>
      <c r="BC167" s="234"/>
      <c r="BD167" s="234"/>
      <c r="BE167" s="210"/>
      <c r="BF167" s="234"/>
      <c r="BG167" s="234"/>
      <c r="BH167" s="234"/>
      <c r="BI167" s="234"/>
      <c r="BJ167" s="210"/>
      <c r="BK167" s="234"/>
      <c r="BL167" s="234"/>
      <c r="BM167" s="234"/>
      <c r="BN167" s="234"/>
      <c r="BO167" s="210"/>
      <c r="BP167" s="234"/>
      <c r="BQ167" s="234"/>
      <c r="BR167" s="234"/>
      <c r="BS167" s="234"/>
      <c r="BT167" s="210"/>
      <c r="BU167" s="234"/>
      <c r="BV167" s="12"/>
      <c r="BW167" s="2"/>
      <c r="BX167" s="2"/>
      <c r="BY167" s="59"/>
      <c r="BZ167" s="234"/>
      <c r="CA167" s="12">
        <v>187</v>
      </c>
      <c r="CB167" s="2">
        <v>188</v>
      </c>
      <c r="CC167" s="2">
        <v>187</v>
      </c>
      <c r="CD167" s="59">
        <v>182</v>
      </c>
      <c r="CE167" s="234">
        <v>186</v>
      </c>
      <c r="CF167" s="12">
        <v>182</v>
      </c>
      <c r="CG167" s="2">
        <v>184</v>
      </c>
      <c r="CH167" s="2">
        <v>187</v>
      </c>
      <c r="CI167" s="59">
        <v>186</v>
      </c>
      <c r="CJ167" s="234">
        <v>185</v>
      </c>
      <c r="CK167" s="12">
        <v>189</v>
      </c>
      <c r="CL167" s="2">
        <v>189</v>
      </c>
      <c r="CM167" s="2">
        <v>189</v>
      </c>
      <c r="CN167" s="59">
        <v>200</v>
      </c>
      <c r="CO167" s="234">
        <v>192</v>
      </c>
    </row>
    <row r="168" spans="2:93" ht="13.9" customHeight="1">
      <c r="B168" s="20" t="s">
        <v>5</v>
      </c>
      <c r="C168" s="4"/>
      <c r="D168" s="22"/>
      <c r="E168" s="22"/>
      <c r="F168" s="22"/>
      <c r="G168" s="22"/>
      <c r="H168" s="4"/>
      <c r="I168" s="22"/>
      <c r="J168" s="22"/>
      <c r="K168" s="22"/>
      <c r="L168" s="21"/>
      <c r="M168" s="4"/>
      <c r="N168" s="22"/>
      <c r="O168" s="22"/>
      <c r="P168" s="22"/>
      <c r="Q168" s="21"/>
      <c r="R168" s="4"/>
      <c r="S168" s="22"/>
      <c r="T168" s="22"/>
      <c r="U168" s="22"/>
      <c r="V168" s="21"/>
      <c r="W168" s="211"/>
      <c r="X168" s="211"/>
      <c r="Y168" s="211"/>
      <c r="Z168" s="211"/>
      <c r="AA168" s="212"/>
      <c r="AB168" s="211"/>
      <c r="AC168" s="211"/>
      <c r="AD168" s="211"/>
      <c r="AE168" s="211"/>
      <c r="AF168" s="212"/>
      <c r="AG168" s="211"/>
      <c r="AH168" s="211"/>
      <c r="AI168" s="211"/>
      <c r="AJ168" s="211"/>
      <c r="AK168" s="212"/>
      <c r="AL168" s="211"/>
      <c r="AM168" s="211"/>
      <c r="AN168" s="211"/>
      <c r="AO168" s="211"/>
      <c r="AP168" s="212"/>
      <c r="AQ168" s="211"/>
      <c r="AR168" s="211"/>
      <c r="AS168" s="211"/>
      <c r="AT168" s="211"/>
      <c r="AU168" s="212"/>
      <c r="AV168" s="211"/>
      <c r="AW168" s="211"/>
      <c r="AX168" s="211"/>
      <c r="AY168" s="211"/>
      <c r="AZ168" s="212"/>
      <c r="BA168" s="211"/>
      <c r="BB168" s="211"/>
      <c r="BC168" s="211"/>
      <c r="BD168" s="211"/>
      <c r="BE168" s="212"/>
      <c r="BF168" s="211"/>
      <c r="BG168" s="211"/>
      <c r="BH168" s="211"/>
      <c r="BI168" s="211"/>
      <c r="BJ168" s="212"/>
      <c r="BK168" s="211"/>
      <c r="BL168" s="211"/>
      <c r="BM168" s="211"/>
      <c r="BN168" s="211"/>
      <c r="BO168" s="212"/>
      <c r="BP168" s="211"/>
      <c r="BQ168" s="211"/>
      <c r="BR168" s="211"/>
      <c r="BS168" s="211"/>
      <c r="BT168" s="212"/>
      <c r="BU168" s="211"/>
      <c r="BV168" s="22"/>
      <c r="BW168" s="66"/>
      <c r="BX168" s="66"/>
      <c r="BY168" s="67"/>
      <c r="BZ168" s="211"/>
      <c r="CA168" s="21"/>
      <c r="CB168" s="67">
        <f>CB167/CA167-1</f>
        <v>5.3475935828877219E-3</v>
      </c>
      <c r="CC168" s="67">
        <f>CC167/CB167-1</f>
        <v>-5.3191489361702482E-3</v>
      </c>
      <c r="CD168" s="67">
        <f>CD167/CC167-1</f>
        <v>-2.6737967914438499E-2</v>
      </c>
      <c r="CE168" s="226"/>
      <c r="CF168" s="21">
        <f>CF167/CD167-1</f>
        <v>0</v>
      </c>
      <c r="CG168" s="67">
        <f>CG167/CF167-1</f>
        <v>1.098901098901095E-2</v>
      </c>
      <c r="CH168" s="67">
        <f>CH167/CG167-1</f>
        <v>1.6304347826086918E-2</v>
      </c>
      <c r="CI168" s="67">
        <f>CI167/CH167-1</f>
        <v>-5.3475935828877219E-3</v>
      </c>
      <c r="CJ168" s="226"/>
      <c r="CK168" s="21">
        <f>CK167/CI167-1</f>
        <v>1.6129032258064502E-2</v>
      </c>
      <c r="CL168" s="67">
        <f>CL167/CK167-1</f>
        <v>0</v>
      </c>
      <c r="CM168" s="67">
        <f>CM167/CL167-1</f>
        <v>0</v>
      </c>
      <c r="CN168" s="67">
        <f>CN167/CM167-1</f>
        <v>5.8201058201058142E-2</v>
      </c>
      <c r="CO168" s="226"/>
    </row>
    <row r="169" spans="2:93" ht="13.9" customHeight="1">
      <c r="B169" s="20" t="s">
        <v>6</v>
      </c>
      <c r="C169" s="4"/>
      <c r="D169" s="22"/>
      <c r="E169" s="22"/>
      <c r="F169" s="22"/>
      <c r="G169" s="22"/>
      <c r="H169" s="4"/>
      <c r="I169" s="22"/>
      <c r="J169" s="22"/>
      <c r="K169" s="22"/>
      <c r="L169" s="21"/>
      <c r="M169" s="4"/>
      <c r="N169" s="22"/>
      <c r="O169" s="22"/>
      <c r="P169" s="22"/>
      <c r="Q169" s="21"/>
      <c r="R169" s="4"/>
      <c r="S169" s="22"/>
      <c r="T169" s="22"/>
      <c r="U169" s="22"/>
      <c r="V169" s="21"/>
      <c r="W169" s="211"/>
      <c r="X169" s="211"/>
      <c r="Y169" s="211"/>
      <c r="Z169" s="211"/>
      <c r="AA169" s="212"/>
      <c r="AB169" s="211"/>
      <c r="AC169" s="211"/>
      <c r="AD169" s="211"/>
      <c r="AE169" s="211"/>
      <c r="AF169" s="212"/>
      <c r="AG169" s="211"/>
      <c r="AH169" s="211"/>
      <c r="AI169" s="211"/>
      <c r="AJ169" s="211"/>
      <c r="AK169" s="212"/>
      <c r="AL169" s="211"/>
      <c r="AM169" s="211"/>
      <c r="AN169" s="211"/>
      <c r="AO169" s="211"/>
      <c r="AP169" s="212"/>
      <c r="AQ169" s="211"/>
      <c r="AR169" s="211"/>
      <c r="AS169" s="211"/>
      <c r="AT169" s="211"/>
      <c r="AU169" s="212"/>
      <c r="AV169" s="211"/>
      <c r="AW169" s="211"/>
      <c r="AX169" s="211"/>
      <c r="AY169" s="211"/>
      <c r="AZ169" s="212"/>
      <c r="BA169" s="211"/>
      <c r="BB169" s="211"/>
      <c r="BC169" s="211"/>
      <c r="BD169" s="211"/>
      <c r="BE169" s="212"/>
      <c r="BF169" s="211"/>
      <c r="BG169" s="211"/>
      <c r="BH169" s="211"/>
      <c r="BI169" s="211"/>
      <c r="BJ169" s="212"/>
      <c r="BK169" s="211"/>
      <c r="BL169" s="211"/>
      <c r="BM169" s="211"/>
      <c r="BN169" s="211"/>
      <c r="BO169" s="212"/>
      <c r="BP169" s="211"/>
      <c r="BQ169" s="211"/>
      <c r="BR169" s="211"/>
      <c r="BS169" s="211"/>
      <c r="BT169" s="212"/>
      <c r="BU169" s="211"/>
      <c r="BV169" s="22"/>
      <c r="BW169" s="66"/>
      <c r="BX169" s="66"/>
      <c r="BY169" s="67"/>
      <c r="BZ169" s="211"/>
      <c r="CA169" s="22"/>
      <c r="CB169" s="66"/>
      <c r="CC169" s="66"/>
      <c r="CD169" s="67"/>
      <c r="CE169" s="211"/>
      <c r="CF169" s="22">
        <f>CF167/CA167-1</f>
        <v>-2.6737967914438499E-2</v>
      </c>
      <c r="CG169" s="66">
        <f>CG167/CB167-1</f>
        <v>-2.1276595744680882E-2</v>
      </c>
      <c r="CH169" s="66">
        <f t="shared" ref="CH169" si="177">CH167/CC167-1</f>
        <v>0</v>
      </c>
      <c r="CI169" s="67">
        <f>CI167/CD167-1</f>
        <v>2.19780219780219E-2</v>
      </c>
      <c r="CJ169" s="211">
        <f>CJ167/CE167-1</f>
        <v>-5.3763440860215006E-3</v>
      </c>
      <c r="CK169" s="22">
        <f t="shared" ref="CK169" si="178">CK167/CF167-1</f>
        <v>3.8461538461538547E-2</v>
      </c>
      <c r="CL169" s="66">
        <f>CL167/CG167-1</f>
        <v>2.7173913043478271E-2</v>
      </c>
      <c r="CM169" s="66">
        <f>CM167/CH167-1</f>
        <v>1.0695187165775444E-2</v>
      </c>
      <c r="CN169" s="67">
        <f>CN167/CI167-1</f>
        <v>7.5268817204301008E-2</v>
      </c>
      <c r="CO169" s="211">
        <f>CO167/CJ167-1</f>
        <v>3.7837837837837895E-2</v>
      </c>
    </row>
    <row r="170" spans="2:93" ht="13.9" customHeight="1">
      <c r="B170" s="20"/>
      <c r="C170" s="4"/>
      <c r="D170" s="22"/>
      <c r="E170" s="22"/>
      <c r="F170" s="22"/>
      <c r="G170" s="22"/>
      <c r="H170" s="4"/>
      <c r="I170" s="22"/>
      <c r="J170" s="22"/>
      <c r="K170" s="22"/>
      <c r="L170" s="21"/>
      <c r="M170" s="4"/>
      <c r="N170" s="22"/>
      <c r="O170" s="22"/>
      <c r="P170" s="22"/>
      <c r="Q170" s="21"/>
      <c r="R170" s="4"/>
      <c r="S170" s="22"/>
      <c r="T170" s="22"/>
      <c r="U170" s="22"/>
      <c r="V170" s="21"/>
      <c r="W170" s="211"/>
      <c r="X170" s="211"/>
      <c r="Y170" s="211"/>
      <c r="Z170" s="211"/>
      <c r="AA170" s="212"/>
      <c r="AB170" s="211"/>
      <c r="AC170" s="211"/>
      <c r="AD170" s="211"/>
      <c r="AE170" s="211"/>
      <c r="AF170" s="212"/>
      <c r="AG170" s="211"/>
      <c r="AH170" s="211"/>
      <c r="AI170" s="211"/>
      <c r="AJ170" s="211"/>
      <c r="AK170" s="212"/>
      <c r="AL170" s="211"/>
      <c r="AM170" s="211"/>
      <c r="AN170" s="211"/>
      <c r="AO170" s="211"/>
      <c r="AP170" s="212"/>
      <c r="AQ170" s="211"/>
      <c r="AR170" s="211"/>
      <c r="AS170" s="211"/>
      <c r="AT170" s="211"/>
      <c r="AU170" s="212"/>
      <c r="AV170" s="211"/>
      <c r="AW170" s="211"/>
      <c r="AX170" s="211"/>
      <c r="AY170" s="211"/>
      <c r="AZ170" s="212"/>
      <c r="BA170" s="211"/>
      <c r="BB170" s="211"/>
      <c r="BC170" s="211"/>
      <c r="BD170" s="211"/>
      <c r="BE170" s="212"/>
      <c r="BF170" s="211"/>
      <c r="BG170" s="211"/>
      <c r="BH170" s="211"/>
      <c r="BI170" s="211"/>
      <c r="BJ170" s="212"/>
      <c r="BK170" s="211"/>
      <c r="BL170" s="211"/>
      <c r="BM170" s="211"/>
      <c r="BN170" s="211"/>
      <c r="BO170" s="212"/>
      <c r="BP170" s="211"/>
      <c r="BQ170" s="211"/>
      <c r="BR170" s="211"/>
      <c r="BS170" s="211"/>
      <c r="BT170" s="212"/>
      <c r="BU170" s="211"/>
      <c r="BV170" s="22"/>
      <c r="BW170" s="66"/>
      <c r="BX170" s="66"/>
      <c r="BY170" s="67"/>
      <c r="BZ170" s="211"/>
      <c r="CA170" s="22"/>
      <c r="CB170" s="66"/>
      <c r="CC170" s="66"/>
      <c r="CD170" s="67"/>
      <c r="CE170" s="211"/>
      <c r="CF170" s="22"/>
      <c r="CG170" s="66"/>
      <c r="CH170" s="66"/>
      <c r="CI170" s="67"/>
      <c r="CJ170" s="211"/>
      <c r="CK170" s="22"/>
      <c r="CL170" s="66"/>
      <c r="CM170" s="66"/>
      <c r="CN170" s="67"/>
      <c r="CO170" s="211"/>
    </row>
    <row r="171" spans="2:93" ht="13.9" customHeight="1">
      <c r="B171" s="12" t="s">
        <v>96</v>
      </c>
      <c r="C171" s="37" t="s">
        <v>25</v>
      </c>
      <c r="D171" s="27" t="s">
        <v>25</v>
      </c>
      <c r="E171" s="27" t="s">
        <v>25</v>
      </c>
      <c r="F171" s="27" t="s">
        <v>25</v>
      </c>
      <c r="G171" s="27" t="s">
        <v>25</v>
      </c>
      <c r="H171" s="37" t="s">
        <v>25</v>
      </c>
      <c r="I171" s="35">
        <v>3.6999999999999998E-2</v>
      </c>
      <c r="J171" s="35">
        <v>3.1E-2</v>
      </c>
      <c r="K171" s="35">
        <v>3.3000000000000002E-2</v>
      </c>
      <c r="L171" s="35">
        <v>3.2000000000000001E-2</v>
      </c>
      <c r="M171" s="10">
        <v>0.13300000000000001</v>
      </c>
      <c r="N171" s="35">
        <v>3.5000000000000003E-2</v>
      </c>
      <c r="O171" s="35">
        <v>3.1E-2</v>
      </c>
      <c r="P171" s="35">
        <v>3.3000000000000002E-2</v>
      </c>
      <c r="Q171" s="35">
        <v>3.1E-2</v>
      </c>
      <c r="R171" s="10">
        <v>0.13</v>
      </c>
      <c r="S171" s="35">
        <v>3.3000000000000002E-2</v>
      </c>
      <c r="T171" s="35">
        <v>2.9000000000000001E-2</v>
      </c>
      <c r="U171" s="35">
        <v>2.8000000000000001E-2</v>
      </c>
      <c r="V171" s="35">
        <v>2.8000000000000001E-2</v>
      </c>
      <c r="W171" s="265">
        <v>0.11899999999999999</v>
      </c>
      <c r="X171" s="265">
        <v>3.5999999999999997E-2</v>
      </c>
      <c r="Y171" s="265">
        <v>3.9E-2</v>
      </c>
      <c r="Z171" s="265">
        <v>4.1000000000000002E-2</v>
      </c>
      <c r="AA171" s="265">
        <v>3.7999999999999999E-2</v>
      </c>
      <c r="AB171" s="231">
        <v>0.154</v>
      </c>
      <c r="AC171" s="265">
        <v>3.7999999999999999E-2</v>
      </c>
      <c r="AD171" s="265">
        <v>3.2000000000000001E-2</v>
      </c>
      <c r="AE171" s="265">
        <v>3.4000000000000002E-2</v>
      </c>
      <c r="AF171" s="265">
        <v>0.03</v>
      </c>
      <c r="AG171" s="231">
        <v>0.13500000000000001</v>
      </c>
      <c r="AH171" s="265">
        <v>3.5999999999999997E-2</v>
      </c>
      <c r="AI171" s="265">
        <v>3.1E-2</v>
      </c>
      <c r="AJ171" s="265">
        <v>3.2000000000000001E-2</v>
      </c>
      <c r="AK171" s="265">
        <v>2.9000000000000001E-2</v>
      </c>
      <c r="AL171" s="231">
        <v>0.128</v>
      </c>
      <c r="AM171" s="265">
        <v>3.4000000000000002E-2</v>
      </c>
      <c r="AN171" s="265">
        <v>3.1E-2</v>
      </c>
      <c r="AO171" s="265">
        <v>3.9E-2</v>
      </c>
      <c r="AP171" s="265">
        <v>3.5000000000000003E-2</v>
      </c>
      <c r="AQ171" s="231">
        <v>0.13900000000000001</v>
      </c>
      <c r="AR171" s="265">
        <v>4.2000000000000003E-2</v>
      </c>
      <c r="AS171" s="265">
        <v>3.5999999999999997E-2</v>
      </c>
      <c r="AT171" s="265">
        <v>4.4999999999999998E-2</v>
      </c>
      <c r="AU171" s="265">
        <f>AV171-AT171-AS171-AR171</f>
        <v>3.6000000000000011E-2</v>
      </c>
      <c r="AV171" s="231">
        <v>0.159</v>
      </c>
      <c r="AW171" s="265">
        <v>4.2999999999999997E-2</v>
      </c>
      <c r="AX171" s="265">
        <v>3.7999999999999999E-2</v>
      </c>
      <c r="AY171" s="265">
        <v>4.8000000000000001E-2</v>
      </c>
      <c r="AZ171" s="265">
        <v>5.8999999999999997E-2</v>
      </c>
      <c r="BA171" s="231">
        <v>0.188</v>
      </c>
      <c r="BB171" s="265">
        <v>6.0999999999999999E-2</v>
      </c>
      <c r="BC171" s="265">
        <v>4.7E-2</v>
      </c>
      <c r="BD171" s="265">
        <v>5.0999999999999997E-2</v>
      </c>
      <c r="BE171" s="265">
        <f>BF171-BD171-BC171-BB171</f>
        <v>5.6000000000000008E-2</v>
      </c>
      <c r="BF171" s="231">
        <v>0.215</v>
      </c>
      <c r="BG171" s="265">
        <v>5.6000000000000001E-2</v>
      </c>
      <c r="BH171" s="265">
        <v>4.9000000000000002E-2</v>
      </c>
      <c r="BI171" s="265">
        <v>5.5E-2</v>
      </c>
      <c r="BJ171" s="265">
        <f>BK171-BG171-BH171-BI171</f>
        <v>5.1999999999999998E-2</v>
      </c>
      <c r="BK171" s="231">
        <v>0.21199999999999999</v>
      </c>
      <c r="BL171" s="265">
        <v>5.8999999999999997E-2</v>
      </c>
      <c r="BM171" s="265">
        <v>4.8000000000000001E-2</v>
      </c>
      <c r="BN171" s="265">
        <v>5.3999999999999999E-2</v>
      </c>
      <c r="BO171" s="265">
        <f>BP171-BL171-BM171-BN171</f>
        <v>4.8999999999999995E-2</v>
      </c>
      <c r="BP171" s="231">
        <v>0.21</v>
      </c>
      <c r="BQ171" s="265">
        <v>4.2999999999999997E-2</v>
      </c>
      <c r="BR171" s="265">
        <v>3.6999999999999998E-2</v>
      </c>
      <c r="BS171" s="265">
        <v>3.6999999999999998E-2</v>
      </c>
      <c r="BT171" s="265">
        <f>BU171-BQ171-BR171-BS171</f>
        <v>3.4000000000000009E-2</v>
      </c>
      <c r="BU171" s="231">
        <v>0.151</v>
      </c>
      <c r="BV171" s="68">
        <v>3.6999999999999998E-2</v>
      </c>
      <c r="BW171" s="68">
        <v>2.9000000000000001E-2</v>
      </c>
      <c r="BX171" s="68">
        <v>3.2000000000000001E-2</v>
      </c>
      <c r="BY171" s="68">
        <f>BZ171-BV171-BW171-BX171</f>
        <v>0.03</v>
      </c>
      <c r="BZ171" s="231">
        <v>0.128</v>
      </c>
      <c r="CA171" s="68">
        <v>3.5000000000000003E-2</v>
      </c>
      <c r="CB171" s="68">
        <v>3.3000000000000002E-2</v>
      </c>
      <c r="CC171" s="68">
        <v>3.9E-2</v>
      </c>
      <c r="CD171" s="68">
        <f>CE171-CA171-CB171-CC171</f>
        <v>3.1000000000000007E-2</v>
      </c>
      <c r="CE171" s="231">
        <v>0.13800000000000001</v>
      </c>
      <c r="CF171" s="68">
        <v>3.9E-2</v>
      </c>
      <c r="CG171" s="68">
        <v>3.9E-2</v>
      </c>
      <c r="CH171" s="68">
        <v>4.2999999999999997E-2</v>
      </c>
      <c r="CI171" s="68">
        <f>CJ171-CF171-CG171-CH171</f>
        <v>3.7999999999999992E-2</v>
      </c>
      <c r="CJ171" s="231">
        <v>0.159</v>
      </c>
      <c r="CK171" s="68">
        <v>4.1000000000000002E-2</v>
      </c>
      <c r="CL171" s="68">
        <v>3.5999999999999997E-2</v>
      </c>
      <c r="CM171" s="68">
        <v>3.6999999999999998E-2</v>
      </c>
      <c r="CN171" s="68">
        <f>CO171-CK171-CL171-CM171</f>
        <v>4.0999999999999988E-2</v>
      </c>
      <c r="CO171" s="231">
        <v>0.155</v>
      </c>
    </row>
    <row r="172" spans="2:93" ht="13.9" customHeight="1">
      <c r="B172" s="12"/>
      <c r="C172" s="37"/>
      <c r="D172" s="27"/>
      <c r="E172" s="27"/>
      <c r="F172" s="27"/>
      <c r="G172" s="27"/>
      <c r="H172" s="37"/>
      <c r="I172" s="35"/>
      <c r="J172" s="35"/>
      <c r="K172" s="35"/>
      <c r="L172" s="35"/>
      <c r="M172" s="10"/>
      <c r="N172" s="35"/>
      <c r="O172" s="35"/>
      <c r="P172" s="35"/>
      <c r="Q172" s="35"/>
      <c r="R172" s="10"/>
      <c r="S172" s="35"/>
      <c r="T172" s="35"/>
      <c r="U172" s="35"/>
      <c r="V172" s="35"/>
      <c r="W172" s="265"/>
      <c r="X172" s="265"/>
      <c r="Y172" s="265"/>
      <c r="Z172" s="265"/>
      <c r="AA172" s="265"/>
      <c r="AB172" s="226"/>
      <c r="AC172" s="265"/>
      <c r="AD172" s="265"/>
      <c r="AE172" s="265"/>
      <c r="AF172" s="265"/>
      <c r="AG172" s="226"/>
      <c r="AH172" s="265"/>
      <c r="AI172" s="265"/>
      <c r="AJ172" s="265"/>
      <c r="AK172" s="265"/>
      <c r="AL172" s="226"/>
      <c r="AM172" s="265"/>
      <c r="AN172" s="265"/>
      <c r="AO172" s="265"/>
      <c r="AP172" s="265"/>
      <c r="AQ172" s="226"/>
      <c r="AR172" s="265"/>
      <c r="AS172" s="265"/>
      <c r="AT172" s="265"/>
      <c r="AU172" s="265"/>
      <c r="AV172" s="226"/>
      <c r="AW172" s="265"/>
      <c r="AX172" s="265"/>
      <c r="AY172" s="265"/>
      <c r="AZ172" s="265"/>
      <c r="BA172" s="226"/>
      <c r="BB172" s="265"/>
      <c r="BC172" s="265"/>
      <c r="BD172" s="265"/>
      <c r="BE172" s="265"/>
      <c r="BF172" s="226"/>
      <c r="BG172" s="265"/>
      <c r="BH172" s="265"/>
      <c r="BI172" s="265"/>
      <c r="BJ172" s="265"/>
      <c r="BK172" s="226"/>
      <c r="BL172" s="265"/>
      <c r="BM172" s="265"/>
      <c r="BN172" s="265"/>
      <c r="BO172" s="265"/>
      <c r="BP172" s="226"/>
      <c r="BQ172" s="265"/>
      <c r="BR172" s="265"/>
      <c r="BS172" s="265"/>
      <c r="BT172" s="265"/>
      <c r="BU172" s="226"/>
      <c r="BV172" s="35"/>
      <c r="BW172" s="35"/>
      <c r="BX172" s="35"/>
      <c r="BY172" s="35"/>
      <c r="BZ172" s="226"/>
      <c r="CA172" s="35"/>
      <c r="CB172" s="35"/>
      <c r="CC172" s="35"/>
      <c r="CD172" s="35"/>
      <c r="CE172" s="226"/>
      <c r="CF172" s="35"/>
      <c r="CG172" s="35"/>
      <c r="CH172" s="35"/>
      <c r="CI172" s="35"/>
      <c r="CJ172" s="226"/>
      <c r="CK172" s="35"/>
      <c r="CL172" s="35"/>
      <c r="CM172" s="35"/>
      <c r="CN172" s="35"/>
      <c r="CO172" s="226"/>
    </row>
    <row r="173" spans="2:93" ht="13.9" customHeight="1">
      <c r="B173" s="12" t="s">
        <v>14</v>
      </c>
      <c r="C173" s="37" t="s">
        <v>25</v>
      </c>
      <c r="D173" s="27"/>
      <c r="E173" s="27"/>
      <c r="F173" s="27"/>
      <c r="G173" s="27"/>
      <c r="H173" s="58">
        <v>1999</v>
      </c>
      <c r="I173" s="35"/>
      <c r="J173" s="35"/>
      <c r="K173" s="35"/>
      <c r="L173" s="35"/>
      <c r="M173" s="58">
        <v>2158</v>
      </c>
      <c r="N173" s="35"/>
      <c r="O173" s="35"/>
      <c r="P173" s="35"/>
      <c r="Q173" s="35"/>
      <c r="R173" s="58">
        <v>2229</v>
      </c>
      <c r="S173" s="49" t="s">
        <v>24</v>
      </c>
      <c r="T173" s="49" t="s">
        <v>24</v>
      </c>
      <c r="U173" s="49" t="s">
        <v>24</v>
      </c>
      <c r="V173" s="49" t="s">
        <v>24</v>
      </c>
      <c r="W173" s="270">
        <v>2227</v>
      </c>
      <c r="X173" s="266" t="s">
        <v>24</v>
      </c>
      <c r="Y173" s="266" t="s">
        <v>24</v>
      </c>
      <c r="Z173" s="266" t="s">
        <v>24</v>
      </c>
      <c r="AA173" s="266" t="s">
        <v>24</v>
      </c>
      <c r="AB173" s="270">
        <v>2276</v>
      </c>
      <c r="AC173" s="266" t="s">
        <v>24</v>
      </c>
      <c r="AD173" s="266" t="s">
        <v>24</v>
      </c>
      <c r="AE173" s="266" t="s">
        <v>24</v>
      </c>
      <c r="AF173" s="266" t="s">
        <v>24</v>
      </c>
      <c r="AG173" s="270">
        <v>2208</v>
      </c>
      <c r="AH173" s="266" t="s">
        <v>24</v>
      </c>
      <c r="AI173" s="266" t="s">
        <v>24</v>
      </c>
      <c r="AJ173" s="266" t="s">
        <v>24</v>
      </c>
      <c r="AK173" s="210">
        <v>2042</v>
      </c>
      <c r="AL173" s="270">
        <v>2042</v>
      </c>
      <c r="AM173" s="266" t="s">
        <v>24</v>
      </c>
      <c r="AN173" s="266" t="s">
        <v>24</v>
      </c>
      <c r="AO173" s="266" t="s">
        <v>24</v>
      </c>
      <c r="AP173" s="210">
        <v>1984</v>
      </c>
      <c r="AQ173" s="270">
        <v>1984</v>
      </c>
      <c r="AR173" s="266" t="s">
        <v>24</v>
      </c>
      <c r="AS173" s="266" t="s">
        <v>24</v>
      </c>
      <c r="AT173" s="266" t="s">
        <v>24</v>
      </c>
      <c r="AU173" s="210">
        <v>1753</v>
      </c>
      <c r="AV173" s="270">
        <v>1753</v>
      </c>
      <c r="AW173" s="266" t="s">
        <v>24</v>
      </c>
      <c r="AX173" s="266" t="s">
        <v>24</v>
      </c>
      <c r="AY173" s="266" t="s">
        <v>24</v>
      </c>
      <c r="AZ173" s="210">
        <v>1680</v>
      </c>
      <c r="BA173" s="270">
        <v>1680</v>
      </c>
      <c r="BB173" s="266" t="s">
        <v>24</v>
      </c>
      <c r="BC173" s="266" t="s">
        <v>24</v>
      </c>
      <c r="BD173" s="266" t="s">
        <v>24</v>
      </c>
      <c r="BE173" s="210">
        <v>1532</v>
      </c>
      <c r="BF173" s="270">
        <v>1539</v>
      </c>
      <c r="BG173" s="266" t="s">
        <v>24</v>
      </c>
      <c r="BH173" s="210">
        <v>1350</v>
      </c>
      <c r="BI173" s="266" t="s">
        <v>24</v>
      </c>
      <c r="BJ173" s="210">
        <f>BK173</f>
        <v>1335</v>
      </c>
      <c r="BK173" s="270">
        <v>1335</v>
      </c>
      <c r="BL173" s="266" t="s">
        <v>24</v>
      </c>
      <c r="BM173" s="266" t="s">
        <v>24</v>
      </c>
      <c r="BN173" s="266" t="s">
        <v>24</v>
      </c>
      <c r="BO173" s="210">
        <f>BP173</f>
        <v>1229</v>
      </c>
      <c r="BP173" s="270">
        <v>1229</v>
      </c>
      <c r="BQ173" s="266" t="s">
        <v>24</v>
      </c>
      <c r="BR173" s="266" t="s">
        <v>24</v>
      </c>
      <c r="BS173" s="266" t="s">
        <v>24</v>
      </c>
      <c r="BT173" s="210">
        <f>BU173</f>
        <v>1094</v>
      </c>
      <c r="BU173" s="270">
        <v>1094</v>
      </c>
      <c r="BV173" s="49" t="s">
        <v>24</v>
      </c>
      <c r="BW173" s="49" t="s">
        <v>24</v>
      </c>
      <c r="BX173" s="49" t="s">
        <v>24</v>
      </c>
      <c r="BY173" s="19">
        <f>BZ173</f>
        <v>1065</v>
      </c>
      <c r="BZ173" s="270">
        <v>1065</v>
      </c>
      <c r="CA173" s="49" t="s">
        <v>24</v>
      </c>
      <c r="CB173" s="49" t="s">
        <v>24</v>
      </c>
      <c r="CC173" s="49" t="s">
        <v>24</v>
      </c>
      <c r="CD173" s="19">
        <f>CE173</f>
        <v>1092</v>
      </c>
      <c r="CE173" s="270">
        <v>1092</v>
      </c>
      <c r="CF173" s="49" t="s">
        <v>24</v>
      </c>
      <c r="CG173" s="49" t="s">
        <v>24</v>
      </c>
      <c r="CH173" s="49" t="s">
        <v>24</v>
      </c>
      <c r="CI173" s="19">
        <f>CJ173</f>
        <v>1043</v>
      </c>
      <c r="CJ173" s="270">
        <v>1043</v>
      </c>
      <c r="CK173" s="49" t="s">
        <v>24</v>
      </c>
      <c r="CL173" s="49" t="s">
        <v>24</v>
      </c>
      <c r="CM173" s="49" t="s">
        <v>24</v>
      </c>
      <c r="CN173" s="19">
        <f>CO173</f>
        <v>951</v>
      </c>
      <c r="CO173" s="270">
        <v>951</v>
      </c>
    </row>
    <row r="174" spans="2:93" ht="13.9" customHeight="1">
      <c r="B174" s="20" t="s">
        <v>6</v>
      </c>
      <c r="C174" s="4"/>
      <c r="D174" s="22"/>
      <c r="E174" s="22"/>
      <c r="F174" s="22"/>
      <c r="G174" s="22"/>
      <c r="H174" s="4"/>
      <c r="I174" s="22"/>
      <c r="J174" s="22"/>
      <c r="K174" s="22"/>
      <c r="L174" s="21"/>
      <c r="M174" s="4">
        <f>M173/H173-1</f>
        <v>7.9539769884942491E-2</v>
      </c>
      <c r="N174" s="22"/>
      <c r="O174" s="22"/>
      <c r="P174" s="22"/>
      <c r="Q174" s="21"/>
      <c r="R174" s="4">
        <f>R173/M173-1</f>
        <v>3.2900834105653365E-2</v>
      </c>
      <c r="S174" s="22"/>
      <c r="T174" s="22"/>
      <c r="U174" s="22"/>
      <c r="V174" s="21"/>
      <c r="W174" s="211">
        <f>W173/R173-1</f>
        <v>-8.9726334679229858E-4</v>
      </c>
      <c r="X174" s="211"/>
      <c r="Y174" s="211"/>
      <c r="Z174" s="211"/>
      <c r="AA174" s="212"/>
      <c r="AB174" s="211">
        <f>AB173/W173-1</f>
        <v>2.2002694207454043E-2</v>
      </c>
      <c r="AC174" s="211"/>
      <c r="AD174" s="211"/>
      <c r="AE174" s="211"/>
      <c r="AF174" s="212"/>
      <c r="AG174" s="211">
        <f>AG173/AB173-1</f>
        <v>-2.9876977152899831E-2</v>
      </c>
      <c r="AH174" s="211"/>
      <c r="AI174" s="211"/>
      <c r="AJ174" s="211"/>
      <c r="AK174" s="212"/>
      <c r="AL174" s="211">
        <f>AL173/AG173-1</f>
        <v>-7.51811594202898E-2</v>
      </c>
      <c r="AM174" s="211"/>
      <c r="AN174" s="211"/>
      <c r="AO174" s="211"/>
      <c r="AP174" s="212"/>
      <c r="AQ174" s="211">
        <f>AQ173/AL173-1</f>
        <v>-2.8403525954946107E-2</v>
      </c>
      <c r="AR174" s="211"/>
      <c r="AS174" s="211"/>
      <c r="AT174" s="211"/>
      <c r="AU174" s="212"/>
      <c r="AV174" s="211">
        <f>AV173/AQ173-1</f>
        <v>-0.11643145161290325</v>
      </c>
      <c r="AW174" s="211"/>
      <c r="AX174" s="211"/>
      <c r="AY174" s="211"/>
      <c r="AZ174" s="212"/>
      <c r="BA174" s="211">
        <f>BA173/AV173-1</f>
        <v>-4.164289788933262E-2</v>
      </c>
      <c r="BB174" s="211"/>
      <c r="BC174" s="211"/>
      <c r="BD174" s="211"/>
      <c r="BE174" s="212"/>
      <c r="BF174" s="211">
        <f>BF173/BA173-1</f>
        <v>-8.3928571428571463E-2</v>
      </c>
      <c r="BG174" s="211"/>
      <c r="BH174" s="211"/>
      <c r="BI174" s="211"/>
      <c r="BJ174" s="212"/>
      <c r="BK174" s="211">
        <f>BK173/BF173-1</f>
        <v>-0.13255360623781676</v>
      </c>
      <c r="BL174" s="211"/>
      <c r="BM174" s="211"/>
      <c r="BN174" s="211"/>
      <c r="BO174" s="212"/>
      <c r="BP174" s="211">
        <f>BP173/BK173-1</f>
        <v>-7.940074906367045E-2</v>
      </c>
      <c r="BQ174" s="211"/>
      <c r="BR174" s="211"/>
      <c r="BS174" s="211"/>
      <c r="BT174" s="212"/>
      <c r="BU174" s="211">
        <f>BU173/BP173-1</f>
        <v>-0.10984540276647681</v>
      </c>
      <c r="BV174" s="22"/>
      <c r="BW174" s="22"/>
      <c r="BX174" s="22"/>
      <c r="BY174" s="21"/>
      <c r="BZ174" s="211">
        <f>BZ173/BU173-1</f>
        <v>-2.6508226691042025E-2</v>
      </c>
      <c r="CA174" s="22"/>
      <c r="CB174" s="22"/>
      <c r="CC174" s="22"/>
      <c r="CD174" s="21"/>
      <c r="CE174" s="211">
        <f>CE173/BZ173-1</f>
        <v>2.5352112676056304E-2</v>
      </c>
      <c r="CF174" s="22"/>
      <c r="CG174" s="22"/>
      <c r="CH174" s="22"/>
      <c r="CI174" s="21"/>
      <c r="CJ174" s="211">
        <f>CJ173/CE173-1</f>
        <v>-4.4871794871794823E-2</v>
      </c>
      <c r="CK174" s="22"/>
      <c r="CL174" s="22"/>
      <c r="CM174" s="22"/>
      <c r="CN174" s="21"/>
      <c r="CO174" s="211">
        <f>CO173/CJ173-1</f>
        <v>-8.8207094918504314E-2</v>
      </c>
    </row>
    <row r="175" spans="2:93" ht="13.9" customHeight="1">
      <c r="B175" s="12" t="s">
        <v>513</v>
      </c>
      <c r="C175" s="4"/>
      <c r="D175" s="22"/>
      <c r="E175" s="22"/>
      <c r="F175" s="22"/>
      <c r="G175" s="22"/>
      <c r="H175" s="4"/>
      <c r="I175" s="22"/>
      <c r="J175" s="22"/>
      <c r="K175" s="22"/>
      <c r="L175" s="21"/>
      <c r="M175" s="4"/>
      <c r="N175" s="22"/>
      <c r="O175" s="22"/>
      <c r="P175" s="22"/>
      <c r="Q175" s="21"/>
      <c r="R175" s="4"/>
      <c r="S175" s="22"/>
      <c r="T175" s="22"/>
      <c r="U175" s="22"/>
      <c r="V175" s="21"/>
      <c r="W175" s="211"/>
      <c r="X175" s="211"/>
      <c r="Y175" s="211"/>
      <c r="Z175" s="211"/>
      <c r="AA175" s="212"/>
      <c r="AB175" s="211"/>
      <c r="AC175" s="211"/>
      <c r="AD175" s="211"/>
      <c r="AE175" s="211"/>
      <c r="AF175" s="212"/>
      <c r="AG175" s="211"/>
      <c r="AH175" s="211"/>
      <c r="AI175" s="211"/>
      <c r="AJ175" s="211"/>
      <c r="AK175" s="212"/>
      <c r="AL175" s="211"/>
      <c r="AM175" s="211"/>
      <c r="AN175" s="211"/>
      <c r="AO175" s="211"/>
      <c r="AP175" s="212"/>
      <c r="AQ175" s="211"/>
      <c r="AR175" s="211"/>
      <c r="AS175" s="211"/>
      <c r="AT175" s="211"/>
      <c r="AU175" s="212"/>
      <c r="AV175" s="211"/>
      <c r="AW175" s="211"/>
      <c r="AX175" s="211"/>
      <c r="AY175" s="211"/>
      <c r="AZ175" s="212"/>
      <c r="BA175" s="211"/>
      <c r="BB175" s="211"/>
      <c r="BC175" s="211"/>
      <c r="BD175" s="211"/>
      <c r="BE175" s="212"/>
      <c r="BF175" s="211"/>
      <c r="BG175" s="211"/>
      <c r="BH175" s="211"/>
      <c r="BI175" s="211"/>
      <c r="BJ175" s="212"/>
      <c r="BK175" s="211"/>
      <c r="BL175" s="211"/>
      <c r="BM175" s="211"/>
      <c r="BN175" s="211"/>
      <c r="BO175" s="212"/>
      <c r="BP175" s="211"/>
      <c r="BQ175" s="211"/>
      <c r="BR175" s="211"/>
      <c r="BS175" s="211"/>
      <c r="BT175" s="212"/>
      <c r="BU175" s="211"/>
      <c r="BV175" s="22"/>
      <c r="BW175" s="22"/>
      <c r="BX175" s="22"/>
      <c r="BY175" s="21"/>
      <c r="BZ175" s="211"/>
      <c r="CA175" s="22"/>
      <c r="CB175" s="22"/>
      <c r="CC175" s="22"/>
      <c r="CD175" s="21"/>
      <c r="CE175" s="211"/>
      <c r="CF175" s="49" t="s">
        <v>24</v>
      </c>
      <c r="CG175" s="49" t="s">
        <v>24</v>
      </c>
      <c r="CH175" s="49" t="s">
        <v>24</v>
      </c>
      <c r="CI175" s="19">
        <f>CJ175</f>
        <v>994</v>
      </c>
      <c r="CJ175" s="270">
        <v>994</v>
      </c>
      <c r="CK175" s="49" t="s">
        <v>24</v>
      </c>
      <c r="CL175" s="49" t="s">
        <v>24</v>
      </c>
      <c r="CM175" s="49" t="s">
        <v>24</v>
      </c>
      <c r="CN175" s="19">
        <f>CO175</f>
        <v>909</v>
      </c>
      <c r="CO175" s="270">
        <v>909</v>
      </c>
    </row>
    <row r="176" spans="2:93" ht="13.9" customHeight="1">
      <c r="B176" s="20" t="s">
        <v>6</v>
      </c>
      <c r="C176" s="4"/>
      <c r="D176" s="22"/>
      <c r="E176" s="22"/>
      <c r="F176" s="22"/>
      <c r="G176" s="22"/>
      <c r="H176" s="4"/>
      <c r="I176" s="22"/>
      <c r="J176" s="22"/>
      <c r="K176" s="22"/>
      <c r="L176" s="21"/>
      <c r="M176" s="4"/>
      <c r="N176" s="22"/>
      <c r="O176" s="22"/>
      <c r="P176" s="22"/>
      <c r="Q176" s="21"/>
      <c r="R176" s="4"/>
      <c r="S176" s="22"/>
      <c r="T176" s="22"/>
      <c r="U176" s="22"/>
      <c r="V176" s="21"/>
      <c r="W176" s="211"/>
      <c r="X176" s="211"/>
      <c r="Y176" s="211"/>
      <c r="Z176" s="211"/>
      <c r="AA176" s="212"/>
      <c r="AB176" s="211"/>
      <c r="AC176" s="211"/>
      <c r="AD176" s="211"/>
      <c r="AE176" s="211"/>
      <c r="AF176" s="212"/>
      <c r="AG176" s="211"/>
      <c r="AH176" s="211"/>
      <c r="AI176" s="211"/>
      <c r="AJ176" s="211"/>
      <c r="AK176" s="212"/>
      <c r="AL176" s="211"/>
      <c r="AM176" s="211"/>
      <c r="AN176" s="211"/>
      <c r="AO176" s="211"/>
      <c r="AP176" s="212"/>
      <c r="AQ176" s="211"/>
      <c r="AR176" s="211"/>
      <c r="AS176" s="211"/>
      <c r="AT176" s="211"/>
      <c r="AU176" s="212"/>
      <c r="AV176" s="211"/>
      <c r="AW176" s="211"/>
      <c r="AX176" s="211"/>
      <c r="AY176" s="211"/>
      <c r="AZ176" s="212"/>
      <c r="BA176" s="211"/>
      <c r="BB176" s="211"/>
      <c r="BC176" s="211"/>
      <c r="BD176" s="211"/>
      <c r="BE176" s="212"/>
      <c r="BF176" s="211"/>
      <c r="BG176" s="211"/>
      <c r="BH176" s="211"/>
      <c r="BI176" s="211"/>
      <c r="BJ176" s="212"/>
      <c r="BK176" s="211"/>
      <c r="BL176" s="211"/>
      <c r="BM176" s="211"/>
      <c r="BN176" s="211"/>
      <c r="BO176" s="212"/>
      <c r="BP176" s="211"/>
      <c r="BQ176" s="211"/>
      <c r="BR176" s="211"/>
      <c r="BS176" s="211"/>
      <c r="BT176" s="212"/>
      <c r="BU176" s="211"/>
      <c r="BV176" s="22"/>
      <c r="BW176" s="22"/>
      <c r="BX176" s="22"/>
      <c r="BY176" s="21"/>
      <c r="BZ176" s="211"/>
      <c r="CA176" s="22"/>
      <c r="CB176" s="22"/>
      <c r="CC176" s="22"/>
      <c r="CD176" s="21"/>
      <c r="CE176" s="211"/>
      <c r="CF176" s="22"/>
      <c r="CG176" s="22"/>
      <c r="CH176" s="22"/>
      <c r="CI176" s="21"/>
      <c r="CJ176" s="211"/>
      <c r="CK176" s="22"/>
      <c r="CL176" s="22"/>
      <c r="CM176" s="22"/>
      <c r="CN176" s="21"/>
      <c r="CO176" s="211">
        <f>CO175/CJ175-1</f>
        <v>-8.5513078470824899E-2</v>
      </c>
    </row>
    <row r="177" spans="1:203" s="70" customFormat="1" ht="13.9" customHeight="1">
      <c r="A177" s="1"/>
      <c r="B177" s="12" t="s">
        <v>94</v>
      </c>
      <c r="C177" s="69">
        <v>0.37</v>
      </c>
      <c r="D177" s="22"/>
      <c r="E177" s="22"/>
      <c r="F177" s="22"/>
      <c r="G177" s="22"/>
      <c r="H177" s="69">
        <v>0.38</v>
      </c>
      <c r="I177" s="69"/>
      <c r="J177" s="69"/>
      <c r="K177" s="69"/>
      <c r="L177" s="69"/>
      <c r="M177" s="69">
        <v>0.38</v>
      </c>
      <c r="N177" s="69"/>
      <c r="O177" s="69"/>
      <c r="P177" s="69"/>
      <c r="Q177" s="69"/>
      <c r="R177" s="69">
        <v>0.39</v>
      </c>
      <c r="S177" s="69"/>
      <c r="T177" s="69"/>
      <c r="U177" s="69"/>
      <c r="V177" s="69"/>
      <c r="W177" s="271">
        <v>0.4</v>
      </c>
      <c r="X177" s="271"/>
      <c r="Y177" s="271"/>
      <c r="Z177" s="271"/>
      <c r="AA177" s="271"/>
      <c r="AB177" s="271">
        <v>0.39</v>
      </c>
      <c r="AC177" s="211"/>
      <c r="AD177" s="211"/>
      <c r="AE177" s="211"/>
      <c r="AF177" s="211"/>
      <c r="AG177" s="271">
        <v>0.4</v>
      </c>
      <c r="AH177" s="266" t="s">
        <v>24</v>
      </c>
      <c r="AI177" s="266" t="s">
        <v>24</v>
      </c>
      <c r="AJ177" s="266" t="s">
        <v>24</v>
      </c>
      <c r="AK177" s="266" t="s">
        <v>24</v>
      </c>
      <c r="AL177" s="271">
        <v>0.42</v>
      </c>
      <c r="AM177" s="266" t="s">
        <v>24</v>
      </c>
      <c r="AN177" s="266" t="s">
        <v>24</v>
      </c>
      <c r="AO177" s="266" t="s">
        <v>24</v>
      </c>
      <c r="AP177" s="266" t="s">
        <v>24</v>
      </c>
      <c r="AQ177" s="271">
        <v>0.42</v>
      </c>
      <c r="AR177" s="266" t="s">
        <v>24</v>
      </c>
      <c r="AS177" s="266" t="s">
        <v>24</v>
      </c>
      <c r="AT177" s="266" t="s">
        <v>24</v>
      </c>
      <c r="AU177" s="266" t="s">
        <v>24</v>
      </c>
      <c r="AV177" s="271">
        <v>0.4</v>
      </c>
      <c r="AW177" s="266" t="s">
        <v>24</v>
      </c>
      <c r="AX177" s="266" t="s">
        <v>24</v>
      </c>
      <c r="AY177" s="266" t="s">
        <v>24</v>
      </c>
      <c r="AZ177" s="266" t="s">
        <v>24</v>
      </c>
      <c r="BA177" s="271">
        <v>0.37</v>
      </c>
      <c r="BB177" s="266" t="s">
        <v>24</v>
      </c>
      <c r="BC177" s="266" t="s">
        <v>24</v>
      </c>
      <c r="BD177" s="266" t="s">
        <v>24</v>
      </c>
      <c r="BE177" s="266" t="s">
        <v>24</v>
      </c>
      <c r="BF177" s="271">
        <v>0.34</v>
      </c>
      <c r="BG177" s="266" t="s">
        <v>24</v>
      </c>
      <c r="BH177" s="266" t="s">
        <v>24</v>
      </c>
      <c r="BI177" s="266" t="s">
        <v>24</v>
      </c>
      <c r="BJ177" s="266" t="s">
        <v>24</v>
      </c>
      <c r="BK177" s="271">
        <v>0.32</v>
      </c>
      <c r="BL177" s="266" t="s">
        <v>24</v>
      </c>
      <c r="BM177" s="266" t="s">
        <v>24</v>
      </c>
      <c r="BN177" s="266" t="s">
        <v>24</v>
      </c>
      <c r="BO177" s="266" t="s">
        <v>24</v>
      </c>
      <c r="BP177" s="271">
        <v>0.32</v>
      </c>
      <c r="BQ177" s="266" t="s">
        <v>24</v>
      </c>
      <c r="BR177" s="266" t="s">
        <v>24</v>
      </c>
      <c r="BS177" s="266" t="s">
        <v>24</v>
      </c>
      <c r="BT177" s="266" t="s">
        <v>24</v>
      </c>
      <c r="BU177" s="271">
        <v>0.32</v>
      </c>
      <c r="BV177" s="49" t="s">
        <v>24</v>
      </c>
      <c r="BW177" s="49" t="s">
        <v>24</v>
      </c>
      <c r="BX177" s="49" t="s">
        <v>24</v>
      </c>
      <c r="BY177" s="49" t="s">
        <v>24</v>
      </c>
      <c r="BZ177" s="271">
        <v>0.33</v>
      </c>
      <c r="CA177" s="49" t="s">
        <v>24</v>
      </c>
      <c r="CB177" s="49" t="s">
        <v>24</v>
      </c>
      <c r="CC177" s="49" t="s">
        <v>24</v>
      </c>
      <c r="CD177" s="49" t="s">
        <v>24</v>
      </c>
      <c r="CE177" s="271">
        <v>0.33</v>
      </c>
      <c r="CF177" s="49" t="s">
        <v>24</v>
      </c>
      <c r="CG177" s="49" t="s">
        <v>24</v>
      </c>
      <c r="CH177" s="49" t="s">
        <v>24</v>
      </c>
      <c r="CI177" s="49" t="s">
        <v>24</v>
      </c>
      <c r="CJ177" s="271">
        <v>0.32</v>
      </c>
      <c r="CK177" s="49" t="s">
        <v>24</v>
      </c>
      <c r="CL177" s="49" t="s">
        <v>24</v>
      </c>
      <c r="CM177" s="49" t="s">
        <v>24</v>
      </c>
      <c r="CN177" s="49" t="s">
        <v>24</v>
      </c>
      <c r="CO177" s="271">
        <v>0.33</v>
      </c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</row>
    <row r="178" spans="1:203" ht="3.4" customHeight="1">
      <c r="B178" s="191"/>
      <c r="C178" s="188"/>
      <c r="D178" s="188"/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</row>
    <row r="208" spans="15:16">
      <c r="O208">
        <v>340</v>
      </c>
      <c r="P208">
        <v>347.37700000000001</v>
      </c>
    </row>
    <row r="221" spans="38:38">
      <c r="AL221">
        <v>1980</v>
      </c>
    </row>
    <row r="224" spans="38:38">
      <c r="AL224">
        <f>1793-478</f>
        <v>1315</v>
      </c>
    </row>
    <row r="233" spans="38:45">
      <c r="AL233">
        <v>-23</v>
      </c>
    </row>
    <row r="238" spans="38:45">
      <c r="AS238">
        <v>59</v>
      </c>
    </row>
    <row r="243" spans="21:34">
      <c r="AH243">
        <v>616</v>
      </c>
    </row>
    <row r="249" spans="21:34">
      <c r="AH249">
        <f>18.765+190.909</f>
        <v>209.67399999999998</v>
      </c>
    </row>
    <row r="252" spans="21:34">
      <c r="AH252">
        <f>AH249-27</f>
        <v>182.67399999999998</v>
      </c>
    </row>
    <row r="254" spans="21:34">
      <c r="U254">
        <v>405.46800000000002</v>
      </c>
    </row>
    <row r="257" spans="16:21">
      <c r="U257">
        <v>63.363999999999997</v>
      </c>
    </row>
    <row r="260" spans="16:21">
      <c r="U260">
        <v>-75.885000000000005</v>
      </c>
    </row>
    <row r="263" spans="16:21">
      <c r="U263">
        <v>74.073999999999998</v>
      </c>
    </row>
    <row r="271" spans="16:21">
      <c r="P271">
        <v>126.117</v>
      </c>
      <c r="U271">
        <v>134.20099999999999</v>
      </c>
    </row>
    <row r="276" spans="16:24">
      <c r="X276">
        <v>118</v>
      </c>
    </row>
    <row r="277" spans="16:24">
      <c r="P277">
        <f>52.441+2.5+9.771</f>
        <v>64.712000000000003</v>
      </c>
      <c r="U277">
        <f>51.634+6.428+9.274</f>
        <v>67.335999999999999</v>
      </c>
    </row>
    <row r="278" spans="16:24">
      <c r="X278" s="18">
        <v>-9.1999999999999998E-2</v>
      </c>
    </row>
    <row r="280" spans="16:24">
      <c r="U280">
        <f>U277-0.156</f>
        <v>67.179999999999993</v>
      </c>
    </row>
    <row r="379" spans="58:58">
      <c r="BF379">
        <f>BF376-260</f>
        <v>-260</v>
      </c>
    </row>
    <row r="398" spans="56:56">
      <c r="BD398" s="18">
        <v>0.26400000000000001</v>
      </c>
    </row>
    <row r="450" spans="32:38">
      <c r="AF450">
        <v>131</v>
      </c>
      <c r="AK450">
        <v>135</v>
      </c>
    </row>
    <row r="452" spans="32:38">
      <c r="AK452" s="18">
        <v>3.5000000000000003E-2</v>
      </c>
    </row>
    <row r="455" spans="32:38">
      <c r="AF455">
        <v>134</v>
      </c>
      <c r="AG455">
        <v>491</v>
      </c>
    </row>
    <row r="457" spans="32:38">
      <c r="AK457" s="18">
        <v>-8.7999999999999995E-2</v>
      </c>
      <c r="AL457" s="18">
        <v>-0.10100000000000001</v>
      </c>
    </row>
    <row r="467" spans="32:38">
      <c r="AG467">
        <v>167</v>
      </c>
      <c r="AK467">
        <v>27</v>
      </c>
      <c r="AL467">
        <v>138</v>
      </c>
    </row>
    <row r="469" spans="32:38">
      <c r="AK469" s="18">
        <v>-0.47899999999999998</v>
      </c>
      <c r="AL469" s="18">
        <v>-0.17799999999999999</v>
      </c>
    </row>
    <row r="475" spans="32:38">
      <c r="AF475" s="18">
        <v>0.313</v>
      </c>
    </row>
  </sheetData>
  <customSheetViews>
    <customSheetView guid="{67DDFA58-7FF7-4BDB-BFFF-31DB4021D095}" scale="97" showGridLines="0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>
      <pane xSplit="1" ySplit="5" topLeftCell="B64" activePane="bottomRigh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>
      <pane xSplit="1" ySplit="5" topLeftCell="B6" activePane="bottomRigh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6BBAF30-1E81-42FB-BA93-01B6813E2C8C}" showPageBreaks="1" printArea="1">
      <pane xSplit="1" ySplit="5" topLeftCell="B6" activePane="bottomRigh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ageMargins left="0.39370078740157483" right="0.39370078740157483" top="0.39370078740157483" bottom="0.39370078740157483" header="0.39370078740157483" footer="0.19685039370078741"/>
  <pageSetup paperSize="9" scale="57" orientation="landscape" r:id="rId1"/>
  <headerFooter alignWithMargins="0">
    <oddHeader>&amp;C&amp;12Bezeq - The Israeli Telecommunications Corp., Ltd</oddHeader>
    <oddFooter>&amp;R&amp;P of &amp;N
KPIs</oddFooter>
  </headerFooter>
  <rowBreaks count="2" manualBreakCount="2">
    <brk id="65" max="16383" man="1"/>
    <brk id="124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787C-88DA-4054-A351-40379807F393}">
  <sheetPr>
    <tabColor rgb="FF00B0F0"/>
  </sheetPr>
  <dimension ref="A1:M43"/>
  <sheetViews>
    <sheetView showGridLines="0" tabSelected="1" workbookViewId="0">
      <selection activeCell="AI81" sqref="AI81"/>
    </sheetView>
  </sheetViews>
  <sheetFormatPr defaultColWidth="9.28515625" defaultRowHeight="12.75"/>
  <cols>
    <col min="1" max="1" width="1.7109375" customWidth="1"/>
    <col min="2" max="2" width="40.7109375" customWidth="1"/>
    <col min="3" max="3" width="17.7109375" customWidth="1"/>
    <col min="4" max="4" width="22.5703125" customWidth="1"/>
    <col min="5" max="5" width="12.42578125" customWidth="1"/>
    <col min="10" max="10" width="2.85546875" customWidth="1"/>
    <col min="11" max="11" width="0.5703125" customWidth="1"/>
    <col min="13" max="13" width="16.5703125" bestFit="1" customWidth="1"/>
  </cols>
  <sheetData>
    <row r="1" spans="1:13" ht="13.9" customHeight="1">
      <c r="A1" s="6"/>
      <c r="B1" s="6"/>
    </row>
    <row r="2" spans="1:13" ht="13.9" customHeight="1">
      <c r="A2" s="6"/>
      <c r="B2" s="6"/>
    </row>
    <row r="3" spans="1:13" ht="13.9" customHeight="1">
      <c r="A3" s="6"/>
      <c r="B3" s="7"/>
    </row>
    <row r="4" spans="1:13" ht="13.9" customHeight="1">
      <c r="A4" s="6"/>
      <c r="C4" s="98"/>
    </row>
    <row r="5" spans="1:13" ht="4.1500000000000004" customHeight="1">
      <c r="A5" s="6"/>
      <c r="B5" s="193"/>
      <c r="C5" s="193"/>
      <c r="D5" s="193"/>
      <c r="E5" s="193"/>
      <c r="F5" s="193"/>
      <c r="G5" s="193"/>
      <c r="H5" s="193"/>
      <c r="I5" s="193"/>
      <c r="J5" s="193"/>
      <c r="K5" s="193"/>
    </row>
    <row r="6" spans="1:13" ht="25.35" customHeight="1">
      <c r="A6" s="6"/>
      <c r="B6" s="177" t="s">
        <v>476</v>
      </c>
      <c r="C6" s="183"/>
      <c r="D6" s="183"/>
      <c r="E6" s="183"/>
      <c r="F6" s="183"/>
      <c r="G6" s="183"/>
      <c r="H6" s="183"/>
      <c r="I6" s="183"/>
      <c r="J6" s="183"/>
      <c r="K6" s="183"/>
    </row>
    <row r="7" spans="1:13" ht="2.85" customHeight="1">
      <c r="A7" s="6"/>
      <c r="B7" s="201"/>
      <c r="C7" s="201"/>
      <c r="D7" s="201"/>
      <c r="E7" s="201"/>
      <c r="F7" s="201"/>
      <c r="G7" s="201"/>
      <c r="H7" s="201"/>
      <c r="I7" s="201"/>
      <c r="J7" s="201"/>
      <c r="K7" s="201"/>
    </row>
    <row r="8" spans="1:13" ht="16.149999999999999" customHeight="1">
      <c r="A8" s="6"/>
      <c r="B8" s="201" t="s">
        <v>409</v>
      </c>
      <c r="C8" s="346" t="s">
        <v>475</v>
      </c>
      <c r="D8" s="346" t="s">
        <v>477</v>
      </c>
      <c r="E8" s="388" t="s">
        <v>484</v>
      </c>
      <c r="F8" s="275"/>
      <c r="G8" s="275"/>
      <c r="H8" s="275"/>
      <c r="I8" s="275"/>
      <c r="J8" s="275"/>
      <c r="K8" s="275"/>
      <c r="M8" s="95"/>
    </row>
    <row r="9" spans="1:13" ht="16.149999999999999" customHeight="1">
      <c r="A9" s="6"/>
      <c r="B9" s="201"/>
      <c r="C9" s="346"/>
      <c r="D9" s="346"/>
      <c r="E9" s="388"/>
      <c r="F9" s="275"/>
      <c r="G9" s="275"/>
      <c r="H9" s="275"/>
      <c r="I9" s="275"/>
      <c r="J9" s="275"/>
      <c r="K9" s="275"/>
      <c r="M9" s="95"/>
    </row>
    <row r="10" spans="1:13" ht="16.149999999999999" customHeight="1">
      <c r="A10" s="6"/>
      <c r="B10" s="2" t="s">
        <v>455</v>
      </c>
      <c r="C10" t="s">
        <v>544</v>
      </c>
      <c r="E10" t="s">
        <v>514</v>
      </c>
    </row>
    <row r="11" spans="1:13" ht="16.149999999999999" customHeight="1">
      <c r="A11" s="6"/>
      <c r="B11" s="2" t="s">
        <v>539</v>
      </c>
      <c r="C11" s="96" t="s">
        <v>543</v>
      </c>
      <c r="D11" t="s">
        <v>558</v>
      </c>
      <c r="E11" t="s">
        <v>515</v>
      </c>
    </row>
    <row r="12" spans="1:13" ht="16.149999999999999" customHeight="1">
      <c r="A12" s="115"/>
      <c r="B12" s="2" t="s">
        <v>540</v>
      </c>
      <c r="C12" s="96" t="s">
        <v>545</v>
      </c>
      <c r="D12" t="s">
        <v>559</v>
      </c>
      <c r="E12" t="s">
        <v>550</v>
      </c>
    </row>
    <row r="13" spans="1:13" ht="16.149999999999999" customHeight="1">
      <c r="A13" s="115"/>
      <c r="B13" s="2" t="s">
        <v>325</v>
      </c>
      <c r="C13" s="96" t="s">
        <v>546</v>
      </c>
      <c r="D13" t="s">
        <v>529</v>
      </c>
      <c r="E13" t="s">
        <v>516</v>
      </c>
    </row>
    <row r="14" spans="1:13" ht="16.149999999999999" customHeight="1">
      <c r="A14" s="115"/>
      <c r="B14" s="2" t="s">
        <v>485</v>
      </c>
      <c r="C14" s="96" t="s">
        <v>547</v>
      </c>
      <c r="E14" t="s">
        <v>517</v>
      </c>
    </row>
    <row r="15" spans="1:13" ht="16.149999999999999" customHeight="1">
      <c r="A15" s="115"/>
      <c r="B15" s="2" t="s">
        <v>326</v>
      </c>
      <c r="C15" s="96" t="s">
        <v>548</v>
      </c>
      <c r="E15" t="s">
        <v>518</v>
      </c>
    </row>
    <row r="16" spans="1:13" ht="16.149999999999999" customHeight="1">
      <c r="A16" s="115"/>
      <c r="B16" s="2" t="s">
        <v>542</v>
      </c>
      <c r="C16" s="96" t="s">
        <v>549</v>
      </c>
      <c r="E16" t="s">
        <v>519</v>
      </c>
    </row>
    <row r="17" spans="1:11" ht="18.95" customHeight="1">
      <c r="A17" s="115"/>
      <c r="B17" s="2" t="s">
        <v>327</v>
      </c>
      <c r="D17" s="433"/>
      <c r="E17" s="96" t="s">
        <v>561</v>
      </c>
      <c r="F17" s="96"/>
      <c r="G17" s="96"/>
      <c r="H17" s="96"/>
      <c r="I17" s="96"/>
      <c r="J17" s="96"/>
      <c r="K17" s="96"/>
    </row>
    <row r="18" spans="1:11" ht="18.75" customHeight="1">
      <c r="A18" s="115"/>
      <c r="B18" s="2" t="s">
        <v>541</v>
      </c>
      <c r="D18" s="104"/>
      <c r="E18" s="436" t="s">
        <v>560</v>
      </c>
      <c r="F18" s="436"/>
      <c r="G18" s="436"/>
      <c r="H18" s="436"/>
      <c r="I18" s="436"/>
      <c r="J18" s="436"/>
      <c r="K18" s="436"/>
    </row>
    <row r="19" spans="1:11" ht="15" customHeight="1">
      <c r="A19" s="115"/>
      <c r="E19" s="96"/>
    </row>
    <row r="20" spans="1:11" ht="16.149999999999999" customHeight="1">
      <c r="A20" s="6"/>
      <c r="B20" s="201" t="s">
        <v>408</v>
      </c>
      <c r="C20" s="201"/>
      <c r="D20" s="392"/>
      <c r="E20" s="393"/>
      <c r="F20" s="393"/>
      <c r="G20" s="393"/>
      <c r="H20" s="393"/>
      <c r="I20" s="393"/>
      <c r="J20" s="393"/>
    </row>
    <row r="21" spans="1:11" ht="19.899999999999999" customHeight="1">
      <c r="A21" s="115"/>
      <c r="B21" s="2" t="s">
        <v>486</v>
      </c>
      <c r="C21" s="421">
        <v>8354</v>
      </c>
      <c r="E21" t="s">
        <v>493</v>
      </c>
    </row>
    <row r="22" spans="1:11" ht="19.899999999999999" customHeight="1">
      <c r="A22" s="115"/>
      <c r="B22" s="2" t="s">
        <v>487</v>
      </c>
      <c r="C22" s="96" t="s">
        <v>494</v>
      </c>
      <c r="E22" t="s">
        <v>495</v>
      </c>
    </row>
    <row r="23" spans="1:11" ht="19.899999999999999" customHeight="1">
      <c r="A23" s="115"/>
      <c r="B23" s="2" t="s">
        <v>488</v>
      </c>
      <c r="C23" s="396">
        <v>0.34</v>
      </c>
      <c r="D23" s="397"/>
      <c r="E23" t="s">
        <v>508</v>
      </c>
    </row>
    <row r="24" spans="1:11" ht="19.899999999999999" customHeight="1">
      <c r="A24" s="115"/>
      <c r="B24" s="2" t="s">
        <v>406</v>
      </c>
      <c r="C24" t="s">
        <v>496</v>
      </c>
      <c r="D24" s="104"/>
      <c r="E24" s="434" t="s">
        <v>500</v>
      </c>
      <c r="F24" s="435"/>
      <c r="G24" s="435"/>
      <c r="H24" s="435"/>
      <c r="I24" s="435"/>
      <c r="J24" s="435"/>
      <c r="K24" s="435"/>
    </row>
    <row r="25" spans="1:11" ht="19.899999999999999" customHeight="1">
      <c r="A25" s="115"/>
      <c r="B25" s="2" t="s">
        <v>511</v>
      </c>
      <c r="C25" s="396">
        <v>0.13</v>
      </c>
      <c r="D25" s="104"/>
      <c r="E25" s="398" t="s">
        <v>507</v>
      </c>
    </row>
    <row r="26" spans="1:11" ht="19.899999999999999" customHeight="1">
      <c r="A26" s="115"/>
      <c r="B26" s="2" t="s">
        <v>407</v>
      </c>
      <c r="C26" t="s">
        <v>497</v>
      </c>
      <c r="D26" s="104"/>
      <c r="E26" s="434" t="s">
        <v>506</v>
      </c>
      <c r="F26" s="435"/>
      <c r="G26" s="435"/>
      <c r="H26" s="435"/>
      <c r="I26" s="435"/>
      <c r="J26" s="435"/>
      <c r="K26" s="435"/>
    </row>
    <row r="27" spans="1:11" ht="19.899999999999999" customHeight="1">
      <c r="A27" s="115"/>
      <c r="B27" s="2" t="s">
        <v>489</v>
      </c>
      <c r="C27" s="96" t="s">
        <v>498</v>
      </c>
      <c r="E27" s="96" t="s">
        <v>501</v>
      </c>
    </row>
    <row r="28" spans="1:11" ht="19.899999999999999" customHeight="1">
      <c r="A28" s="115"/>
      <c r="B28" s="2" t="s">
        <v>490</v>
      </c>
      <c r="C28" s="96" t="s">
        <v>499</v>
      </c>
      <c r="E28" t="s">
        <v>502</v>
      </c>
    </row>
    <row r="29" spans="1:11" ht="19.899999999999999" customHeight="1">
      <c r="A29" s="115"/>
      <c r="B29" s="2" t="s">
        <v>491</v>
      </c>
      <c r="C29" t="s">
        <v>512</v>
      </c>
      <c r="E29" t="s">
        <v>503</v>
      </c>
    </row>
    <row r="30" spans="1:11" ht="19.899999999999999" customHeight="1">
      <c r="A30" s="115"/>
      <c r="B30" s="2" t="s">
        <v>456</v>
      </c>
      <c r="C30" t="s">
        <v>504</v>
      </c>
      <c r="D30" s="104"/>
      <c r="E30" s="434" t="s">
        <v>505</v>
      </c>
      <c r="F30" s="435"/>
      <c r="G30" s="435"/>
      <c r="H30" s="435"/>
    </row>
    <row r="31" spans="1:11" ht="19.899999999999999" customHeight="1">
      <c r="A31" s="115"/>
      <c r="B31" s="2" t="s">
        <v>492</v>
      </c>
      <c r="C31" s="96" t="s">
        <v>509</v>
      </c>
      <c r="E31" t="s">
        <v>510</v>
      </c>
    </row>
    <row r="32" spans="1:11" ht="4.1500000000000004" customHeight="1">
      <c r="A32" s="115"/>
      <c r="B32" s="174"/>
      <c r="C32" s="174"/>
      <c r="D32" s="174"/>
      <c r="E32" s="174"/>
      <c r="F32" s="174"/>
      <c r="G32" s="174"/>
      <c r="H32" s="174"/>
      <c r="I32" s="174"/>
      <c r="J32" s="174"/>
      <c r="K32" s="174"/>
    </row>
    <row r="33" spans="1:4">
      <c r="B33" s="126"/>
    </row>
    <row r="34" spans="1:4" ht="16.5" customHeight="1">
      <c r="A34" s="124"/>
      <c r="B34" s="126"/>
    </row>
    <row r="35" spans="1:4" ht="15">
      <c r="A35" s="125"/>
      <c r="B35" s="108"/>
    </row>
    <row r="36" spans="1:4" ht="15">
      <c r="A36" s="125"/>
      <c r="B36" s="108"/>
    </row>
    <row r="37" spans="1:4" ht="14.25">
      <c r="A37" s="115"/>
    </row>
    <row r="38" spans="1:4" ht="12.75" customHeight="1">
      <c r="A38" s="115"/>
      <c r="B38" s="115"/>
      <c r="C38" s="115"/>
      <c r="D38" s="115"/>
    </row>
    <row r="39" spans="1:4" s="104" customFormat="1" ht="112.9" customHeight="1">
      <c r="A39" s="116"/>
    </row>
    <row r="40" spans="1:4" s="104" customFormat="1" ht="39.75" customHeight="1">
      <c r="A40" s="116"/>
    </row>
    <row r="41" spans="1:4" s="104" customFormat="1" ht="13.9" customHeight="1">
      <c r="A41" s="116"/>
    </row>
    <row r="42" spans="1:4" ht="41.25" customHeight="1">
      <c r="A42" s="115"/>
    </row>
    <row r="43" spans="1:4" ht="27" customHeight="1">
      <c r="A43" s="115"/>
    </row>
  </sheetData>
  <mergeCells count="3">
    <mergeCell ref="E24:K24"/>
    <mergeCell ref="E26:K26"/>
    <mergeCell ref="E30:H30"/>
  </mergeCells>
  <pageMargins left="0.70866141732283472" right="0.59055118110236227" top="0.74803149606299213" bottom="0.39370078740157483" header="0.31496062992125984" footer="0.31496062992125984"/>
  <pageSetup paperSize="9" scale="90" orientation="landscape" r:id="rId1"/>
  <headerFooter>
    <oddHeader>&amp;CBezeq - The Israeli Telecommunications Corp.,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2BFE3-8FA9-4F4A-86FD-6228A6EAE640}">
  <sheetPr>
    <tabColor rgb="FF00B0F0"/>
  </sheetPr>
  <dimension ref="B1:G60"/>
  <sheetViews>
    <sheetView showGridLines="0" tabSelected="1" workbookViewId="0">
      <pane ySplit="7" topLeftCell="A38" activePane="bottomLeft" state="frozen"/>
      <selection activeCell="AI81" sqref="AI81"/>
      <selection pane="bottomLeft" activeCell="AI81" sqref="AI81"/>
    </sheetView>
  </sheetViews>
  <sheetFormatPr defaultColWidth="9.28515625" defaultRowHeight="12.75"/>
  <cols>
    <col min="1" max="1" width="1.7109375" customWidth="1"/>
    <col min="2" max="2" width="25.28515625" customWidth="1"/>
    <col min="3" max="3" width="14.5703125" customWidth="1"/>
    <col min="4" max="4" width="12.5703125" customWidth="1"/>
    <col min="5" max="5" width="14.28515625" customWidth="1"/>
    <col min="6" max="6" width="25.28515625" customWidth="1"/>
    <col min="7" max="7" width="10.5703125" customWidth="1"/>
  </cols>
  <sheetData>
    <row r="1" spans="2:6" ht="13.9" customHeight="1"/>
    <row r="2" spans="2:6" ht="13.9" customHeight="1">
      <c r="B2" s="41"/>
      <c r="C2" s="41"/>
      <c r="D2" s="41"/>
      <c r="E2" s="41"/>
      <c r="F2" s="41"/>
    </row>
    <row r="3" spans="2:6" ht="13.9" customHeight="1">
      <c r="B3" s="41"/>
      <c r="C3" s="99"/>
      <c r="D3" s="99"/>
      <c r="E3" s="99"/>
      <c r="F3" s="99"/>
    </row>
    <row r="4" spans="2:6" ht="13.9" customHeight="1">
      <c r="B4" s="378"/>
      <c r="C4" s="99"/>
      <c r="D4" s="99"/>
      <c r="E4" s="99"/>
      <c r="F4" s="99"/>
    </row>
    <row r="5" spans="2:6" ht="25.35" customHeight="1">
      <c r="B5" s="177" t="s">
        <v>472</v>
      </c>
      <c r="C5" s="185"/>
      <c r="D5" s="182"/>
      <c r="E5" s="182"/>
      <c r="F5" s="182"/>
    </row>
    <row r="6" spans="2:6">
      <c r="B6" s="123"/>
      <c r="C6" s="123"/>
      <c r="D6" s="120"/>
      <c r="E6" s="120"/>
      <c r="F6" s="120"/>
    </row>
    <row r="7" spans="2:6" ht="25.35" customHeight="1">
      <c r="B7" s="379" t="s">
        <v>195</v>
      </c>
      <c r="C7" s="380"/>
      <c r="D7" s="380"/>
      <c r="E7" s="380"/>
      <c r="F7" s="380"/>
    </row>
    <row r="8" spans="2:6" s="324" customFormat="1" ht="15" customHeight="1">
      <c r="B8" s="381" t="s">
        <v>183</v>
      </c>
      <c r="C8" s="381" t="s">
        <v>186</v>
      </c>
      <c r="D8" s="381" t="s">
        <v>184</v>
      </c>
      <c r="E8" s="381" t="s">
        <v>424</v>
      </c>
    </row>
    <row r="9" spans="2:6" ht="13.9" customHeight="1">
      <c r="B9" t="s">
        <v>185</v>
      </c>
      <c r="C9" t="s">
        <v>422</v>
      </c>
      <c r="D9" t="s">
        <v>425</v>
      </c>
      <c r="E9" t="s">
        <v>428</v>
      </c>
    </row>
    <row r="10" spans="2:6" ht="13.9" customHeight="1"/>
    <row r="11" spans="2:6" ht="13.9" customHeight="1">
      <c r="B11" t="s">
        <v>427</v>
      </c>
      <c r="C11" t="s">
        <v>423</v>
      </c>
      <c r="D11" t="s">
        <v>425</v>
      </c>
      <c r="E11" t="s">
        <v>426</v>
      </c>
    </row>
    <row r="12" spans="2:6" ht="13.9" customHeight="1"/>
    <row r="13" spans="2:6" ht="13.9" customHeight="1"/>
    <row r="14" spans="2:6" s="324" customFormat="1" ht="15" customHeight="1">
      <c r="B14" s="381" t="s">
        <v>478</v>
      </c>
    </row>
    <row r="15" spans="2:6" ht="13.9" customHeight="1">
      <c r="B15" t="s">
        <v>207</v>
      </c>
    </row>
    <row r="16" spans="2:6" ht="13.9" customHeight="1"/>
    <row r="17" spans="2:7" s="324" customFormat="1" ht="15" customHeight="1">
      <c r="B17" s="381" t="s">
        <v>199</v>
      </c>
    </row>
    <row r="18" spans="2:7" ht="13.9" customHeight="1">
      <c r="C18" s="429" t="s">
        <v>192</v>
      </c>
      <c r="D18" s="430" t="s">
        <v>193</v>
      </c>
      <c r="E18" s="429" t="s">
        <v>234</v>
      </c>
      <c r="F18" s="429" t="s">
        <v>235</v>
      </c>
    </row>
    <row r="19" spans="2:7" ht="13.9" customHeight="1">
      <c r="E19" s="429"/>
      <c r="F19" s="99"/>
    </row>
    <row r="20" spans="2:7" ht="13.9" customHeight="1">
      <c r="B20" t="s">
        <v>187</v>
      </c>
      <c r="C20" s="384">
        <v>294994</v>
      </c>
      <c r="D20" s="384">
        <v>280529</v>
      </c>
      <c r="E20" s="384">
        <v>132725</v>
      </c>
      <c r="F20" s="384">
        <f>SUM(C20:E20)</f>
        <v>708248</v>
      </c>
    </row>
    <row r="21" spans="2:7" ht="13.9" customHeight="1">
      <c r="B21" t="s">
        <v>188</v>
      </c>
      <c r="C21" s="384">
        <v>294994</v>
      </c>
      <c r="D21" s="384">
        <v>280529</v>
      </c>
      <c r="E21" s="384">
        <v>118733</v>
      </c>
      <c r="F21" s="384">
        <f>SUM(C21:E21)</f>
        <v>694256</v>
      </c>
    </row>
    <row r="22" spans="2:7" ht="13.9" customHeight="1">
      <c r="B22" t="s">
        <v>189</v>
      </c>
      <c r="C22" s="384">
        <v>294994</v>
      </c>
      <c r="D22" s="384">
        <v>280529</v>
      </c>
      <c r="E22" s="384">
        <v>104741</v>
      </c>
      <c r="F22" s="384">
        <f>SUM(C22:E22)</f>
        <v>680264</v>
      </c>
    </row>
    <row r="23" spans="2:7" ht="13.9" customHeight="1">
      <c r="B23" t="s">
        <v>190</v>
      </c>
      <c r="C23" s="384">
        <v>294994</v>
      </c>
      <c r="D23" s="384">
        <v>280529</v>
      </c>
      <c r="E23" s="384">
        <v>90750</v>
      </c>
      <c r="F23" s="384">
        <f>SUM(C23:E23)</f>
        <v>666273</v>
      </c>
    </row>
    <row r="24" spans="2:7" ht="13.9" customHeight="1">
      <c r="B24" t="s">
        <v>191</v>
      </c>
      <c r="C24" s="384">
        <v>1219414</v>
      </c>
      <c r="D24" s="384">
        <v>2588784</v>
      </c>
      <c r="E24" s="384">
        <v>283363</v>
      </c>
      <c r="F24" s="384">
        <f>SUM(C24:E24)</f>
        <v>4091561</v>
      </c>
    </row>
    <row r="25" spans="2:7" ht="13.9" customHeight="1">
      <c r="B25" s="2" t="s">
        <v>194</v>
      </c>
      <c r="C25" s="106">
        <f>SUM(C20:C24)</f>
        <v>2399390</v>
      </c>
      <c r="D25" s="106">
        <f>SUM(D20:D24)</f>
        <v>3710900</v>
      </c>
      <c r="E25" s="106">
        <f>SUM(E20:E24)</f>
        <v>730312</v>
      </c>
      <c r="F25" s="106">
        <f>SUM(F20:F24)</f>
        <v>6840602</v>
      </c>
      <c r="G25" s="97"/>
    </row>
    <row r="26" spans="2:7" ht="13.9" customHeight="1"/>
    <row r="27" spans="2:7" ht="13.9" customHeight="1"/>
    <row r="28" spans="2:7" s="324" customFormat="1" ht="15" customHeight="1">
      <c r="B28" s="381" t="s">
        <v>200</v>
      </c>
    </row>
    <row r="29" spans="2:7" ht="13.9" customHeight="1">
      <c r="C29" s="429" t="s">
        <v>192</v>
      </c>
      <c r="D29" s="430" t="s">
        <v>193</v>
      </c>
      <c r="E29" s="429" t="s">
        <v>234</v>
      </c>
      <c r="F29" s="429" t="s">
        <v>235</v>
      </c>
    </row>
    <row r="30" spans="2:7" ht="13.9" customHeight="1">
      <c r="C30" s="429"/>
      <c r="D30" s="430"/>
      <c r="E30" s="429"/>
      <c r="F30" s="99"/>
    </row>
    <row r="31" spans="2:7" ht="13.9" customHeight="1">
      <c r="B31" t="s">
        <v>187</v>
      </c>
      <c r="C31" s="384">
        <v>0</v>
      </c>
      <c r="D31" s="384">
        <v>170000</v>
      </c>
      <c r="E31" s="384">
        <v>18429</v>
      </c>
      <c r="F31" s="384">
        <f>SUM(C31:E31)</f>
        <v>188429</v>
      </c>
    </row>
    <row r="32" spans="2:7" ht="13.9" customHeight="1">
      <c r="B32" t="s">
        <v>188</v>
      </c>
      <c r="C32" s="384">
        <v>0</v>
      </c>
      <c r="D32" s="384">
        <v>170000</v>
      </c>
      <c r="E32" s="384">
        <v>12577</v>
      </c>
      <c r="F32" s="384">
        <f>SUM(C32:E32)</f>
        <v>182577</v>
      </c>
    </row>
    <row r="33" spans="2:6" ht="13.9" customHeight="1">
      <c r="B33" t="s">
        <v>189</v>
      </c>
      <c r="C33" s="384">
        <v>0</v>
      </c>
      <c r="D33" s="384">
        <v>90000</v>
      </c>
      <c r="E33" s="384">
        <v>7373</v>
      </c>
      <c r="F33" s="384">
        <f>SUM(C33:E33)</f>
        <v>97373</v>
      </c>
    </row>
    <row r="34" spans="2:6" ht="13.9" customHeight="1">
      <c r="B34" t="s">
        <v>190</v>
      </c>
      <c r="C34" s="384">
        <v>0</v>
      </c>
      <c r="D34" s="384">
        <v>90000</v>
      </c>
      <c r="E34" s="384">
        <v>4092</v>
      </c>
      <c r="F34" s="384">
        <f>SUM(C34:E34)</f>
        <v>94092</v>
      </c>
    </row>
    <row r="35" spans="2:6" ht="13.9" customHeight="1">
      <c r="B35" t="s">
        <v>191</v>
      </c>
      <c r="C35" s="384"/>
      <c r="D35" s="384">
        <v>45000</v>
      </c>
      <c r="E35" s="384">
        <v>817</v>
      </c>
      <c r="F35" s="384">
        <f>SUM(C35:E35)</f>
        <v>45817</v>
      </c>
    </row>
    <row r="36" spans="2:6" ht="13.9" customHeight="1">
      <c r="B36" s="2" t="s">
        <v>194</v>
      </c>
      <c r="C36" s="106">
        <f>SUM(C31:C35)</f>
        <v>0</v>
      </c>
      <c r="D36" s="106">
        <f>SUM(D31:D35)</f>
        <v>565000</v>
      </c>
      <c r="E36" s="106">
        <f>SUM(E31:E35)</f>
        <v>43288</v>
      </c>
      <c r="F36" s="106">
        <f>SUM(F31:F35)</f>
        <v>608288</v>
      </c>
    </row>
    <row r="37" spans="2:6" ht="13.9" customHeight="1">
      <c r="B37" s="431"/>
    </row>
    <row r="38" spans="2:6" ht="13.9" customHeight="1">
      <c r="B38" s="431"/>
    </row>
    <row r="39" spans="2:6" s="324" customFormat="1" ht="15" customHeight="1">
      <c r="B39" s="381" t="s">
        <v>201</v>
      </c>
    </row>
    <row r="40" spans="2:6" ht="13.9" customHeight="1">
      <c r="C40" s="429" t="s">
        <v>192</v>
      </c>
      <c r="D40" s="430" t="s">
        <v>193</v>
      </c>
      <c r="E40" s="429" t="s">
        <v>234</v>
      </c>
      <c r="F40" s="429" t="s">
        <v>235</v>
      </c>
    </row>
    <row r="41" spans="2:6" ht="13.9" customHeight="1">
      <c r="C41" s="429"/>
      <c r="D41" s="430"/>
      <c r="E41" s="429"/>
      <c r="F41" s="99"/>
    </row>
    <row r="42" spans="2:6" ht="13.9" customHeight="1">
      <c r="B42" t="s">
        <v>187</v>
      </c>
      <c r="C42" s="384">
        <v>0</v>
      </c>
      <c r="D42" s="384">
        <v>243500</v>
      </c>
      <c r="E42" s="384">
        <v>77295</v>
      </c>
      <c r="F42" s="384">
        <f>SUM(C42:E42)</f>
        <v>320795</v>
      </c>
    </row>
    <row r="43" spans="2:6" ht="13.9" customHeight="1">
      <c r="B43" t="s">
        <v>188</v>
      </c>
      <c r="C43" s="384">
        <v>0</v>
      </c>
      <c r="D43" s="384">
        <v>256500</v>
      </c>
      <c r="E43" s="384">
        <v>71067</v>
      </c>
      <c r="F43" s="384">
        <f>SUM(C43:E43)</f>
        <v>327567</v>
      </c>
    </row>
    <row r="44" spans="2:6" ht="13.9" customHeight="1">
      <c r="B44" t="s">
        <v>189</v>
      </c>
      <c r="C44" s="384">
        <v>0</v>
      </c>
      <c r="D44" s="384">
        <v>336700</v>
      </c>
      <c r="E44" s="384">
        <v>60737</v>
      </c>
      <c r="F44" s="384">
        <f>SUM(C44:E44)</f>
        <v>397437</v>
      </c>
    </row>
    <row r="45" spans="2:6" ht="13.9" customHeight="1">
      <c r="B45" t="s">
        <v>190</v>
      </c>
      <c r="C45" s="384">
        <v>0</v>
      </c>
      <c r="D45" s="384">
        <v>286700</v>
      </c>
      <c r="E45" s="384">
        <v>40720</v>
      </c>
      <c r="F45" s="384">
        <f>SUM(C45:E45)</f>
        <v>327420</v>
      </c>
    </row>
    <row r="46" spans="2:6" ht="13.9" customHeight="1">
      <c r="B46" t="s">
        <v>191</v>
      </c>
      <c r="C46" s="384">
        <v>0</v>
      </c>
      <c r="D46" s="384">
        <v>443600</v>
      </c>
      <c r="E46" s="384">
        <v>30316</v>
      </c>
      <c r="F46" s="384">
        <f>SUM(C46:E46)</f>
        <v>473916</v>
      </c>
    </row>
    <row r="47" spans="2:6" ht="13.9" customHeight="1">
      <c r="B47" s="2" t="s">
        <v>194</v>
      </c>
      <c r="C47" s="106">
        <f>SUM(C42:C46)</f>
        <v>0</v>
      </c>
      <c r="D47" s="106">
        <f>SUM(D42:D46)</f>
        <v>1567000</v>
      </c>
      <c r="E47" s="106">
        <f>SUM(E42:E46)</f>
        <v>280135</v>
      </c>
      <c r="F47" s="106">
        <f>SUM(F42:F46)</f>
        <v>1847135</v>
      </c>
    </row>
    <row r="48" spans="2:6" ht="13.9" customHeight="1"/>
    <row r="49" spans="2:6" s="324" customFormat="1" ht="15" customHeight="1">
      <c r="B49" s="381" t="s">
        <v>197</v>
      </c>
    </row>
    <row r="50" spans="2:6" ht="13.9" customHeight="1">
      <c r="C50" s="429" t="s">
        <v>192</v>
      </c>
      <c r="D50" s="430" t="s">
        <v>193</v>
      </c>
      <c r="E50" s="429" t="s">
        <v>234</v>
      </c>
      <c r="F50" s="429" t="s">
        <v>235</v>
      </c>
    </row>
    <row r="51" spans="2:6" ht="13.9" customHeight="1">
      <c r="C51" s="429"/>
      <c r="D51" s="430"/>
      <c r="E51" s="429"/>
      <c r="F51" s="99"/>
    </row>
    <row r="52" spans="2:6" ht="13.9" customHeight="1">
      <c r="B52" t="s">
        <v>187</v>
      </c>
      <c r="C52" s="384">
        <f>C42+C31+C20</f>
        <v>294994</v>
      </c>
      <c r="D52" s="384">
        <f>D42+D31+D20</f>
        <v>694029</v>
      </c>
      <c r="E52" s="384">
        <f>E42+E31+E20</f>
        <v>228449</v>
      </c>
      <c r="F52" s="384">
        <f>F42+F31+F20</f>
        <v>1217472</v>
      </c>
    </row>
    <row r="53" spans="2:6" ht="13.9" customHeight="1">
      <c r="B53" t="s">
        <v>188</v>
      </c>
      <c r="C53" s="384">
        <f t="shared" ref="C53:F56" si="0">C43+C32+C21</f>
        <v>294994</v>
      </c>
      <c r="D53" s="384">
        <f t="shared" si="0"/>
        <v>707029</v>
      </c>
      <c r="E53" s="384">
        <f t="shared" si="0"/>
        <v>202377</v>
      </c>
      <c r="F53" s="384">
        <f t="shared" si="0"/>
        <v>1204400</v>
      </c>
    </row>
    <row r="54" spans="2:6" ht="13.9" customHeight="1">
      <c r="B54" t="s">
        <v>189</v>
      </c>
      <c r="C54" s="384">
        <f t="shared" si="0"/>
        <v>294994</v>
      </c>
      <c r="D54" s="384">
        <f t="shared" si="0"/>
        <v>707229</v>
      </c>
      <c r="E54" s="384">
        <f t="shared" si="0"/>
        <v>172851</v>
      </c>
      <c r="F54" s="384">
        <f t="shared" si="0"/>
        <v>1175074</v>
      </c>
    </row>
    <row r="55" spans="2:6" ht="13.9" customHeight="1">
      <c r="B55" t="s">
        <v>190</v>
      </c>
      <c r="C55" s="384">
        <f t="shared" si="0"/>
        <v>294994</v>
      </c>
      <c r="D55" s="384">
        <f t="shared" si="0"/>
        <v>657229</v>
      </c>
      <c r="E55" s="384">
        <f t="shared" si="0"/>
        <v>135562</v>
      </c>
      <c r="F55" s="384">
        <f t="shared" si="0"/>
        <v>1087785</v>
      </c>
    </row>
    <row r="56" spans="2:6" ht="13.9" customHeight="1">
      <c r="B56" t="s">
        <v>191</v>
      </c>
      <c r="C56" s="384">
        <f t="shared" si="0"/>
        <v>1219414</v>
      </c>
      <c r="D56" s="384">
        <f t="shared" si="0"/>
        <v>3077384</v>
      </c>
      <c r="E56" s="384">
        <f t="shared" si="0"/>
        <v>314496</v>
      </c>
      <c r="F56" s="384">
        <f t="shared" si="0"/>
        <v>4611294</v>
      </c>
    </row>
    <row r="57" spans="2:6" ht="13.9" customHeight="1">
      <c r="B57" s="2" t="s">
        <v>194</v>
      </c>
      <c r="C57" s="106">
        <f>SUM(C52:C56)</f>
        <v>2399390</v>
      </c>
      <c r="D57" s="106">
        <f>SUM(D52:D56)</f>
        <v>5842900</v>
      </c>
      <c r="E57" s="106">
        <f>SUM(E52:E56)</f>
        <v>1053735</v>
      </c>
      <c r="F57" s="106">
        <f>SUM(F52:F56)</f>
        <v>9296025</v>
      </c>
    </row>
    <row r="58" spans="2:6" ht="15.75" hidden="1" customHeight="1">
      <c r="B58" s="432"/>
      <c r="C58" s="432"/>
      <c r="D58" s="432"/>
      <c r="E58" s="432"/>
      <c r="F58" s="432"/>
    </row>
    <row r="60" spans="2:6">
      <c r="D60" s="97"/>
    </row>
  </sheetData>
  <pageMargins left="0.39370078740157483" right="0.39370078740157483" top="0.39370078740157483" bottom="0.59055118110236227" header="0.11811023622047245" footer="0.31496062992125984"/>
  <pageSetup paperSize="9" orientation="landscape" r:id="rId1"/>
  <headerFooter>
    <oddHeader>&amp;CBezeq - The Israeli Telecommunications Corp., Ltd</oddHeader>
    <oddFooter>&amp;R&amp;P of &amp;N
Debt Ratings and Repayments</oddFooter>
  </headerFooter>
  <rowBreaks count="1" manualBreakCount="1">
    <brk id="36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0661-E034-43DD-85D8-DC8623B019F4}">
  <sheetPr>
    <tabColor rgb="FF00B0F0"/>
  </sheetPr>
  <dimension ref="B1:H20"/>
  <sheetViews>
    <sheetView showGridLines="0" tabSelected="1" workbookViewId="0">
      <pane ySplit="6" topLeftCell="A7" activePane="bottomLeft" state="frozen"/>
      <selection activeCell="AI81" sqref="AI81"/>
      <selection pane="bottomLeft" activeCell="AI81" sqref="AI81"/>
    </sheetView>
  </sheetViews>
  <sheetFormatPr defaultColWidth="9.28515625" defaultRowHeight="12.75"/>
  <cols>
    <col min="1" max="1" width="1.7109375" customWidth="1"/>
    <col min="2" max="2" width="39.42578125" customWidth="1"/>
    <col min="3" max="3" width="12.7109375" customWidth="1"/>
    <col min="4" max="5" width="10.28515625" customWidth="1"/>
    <col min="6" max="6" width="20.140625" customWidth="1"/>
    <col min="7" max="7" width="12" customWidth="1"/>
    <col min="8" max="8" width="21.7109375" customWidth="1"/>
    <col min="9" max="9" width="9.28515625" customWidth="1"/>
  </cols>
  <sheetData>
    <row r="1" spans="2:8" ht="13.9" customHeight="1">
      <c r="B1" s="6"/>
      <c r="C1" s="6"/>
      <c r="D1" s="7"/>
      <c r="E1" s="7"/>
      <c r="F1" s="7"/>
      <c r="G1" s="7"/>
    </row>
    <row r="2" spans="2:8" ht="13.9" customHeight="1">
      <c r="B2" s="6"/>
      <c r="C2" s="6"/>
      <c r="D2" s="6"/>
      <c r="E2" s="6"/>
      <c r="F2" s="6"/>
      <c r="G2" s="6"/>
    </row>
    <row r="3" spans="2:8" ht="13.9" customHeight="1">
      <c r="B3" s="7"/>
      <c r="C3" s="7" t="s">
        <v>218</v>
      </c>
      <c r="D3" s="7" t="s">
        <v>220</v>
      </c>
      <c r="E3" s="7" t="s">
        <v>232</v>
      </c>
      <c r="F3" s="7" t="s">
        <v>224</v>
      </c>
      <c r="G3" s="7" t="s">
        <v>221</v>
      </c>
      <c r="H3" s="99" t="s">
        <v>226</v>
      </c>
    </row>
    <row r="4" spans="2:8" ht="13.9" customHeight="1">
      <c r="B4" s="12"/>
      <c r="C4" s="321" t="s">
        <v>219</v>
      </c>
      <c r="D4" s="7"/>
      <c r="E4" s="7"/>
      <c r="F4" s="7" t="s">
        <v>223</v>
      </c>
      <c r="G4" s="7" t="s">
        <v>222</v>
      </c>
      <c r="H4" s="99" t="s">
        <v>480</v>
      </c>
    </row>
    <row r="5" spans="2:8" ht="4.1500000000000004" customHeight="1">
      <c r="B5" s="180"/>
      <c r="C5" s="180"/>
      <c r="D5" s="190"/>
      <c r="E5" s="190"/>
      <c r="F5" s="190"/>
      <c r="G5" s="190"/>
      <c r="H5" s="190"/>
    </row>
    <row r="6" spans="2:8" ht="25.35" customHeight="1">
      <c r="B6" s="177" t="s">
        <v>196</v>
      </c>
      <c r="C6" s="185"/>
      <c r="D6" s="182"/>
      <c r="E6" s="182"/>
      <c r="F6" s="182"/>
      <c r="G6" s="182"/>
      <c r="H6" s="182"/>
    </row>
    <row r="7" spans="2:8">
      <c r="B7" s="123"/>
      <c r="C7" s="123"/>
      <c r="D7" s="120"/>
      <c r="E7" s="120"/>
      <c r="F7" s="120"/>
      <c r="G7" s="120"/>
      <c r="H7" s="120"/>
    </row>
    <row r="8" spans="2:8" ht="15" customHeight="1">
      <c r="B8" s="94"/>
      <c r="C8" s="95"/>
      <c r="D8" s="95"/>
      <c r="E8" s="95"/>
      <c r="F8" s="95"/>
      <c r="G8" s="95"/>
      <c r="H8" s="96"/>
    </row>
    <row r="9" spans="2:8" ht="15" customHeight="1">
      <c r="B9" s="383" t="s">
        <v>479</v>
      </c>
      <c r="C9" s="384"/>
      <c r="D9" s="384"/>
      <c r="E9" s="384"/>
      <c r="F9" s="384"/>
      <c r="G9" s="384"/>
      <c r="H9" s="96"/>
    </row>
    <row r="10" spans="2:8" ht="15" customHeight="1">
      <c r="B10" s="94"/>
      <c r="C10" s="384"/>
      <c r="D10" s="384"/>
      <c r="E10" s="384"/>
      <c r="F10" s="384"/>
      <c r="G10" s="384"/>
      <c r="H10" s="96"/>
    </row>
    <row r="11" spans="2:8" ht="15" customHeight="1">
      <c r="B11" s="94" t="s">
        <v>215</v>
      </c>
      <c r="C11" s="403">
        <v>867</v>
      </c>
      <c r="D11" s="404" t="s">
        <v>225</v>
      </c>
      <c r="E11" s="404" t="s">
        <v>193</v>
      </c>
      <c r="F11" s="404" t="s">
        <v>216</v>
      </c>
      <c r="G11" s="405">
        <v>4.2799999999999998E-2</v>
      </c>
      <c r="H11" s="406" t="s">
        <v>417</v>
      </c>
    </row>
    <row r="12" spans="2:8" ht="15" customHeight="1">
      <c r="B12" s="385"/>
      <c r="C12" s="407"/>
      <c r="D12" s="408"/>
      <c r="E12" s="408"/>
      <c r="F12" s="408"/>
      <c r="G12" s="409"/>
      <c r="H12" s="410"/>
    </row>
    <row r="13" spans="2:8" ht="51.75" customHeight="1">
      <c r="B13" s="385" t="s">
        <v>215</v>
      </c>
      <c r="C13" s="411">
        <v>700</v>
      </c>
      <c r="D13" s="410" t="s">
        <v>225</v>
      </c>
      <c r="E13" s="408" t="s">
        <v>193</v>
      </c>
      <c r="F13" s="412" t="s">
        <v>522</v>
      </c>
      <c r="G13" s="409">
        <v>6.2100000000000002E-2</v>
      </c>
      <c r="H13" s="413" t="s">
        <v>523</v>
      </c>
    </row>
    <row r="14" spans="2:8" ht="15" customHeight="1">
      <c r="B14" s="94"/>
      <c r="C14" s="414"/>
      <c r="D14" s="404"/>
      <c r="E14" s="404"/>
      <c r="F14" s="414"/>
      <c r="G14" s="405"/>
      <c r="H14" s="415"/>
    </row>
    <row r="15" spans="2:8" ht="15" customHeight="1">
      <c r="B15" s="94" t="s">
        <v>217</v>
      </c>
      <c r="C15" s="416">
        <v>4276</v>
      </c>
      <c r="D15" s="404" t="s">
        <v>225</v>
      </c>
      <c r="E15" s="404" t="s">
        <v>193</v>
      </c>
      <c r="F15" s="404" t="s">
        <v>216</v>
      </c>
      <c r="G15" s="405">
        <v>4.2599999999999999E-2</v>
      </c>
      <c r="H15" s="406" t="s">
        <v>435</v>
      </c>
    </row>
    <row r="16" spans="2:8" ht="15" customHeight="1">
      <c r="B16" s="385"/>
      <c r="C16" s="411"/>
      <c r="D16" s="408"/>
      <c r="E16" s="408"/>
      <c r="F16" s="411"/>
      <c r="G16" s="409"/>
      <c r="H16" s="410"/>
    </row>
    <row r="17" spans="2:8" ht="15" customHeight="1">
      <c r="B17" s="94"/>
      <c r="C17" s="417"/>
      <c r="D17" s="418"/>
      <c r="E17" s="418"/>
      <c r="F17" s="417"/>
      <c r="G17" s="419"/>
      <c r="H17" s="406"/>
    </row>
    <row r="18" spans="2:8" ht="15" customHeight="1">
      <c r="B18" s="94" t="s">
        <v>217</v>
      </c>
      <c r="C18" s="414">
        <v>2399</v>
      </c>
      <c r="D18" s="404" t="s">
        <v>225</v>
      </c>
      <c r="E18" s="404" t="s">
        <v>233</v>
      </c>
      <c r="F18" s="404" t="s">
        <v>216</v>
      </c>
      <c r="G18" s="405">
        <v>1.7899999999999999E-2</v>
      </c>
      <c r="H18" s="406" t="s">
        <v>375</v>
      </c>
    </row>
    <row r="19" spans="2:8" ht="15" customHeight="1">
      <c r="B19" s="385"/>
      <c r="C19" s="411"/>
      <c r="D19" s="420"/>
      <c r="E19" s="408"/>
      <c r="F19" s="411"/>
      <c r="G19" s="409"/>
      <c r="H19" s="410"/>
    </row>
    <row r="20" spans="2:8" ht="15" customHeight="1">
      <c r="C20" s="384"/>
      <c r="D20" s="384"/>
      <c r="E20" s="384"/>
      <c r="F20" s="384"/>
      <c r="G20" s="384"/>
    </row>
  </sheetData>
  <pageMargins left="0.39370078740157483" right="0.39370078740157483" top="0.39370078740157483" bottom="0.39370078740157483" header="0.11811023622047245" footer="0.31496062992125984"/>
  <pageSetup paperSize="9" scale="88" orientation="landscape" r:id="rId1"/>
  <headerFooter>
    <oddHeader>&amp;CBezeq - The Israeli Telecommunications Corp.,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1F13-65D2-4359-9A4A-90D244681EA1}">
  <sheetPr>
    <tabColor rgb="FFC00000"/>
  </sheetPr>
  <dimension ref="A1:BW54"/>
  <sheetViews>
    <sheetView showGridLines="0" tabSelected="1" view="pageBreakPreview" zoomScaleNormal="100" zoomScaleSheetLayoutView="100" workbookViewId="0">
      <pane ySplit="6" topLeftCell="A7" activePane="bottomLeft" state="frozen"/>
      <selection activeCell="AI81" sqref="AI81"/>
      <selection pane="bottomLeft" activeCell="AI81" sqref="AI81"/>
    </sheetView>
  </sheetViews>
  <sheetFormatPr defaultColWidth="8.7109375" defaultRowHeight="12.75"/>
  <cols>
    <col min="1" max="1" width="1.7109375" style="41" customWidth="1"/>
    <col min="2" max="2" width="25.42578125" style="41" customWidth="1"/>
    <col min="3" max="3" width="19.28515625" style="41" customWidth="1"/>
    <col min="4" max="4" width="23.28515625" style="41" customWidth="1"/>
    <col min="5" max="5" width="51.7109375" style="43" customWidth="1"/>
    <col min="6" max="6" width="29.42578125" style="41" customWidth="1"/>
    <col min="7" max="10" width="10.28515625" style="41" customWidth="1"/>
    <col min="11" max="11" width="10.42578125" style="41" customWidth="1"/>
    <col min="12" max="12" width="10.28515625" style="41" customWidth="1"/>
    <col min="13" max="13" width="17.7109375" style="41" customWidth="1"/>
    <col min="14" max="14" width="9.28515625" style="41" customWidth="1"/>
    <col min="15" max="66" width="8.7109375" style="41" customWidth="1"/>
    <col min="67" max="16384" width="8.7109375" style="41"/>
  </cols>
  <sheetData>
    <row r="1" spans="1:75" s="42" customFormat="1" ht="13.9" customHeight="1">
      <c r="A1" s="41"/>
      <c r="C1" s="51"/>
      <c r="D1"/>
      <c r="E1" s="1"/>
      <c r="F1"/>
      <c r="G1"/>
      <c r="H1"/>
      <c r="I1"/>
      <c r="J1"/>
      <c r="K1"/>
      <c r="L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</row>
    <row r="2" spans="1:75" s="42" customFormat="1" ht="13.9" customHeight="1">
      <c r="A2" s="41"/>
      <c r="E2" s="54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</row>
    <row r="3" spans="1:75" s="42" customFormat="1" ht="13.9" customHeight="1">
      <c r="A3" s="41"/>
      <c r="C3" s="52"/>
      <c r="D3"/>
      <c r="E3" s="1"/>
      <c r="F3"/>
      <c r="G3"/>
      <c r="H3"/>
      <c r="I3"/>
      <c r="J3"/>
      <c r="K3"/>
      <c r="L3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</row>
    <row r="4" spans="1:75" s="14" customFormat="1" ht="13.9" customHeight="1">
      <c r="B4" s="15"/>
      <c r="C4" s="7"/>
      <c r="D4" s="7"/>
      <c r="E4" s="7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75" s="1" customFormat="1" ht="4.1500000000000004" customHeight="1">
      <c r="B5" s="180"/>
      <c r="C5" s="181"/>
      <c r="D5" s="181"/>
      <c r="E5" s="181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</row>
    <row r="6" spans="1:75" customFormat="1" ht="25.35" customHeight="1">
      <c r="B6" s="177" t="s">
        <v>553</v>
      </c>
      <c r="C6" s="182"/>
      <c r="D6" s="182"/>
      <c r="E6" s="183"/>
    </row>
    <row r="7" spans="1:75" customFormat="1">
      <c r="B7" s="351" t="s">
        <v>54</v>
      </c>
      <c r="C7" s="300"/>
      <c r="D7" s="300"/>
      <c r="E7" s="352"/>
      <c r="F7" s="348"/>
      <c r="G7" s="348"/>
      <c r="H7" s="348"/>
      <c r="I7" s="348"/>
      <c r="J7" s="348"/>
      <c r="K7" s="348"/>
      <c r="L7" s="348"/>
      <c r="M7" s="348"/>
      <c r="N7" s="348"/>
      <c r="O7" s="348"/>
      <c r="P7" s="348"/>
    </row>
    <row r="8" spans="1:75" s="53" customFormat="1" ht="19.5" customHeight="1">
      <c r="A8" s="57"/>
      <c r="B8" s="64" t="s">
        <v>73</v>
      </c>
      <c r="C8" s="64" t="s">
        <v>74</v>
      </c>
      <c r="D8" s="64" t="s">
        <v>56</v>
      </c>
      <c r="E8" s="65" t="s">
        <v>75</v>
      </c>
      <c r="F8" s="349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</row>
    <row r="9" spans="1:75" s="57" customFormat="1" ht="19.5" customHeight="1">
      <c r="B9" s="426" t="s">
        <v>552</v>
      </c>
      <c r="C9" s="427">
        <v>549</v>
      </c>
      <c r="D9" s="428">
        <v>0.2</v>
      </c>
      <c r="E9" s="395" t="s">
        <v>481</v>
      </c>
      <c r="F9" s="349"/>
    </row>
    <row r="10" spans="1:75" s="57" customFormat="1" ht="19.5" customHeight="1">
      <c r="B10" s="426"/>
      <c r="C10" s="427">
        <v>150</v>
      </c>
      <c r="D10" s="428"/>
      <c r="E10" s="395" t="s">
        <v>554</v>
      </c>
      <c r="F10" s="349"/>
    </row>
    <row r="11" spans="1:75" s="57" customFormat="1" ht="19.5" customHeight="1">
      <c r="B11" s="43" t="s">
        <v>469</v>
      </c>
      <c r="C11" s="127">
        <v>583</v>
      </c>
      <c r="D11" s="136">
        <v>0.21</v>
      </c>
      <c r="E11" s="83" t="s">
        <v>76</v>
      </c>
      <c r="F11" s="349"/>
    </row>
    <row r="12" spans="1:75" s="57" customFormat="1" ht="19.5" customHeight="1">
      <c r="B12" s="135" t="s">
        <v>457</v>
      </c>
      <c r="C12" s="127">
        <v>392</v>
      </c>
      <c r="D12" s="136">
        <v>0.14000000000000001</v>
      </c>
      <c r="E12" s="83" t="s">
        <v>76</v>
      </c>
      <c r="F12" s="349"/>
    </row>
    <row r="13" spans="1:75" s="57" customFormat="1" ht="19.5" customHeight="1">
      <c r="B13" s="135" t="s">
        <v>436</v>
      </c>
      <c r="C13" s="127">
        <v>407</v>
      </c>
      <c r="D13" s="136">
        <v>0.15</v>
      </c>
      <c r="E13" s="83" t="s">
        <v>76</v>
      </c>
      <c r="F13" s="349"/>
    </row>
    <row r="14" spans="1:75" s="57" customFormat="1" ht="19.5" customHeight="1">
      <c r="B14" s="135" t="s">
        <v>410</v>
      </c>
      <c r="C14" s="127">
        <v>374</v>
      </c>
      <c r="D14" s="136">
        <v>0.13500000000000001</v>
      </c>
      <c r="E14" s="83" t="s">
        <v>76</v>
      </c>
      <c r="F14" s="349"/>
    </row>
    <row r="15" spans="1:75" s="57" customFormat="1" ht="19.5" customHeight="1">
      <c r="B15" s="135" t="s">
        <v>389</v>
      </c>
      <c r="C15" s="127">
        <v>392</v>
      </c>
      <c r="D15" s="136">
        <v>0.14000000000000001</v>
      </c>
      <c r="E15" s="83" t="s">
        <v>76</v>
      </c>
      <c r="F15" s="349"/>
    </row>
    <row r="16" spans="1:75" s="57" customFormat="1" ht="19.5" customHeight="1">
      <c r="B16" s="135" t="s">
        <v>379</v>
      </c>
      <c r="C16" s="127">
        <v>246</v>
      </c>
      <c r="D16" s="136">
        <v>0.09</v>
      </c>
      <c r="E16" s="83" t="s">
        <v>76</v>
      </c>
      <c r="F16" s="349"/>
    </row>
    <row r="17" spans="2:9" s="57" customFormat="1" ht="19.5" customHeight="1">
      <c r="B17" s="135" t="s">
        <v>344</v>
      </c>
      <c r="C17" s="127">
        <v>294</v>
      </c>
      <c r="D17" s="136">
        <v>0.11</v>
      </c>
      <c r="E17" s="83" t="s">
        <v>76</v>
      </c>
      <c r="F17" s="349"/>
    </row>
    <row r="18" spans="2:9" s="57" customFormat="1" ht="19.5" customHeight="1">
      <c r="B18" s="81" t="s">
        <v>328</v>
      </c>
      <c r="C18" s="127">
        <v>240</v>
      </c>
      <c r="D18" s="81">
        <v>0.09</v>
      </c>
      <c r="E18" s="83" t="s">
        <v>76</v>
      </c>
      <c r="F18" s="349"/>
    </row>
    <row r="19" spans="2:9" s="57" customFormat="1" ht="19.5" customHeight="1">
      <c r="B19" s="81" t="s">
        <v>161</v>
      </c>
      <c r="C19" s="127">
        <v>318</v>
      </c>
      <c r="D19" s="81">
        <v>0.11</v>
      </c>
      <c r="E19" s="83" t="s">
        <v>76</v>
      </c>
      <c r="F19" s="349"/>
    </row>
    <row r="20" spans="2:9" s="57" customFormat="1" ht="18" customHeight="1">
      <c r="B20" s="81" t="s">
        <v>155</v>
      </c>
      <c r="C20" s="82">
        <v>368</v>
      </c>
      <c r="D20" s="81">
        <v>0.13</v>
      </c>
      <c r="E20" s="83" t="s">
        <v>97</v>
      </c>
      <c r="F20" s="349"/>
    </row>
    <row r="21" spans="2:9" s="57" customFormat="1" ht="18" customHeight="1">
      <c r="B21" s="81" t="s">
        <v>122</v>
      </c>
      <c r="C21" s="82">
        <v>708</v>
      </c>
      <c r="D21" s="81">
        <v>0.26</v>
      </c>
      <c r="E21" s="83" t="s">
        <v>97</v>
      </c>
      <c r="F21" s="349"/>
    </row>
    <row r="22" spans="2:9" s="57" customFormat="1" ht="18" customHeight="1">
      <c r="B22" s="84" t="s">
        <v>118</v>
      </c>
      <c r="C22" s="82">
        <v>578</v>
      </c>
      <c r="D22" s="84">
        <v>0.21</v>
      </c>
      <c r="E22" s="83" t="s">
        <v>97</v>
      </c>
      <c r="F22" s="350"/>
      <c r="G22" s="41"/>
      <c r="H22" s="41"/>
      <c r="I22" s="41"/>
    </row>
    <row r="23" spans="2:9" s="57" customFormat="1" ht="18" customHeight="1">
      <c r="B23" s="81" t="s">
        <v>115</v>
      </c>
      <c r="C23" s="82">
        <v>665</v>
      </c>
      <c r="D23" s="85">
        <v>0.24046770000000001</v>
      </c>
      <c r="E23" s="83" t="s">
        <v>97</v>
      </c>
      <c r="F23" s="350"/>
    </row>
    <row r="24" spans="2:9" s="57" customFormat="1" ht="18" customHeight="1">
      <c r="B24" s="86">
        <v>42520</v>
      </c>
      <c r="C24" s="82">
        <v>776</v>
      </c>
      <c r="D24" s="87">
        <v>0.28060590000000002</v>
      </c>
      <c r="E24" s="83" t="s">
        <v>76</v>
      </c>
      <c r="F24" s="349"/>
    </row>
    <row r="25" spans="2:9" s="57" customFormat="1" ht="18" customHeight="1">
      <c r="B25" s="81" t="s">
        <v>93</v>
      </c>
      <c r="C25" s="82">
        <v>933</v>
      </c>
      <c r="D25" s="85">
        <v>0.33895799999999998</v>
      </c>
      <c r="E25" s="83" t="s">
        <v>76</v>
      </c>
      <c r="F25" s="349"/>
    </row>
    <row r="26" spans="2:9" s="57" customFormat="1" ht="18" customHeight="1">
      <c r="B26" s="81" t="s">
        <v>91</v>
      </c>
      <c r="C26" s="82">
        <v>844</v>
      </c>
      <c r="D26" s="81">
        <v>0.31</v>
      </c>
      <c r="E26" s="83" t="s">
        <v>97</v>
      </c>
      <c r="F26" s="349"/>
    </row>
    <row r="27" spans="2:9" s="57" customFormat="1" ht="18" customHeight="1">
      <c r="B27" s="81" t="s">
        <v>90</v>
      </c>
      <c r="C27" s="82">
        <v>1267</v>
      </c>
      <c r="D27" s="85">
        <v>0.4627</v>
      </c>
      <c r="E27" s="83" t="s">
        <v>97</v>
      </c>
      <c r="F27" s="349"/>
    </row>
    <row r="28" spans="2:9" s="57" customFormat="1" ht="18" customHeight="1">
      <c r="B28" s="81" t="s">
        <v>88</v>
      </c>
      <c r="C28" s="82">
        <v>802</v>
      </c>
      <c r="D28" s="85">
        <v>0.29365089999999999</v>
      </c>
      <c r="E28" s="83" t="s">
        <v>76</v>
      </c>
      <c r="F28" s="350"/>
    </row>
    <row r="29" spans="2:9" ht="18" customHeight="1">
      <c r="B29" s="43" t="s">
        <v>72</v>
      </c>
      <c r="C29" s="82">
        <v>500</v>
      </c>
      <c r="D29" s="88">
        <v>0.35539340000000003</v>
      </c>
      <c r="E29" s="83" t="s">
        <v>78</v>
      </c>
      <c r="F29" s="350"/>
    </row>
    <row r="30" spans="2:9" ht="18" customHeight="1">
      <c r="B30" s="43" t="s">
        <v>72</v>
      </c>
      <c r="C30" s="82">
        <v>969</v>
      </c>
      <c r="D30" s="88">
        <v>0.1833815</v>
      </c>
      <c r="E30" s="83" t="s">
        <v>76</v>
      </c>
      <c r="F30" s="350"/>
    </row>
    <row r="31" spans="2:9" ht="18" customHeight="1">
      <c r="B31" s="43" t="s">
        <v>71</v>
      </c>
      <c r="C31" s="82">
        <v>500</v>
      </c>
      <c r="D31" s="88">
        <v>0.18347540000000001</v>
      </c>
      <c r="E31" s="83" t="s">
        <v>79</v>
      </c>
      <c r="F31" s="350"/>
    </row>
    <row r="32" spans="2:9" ht="18" customHeight="1">
      <c r="B32" s="43" t="s">
        <v>71</v>
      </c>
      <c r="C32" s="82">
        <v>861</v>
      </c>
      <c r="D32" s="88">
        <v>0.31594460000000002</v>
      </c>
      <c r="E32" s="83" t="s">
        <v>76</v>
      </c>
      <c r="F32" s="350"/>
    </row>
    <row r="33" spans="2:6" ht="18" customHeight="1">
      <c r="B33" s="43" t="s">
        <v>70</v>
      </c>
      <c r="C33" s="82">
        <v>500</v>
      </c>
      <c r="D33" s="88">
        <v>0.18353149999999999</v>
      </c>
      <c r="E33" s="83" t="s">
        <v>80</v>
      </c>
      <c r="F33" s="350"/>
    </row>
    <row r="34" spans="2:6" ht="18" customHeight="1">
      <c r="B34" s="43" t="s">
        <v>70</v>
      </c>
      <c r="C34" s="82">
        <v>997</v>
      </c>
      <c r="D34" s="88">
        <v>0.3659618</v>
      </c>
      <c r="E34" s="83" t="s">
        <v>76</v>
      </c>
      <c r="F34" s="350"/>
    </row>
    <row r="35" spans="2:6" ht="18" customHeight="1">
      <c r="B35" s="43" t="s">
        <v>69</v>
      </c>
      <c r="C35" s="82">
        <v>500</v>
      </c>
      <c r="D35" s="88">
        <v>0.18397520000000001</v>
      </c>
      <c r="E35" s="83" t="s">
        <v>81</v>
      </c>
      <c r="F35" s="350"/>
    </row>
    <row r="36" spans="2:6" ht="18" customHeight="1">
      <c r="B36" s="43" t="s">
        <v>69</v>
      </c>
      <c r="C36" s="82">
        <v>1074</v>
      </c>
      <c r="D36" s="88">
        <v>0.3951788</v>
      </c>
      <c r="E36" s="83" t="s">
        <v>76</v>
      </c>
      <c r="F36" s="350"/>
    </row>
    <row r="37" spans="2:6" ht="18" customHeight="1">
      <c r="B37" s="43" t="s">
        <v>68</v>
      </c>
      <c r="C37" s="82">
        <v>500</v>
      </c>
      <c r="D37" s="88">
        <v>0.18459929999999999</v>
      </c>
      <c r="E37" s="83" t="s">
        <v>82</v>
      </c>
      <c r="F37" s="350"/>
    </row>
    <row r="38" spans="2:6" ht="18" customHeight="1">
      <c r="B38" s="43" t="s">
        <v>68</v>
      </c>
      <c r="C38" s="82">
        <v>992</v>
      </c>
      <c r="D38" s="88">
        <v>0.36624509999999999</v>
      </c>
      <c r="E38" s="83" t="s">
        <v>76</v>
      </c>
      <c r="F38" s="350"/>
    </row>
    <row r="39" spans="2:6" ht="18" customHeight="1">
      <c r="B39" s="43" t="s">
        <v>67</v>
      </c>
      <c r="C39" s="82">
        <v>500</v>
      </c>
      <c r="D39" s="88">
        <v>0.18511250000000001</v>
      </c>
      <c r="E39" s="83" t="s">
        <v>77</v>
      </c>
      <c r="F39" s="350"/>
    </row>
    <row r="40" spans="2:6" ht="18" customHeight="1">
      <c r="B40" s="43" t="s">
        <v>67</v>
      </c>
      <c r="C40" s="82">
        <v>1163</v>
      </c>
      <c r="D40" s="88">
        <v>0.4305716</v>
      </c>
      <c r="E40" s="83" t="s">
        <v>76</v>
      </c>
      <c r="F40" s="350"/>
    </row>
    <row r="41" spans="2:6" ht="18" customHeight="1">
      <c r="B41" s="43" t="s">
        <v>66</v>
      </c>
      <c r="C41" s="82">
        <v>1280</v>
      </c>
      <c r="D41" s="88">
        <v>0.47804590000000002</v>
      </c>
      <c r="E41" s="83" t="s">
        <v>76</v>
      </c>
      <c r="F41" s="350"/>
    </row>
    <row r="42" spans="2:6" ht="18" customHeight="1">
      <c r="B42" s="43" t="s">
        <v>65</v>
      </c>
      <c r="C42" s="82">
        <v>2453</v>
      </c>
      <c r="D42" s="88">
        <v>0.91706790000000005</v>
      </c>
      <c r="E42" s="83" t="s">
        <v>76</v>
      </c>
      <c r="F42" s="350"/>
    </row>
    <row r="43" spans="2:6" ht="18" customHeight="1">
      <c r="B43" s="43" t="s">
        <v>64</v>
      </c>
      <c r="C43" s="82">
        <v>1149</v>
      </c>
      <c r="D43" s="88">
        <v>0.43297429999999998</v>
      </c>
      <c r="E43" s="83" t="s">
        <v>76</v>
      </c>
      <c r="F43" s="350"/>
    </row>
    <row r="44" spans="2:6" ht="18" customHeight="1">
      <c r="B44" s="43" t="s">
        <v>63</v>
      </c>
      <c r="C44" s="82">
        <v>792</v>
      </c>
      <c r="D44" s="88">
        <v>0.30130249999999997</v>
      </c>
      <c r="E44" s="83" t="s">
        <v>76</v>
      </c>
      <c r="F44" s="350"/>
    </row>
    <row r="45" spans="2:6" ht="18" customHeight="1">
      <c r="B45" s="43" t="s">
        <v>62</v>
      </c>
      <c r="C45" s="82">
        <v>835</v>
      </c>
      <c r="D45" s="88">
        <v>0.32053179999999998</v>
      </c>
      <c r="E45" s="83" t="s">
        <v>76</v>
      </c>
      <c r="F45" s="350"/>
    </row>
    <row r="46" spans="2:6" ht="18" customHeight="1">
      <c r="B46" s="43" t="s">
        <v>61</v>
      </c>
      <c r="C46" s="82">
        <v>679</v>
      </c>
      <c r="D46" s="88">
        <v>0.26064799999999999</v>
      </c>
      <c r="E46" s="83" t="s">
        <v>76</v>
      </c>
      <c r="F46" s="350"/>
    </row>
    <row r="47" spans="2:6" ht="18" customHeight="1">
      <c r="B47" s="54" t="s">
        <v>60</v>
      </c>
      <c r="C47" s="55">
        <v>760</v>
      </c>
      <c r="D47" s="88">
        <v>0.29174149999999999</v>
      </c>
      <c r="E47" s="83" t="s">
        <v>76</v>
      </c>
      <c r="F47" s="350"/>
    </row>
    <row r="48" spans="2:6" ht="18" customHeight="1">
      <c r="B48" s="54" t="s">
        <v>59</v>
      </c>
      <c r="C48" s="55">
        <v>1800</v>
      </c>
      <c r="D48" s="88">
        <v>0.69096679999999999</v>
      </c>
      <c r="E48" s="83" t="s">
        <v>83</v>
      </c>
      <c r="F48" s="350"/>
    </row>
    <row r="49" spans="2:6" ht="18" customHeight="1">
      <c r="B49" s="54" t="s">
        <v>58</v>
      </c>
      <c r="C49" s="55">
        <v>300</v>
      </c>
      <c r="D49" s="88">
        <v>0.11516120000000001</v>
      </c>
      <c r="E49" s="83" t="s">
        <v>76</v>
      </c>
      <c r="F49" s="350"/>
    </row>
    <row r="50" spans="2:6" ht="18" customHeight="1">
      <c r="B50" s="54" t="s">
        <v>57</v>
      </c>
      <c r="C50" s="55">
        <v>400</v>
      </c>
      <c r="D50" s="88">
        <v>0.1535482</v>
      </c>
      <c r="E50" s="83" t="s">
        <v>76</v>
      </c>
      <c r="F50" s="350"/>
    </row>
    <row r="51" spans="2:6" ht="18" customHeight="1">
      <c r="B51" s="54" t="s">
        <v>55</v>
      </c>
      <c r="C51" s="55">
        <v>1200</v>
      </c>
      <c r="D51" s="88">
        <v>0.46064460000000002</v>
      </c>
      <c r="E51" s="83" t="s">
        <v>76</v>
      </c>
      <c r="F51" s="350"/>
    </row>
    <row r="52" spans="2:6" ht="4.1500000000000004" customHeight="1">
      <c r="B52" s="203"/>
      <c r="C52" s="204"/>
      <c r="D52" s="194"/>
      <c r="E52" s="203"/>
    </row>
    <row r="53" spans="2:6" ht="18" customHeight="1">
      <c r="B53" s="54"/>
      <c r="C53" s="55"/>
      <c r="D53" s="42"/>
    </row>
    <row r="54" spans="2:6" ht="18" customHeight="1">
      <c r="B54" s="54"/>
      <c r="C54" s="55"/>
      <c r="D54" s="42"/>
    </row>
  </sheetData>
  <customSheetViews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>
      <pane xSplit="1" ySplit="4" topLeftCell="B5" activePane="bottomRight"/>
      <selection pane="bottomRight" activeCell="C9" sqref="C9"/>
      <pageMargins left="0.7" right="0.7" top="0.75" bottom="0.75" header="0.3" footer="0.3"/>
      <pageSetup paperSize="9" orientation="portrait"/>
      <headerFooter scaleWithDoc="0" alignWithMargins="0"/>
    </customSheetView>
  </customSheetViews>
  <pageMargins left="0.39370078740157483" right="0.39370078740157483" top="0.23622047244094491" bottom="0" header="0.11811023622047245" footer="0.31496062992125984"/>
  <pageSetup paperSize="9" orientation="landscape" r:id="rId1"/>
  <headerFooter>
    <oddHeader>&amp;CBezeq - The Israeli Telecommunications Corp.,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99A0-3AA8-4FED-8AE1-821EA46C73DF}">
  <sheetPr codeName="Sheet5">
    <tabColor rgb="FF7030A0"/>
  </sheetPr>
  <dimension ref="A1:IV253"/>
  <sheetViews>
    <sheetView showGridLines="0" tabSelected="1" workbookViewId="0">
      <pane ySplit="6" topLeftCell="A7" activePane="bottomLeft" state="frozen"/>
      <selection activeCell="AI81" sqref="AI81"/>
      <selection pane="bottomLeft" activeCell="AI81" sqref="AI81"/>
    </sheetView>
  </sheetViews>
  <sheetFormatPr defaultColWidth="8.7109375" defaultRowHeight="12.75"/>
  <cols>
    <col min="1" max="1" width="1.7109375" style="41" customWidth="1"/>
    <col min="2" max="2" width="41.7109375" style="41" customWidth="1"/>
    <col min="3" max="3" width="2.28515625" style="41" customWidth="1"/>
    <col min="4" max="11" width="10.28515625" style="41" customWidth="1"/>
    <col min="12" max="12" width="10.42578125" style="41" customWidth="1"/>
    <col min="13" max="13" width="32.7109375" style="41" customWidth="1"/>
    <col min="14" max="14" width="9.28515625" style="41" customWidth="1"/>
    <col min="15" max="15" width="8.7109375" style="41" customWidth="1"/>
    <col min="16" max="16384" width="8.7109375" style="41"/>
  </cols>
  <sheetData>
    <row r="1" spans="1:256" s="42" customFormat="1" ht="13.9" customHeight="1">
      <c r="A1" s="41"/>
      <c r="E1" s="51"/>
      <c r="J1" s="51"/>
      <c r="K1" s="51"/>
      <c r="L1" s="51"/>
      <c r="M1" s="5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</row>
    <row r="2" spans="1:256" s="42" customFormat="1" ht="13.9" customHeight="1">
      <c r="A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</row>
    <row r="3" spans="1:256" s="42" customFormat="1" ht="13.9" customHeight="1">
      <c r="A3" s="41"/>
      <c r="H3" s="52"/>
      <c r="I3" s="52"/>
      <c r="J3" s="52"/>
      <c r="K3" s="52"/>
      <c r="L3" s="52"/>
      <c r="M3" s="52"/>
      <c r="N3" s="206"/>
      <c r="O3" s="206"/>
      <c r="P3" s="206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</row>
    <row r="4" spans="1:256" s="42" customFormat="1" ht="13.9" customHeight="1">
      <c r="A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  <c r="IU4" s="41"/>
      <c r="IV4" s="41"/>
    </row>
    <row r="5" spans="1:256" s="44" customFormat="1" ht="4.1500000000000004" customHeight="1">
      <c r="A5" s="43"/>
      <c r="B5" s="195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</row>
    <row r="6" spans="1:256" ht="25.35" customHeight="1">
      <c r="B6" s="200" t="s">
        <v>471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</row>
    <row r="7" spans="1:256" s="45" customFormat="1">
      <c r="A7" s="41"/>
      <c r="B7" s="322" t="s">
        <v>22</v>
      </c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  <c r="IU7" s="41"/>
      <c r="IV7" s="41"/>
    </row>
    <row r="8" spans="1:256" ht="16.149999999999999" customHeight="1">
      <c r="B8" s="42"/>
      <c r="C8" s="42"/>
      <c r="D8" s="46"/>
      <c r="E8" s="42"/>
      <c r="F8" s="42"/>
      <c r="G8" s="42"/>
      <c r="H8" s="42"/>
      <c r="I8" s="42"/>
      <c r="J8" s="42"/>
      <c r="K8" s="42"/>
      <c r="L8" s="42"/>
      <c r="M8" s="42"/>
    </row>
    <row r="9" spans="1:256" ht="16.149999999999999" customHeight="1">
      <c r="B9" s="47" t="s">
        <v>7</v>
      </c>
      <c r="C9" s="42" t="s">
        <v>21</v>
      </c>
      <c r="D9" s="42" t="s">
        <v>173</v>
      </c>
      <c r="E9" s="42"/>
      <c r="F9" s="42"/>
      <c r="G9" s="42"/>
      <c r="H9" s="42"/>
      <c r="I9" s="42"/>
      <c r="J9" s="42"/>
      <c r="K9" s="42"/>
      <c r="L9" s="42"/>
      <c r="M9" s="42"/>
    </row>
    <row r="10" spans="1:256" ht="16.149999999999999" customHeight="1">
      <c r="B10" s="118" t="s">
        <v>315</v>
      </c>
      <c r="C10" s="42" t="s">
        <v>21</v>
      </c>
      <c r="D10" s="42" t="s">
        <v>316</v>
      </c>
      <c r="E10" s="42"/>
      <c r="F10" s="42"/>
      <c r="G10" s="42"/>
      <c r="H10" s="42"/>
      <c r="I10" s="42"/>
      <c r="J10" s="42"/>
      <c r="K10" s="42"/>
      <c r="L10" s="42"/>
      <c r="M10" s="42"/>
    </row>
    <row r="11" spans="1:256" ht="16.149999999999999" customHeight="1">
      <c r="B11" s="118" t="s">
        <v>556</v>
      </c>
      <c r="C11" s="42" t="s">
        <v>21</v>
      </c>
      <c r="D11" s="42" t="s">
        <v>557</v>
      </c>
      <c r="E11" s="42"/>
      <c r="F11" s="42"/>
      <c r="G11" s="42"/>
      <c r="H11" s="42"/>
      <c r="I11" s="42"/>
      <c r="J11" s="42"/>
      <c r="K11" s="42"/>
      <c r="L11" s="42"/>
      <c r="M11" s="42"/>
    </row>
    <row r="12" spans="1:256" ht="16.149999999999999" customHeight="1">
      <c r="B12" s="47" t="s">
        <v>402</v>
      </c>
      <c r="C12" s="42" t="s">
        <v>21</v>
      </c>
      <c r="D12" s="42" t="s">
        <v>239</v>
      </c>
      <c r="E12" s="42"/>
      <c r="F12" s="42"/>
      <c r="G12" s="42"/>
      <c r="H12" s="42"/>
      <c r="I12" s="42"/>
      <c r="J12" s="42"/>
      <c r="K12" s="42"/>
      <c r="L12" s="42"/>
      <c r="M12" s="42"/>
    </row>
    <row r="13" spans="1:256" ht="16.149999999999999" customHeight="1">
      <c r="B13" s="47"/>
      <c r="C13" s="42"/>
      <c r="D13" s="42" t="s">
        <v>240</v>
      </c>
      <c r="E13" s="42"/>
      <c r="F13" s="42"/>
      <c r="G13" s="42"/>
      <c r="H13" s="42"/>
      <c r="I13" s="42"/>
      <c r="J13" s="42"/>
      <c r="K13" s="42"/>
      <c r="L13" s="42"/>
      <c r="M13" s="42"/>
    </row>
    <row r="14" spans="1:256" ht="16.149999999999999" customHeight="1">
      <c r="B14" s="47" t="s">
        <v>10</v>
      </c>
      <c r="C14" s="42" t="s">
        <v>21</v>
      </c>
      <c r="D14" s="42" t="s">
        <v>156</v>
      </c>
      <c r="E14" s="42"/>
      <c r="F14" s="42"/>
      <c r="G14" s="42"/>
      <c r="H14" s="42"/>
      <c r="I14" s="42"/>
      <c r="J14" s="42"/>
      <c r="K14" s="42"/>
      <c r="L14" s="42"/>
      <c r="M14" s="42"/>
    </row>
    <row r="15" spans="1:256" ht="16.149999999999999" customHeight="1">
      <c r="B15" s="47" t="s">
        <v>27</v>
      </c>
      <c r="C15" s="42" t="s">
        <v>21</v>
      </c>
      <c r="D15" s="42" t="s">
        <v>37</v>
      </c>
      <c r="E15" s="42"/>
      <c r="F15" s="42"/>
      <c r="G15" s="42"/>
      <c r="H15" s="42"/>
      <c r="I15" s="42"/>
      <c r="J15" s="42"/>
      <c r="K15" s="42"/>
      <c r="L15" s="42"/>
      <c r="M15" s="42"/>
    </row>
    <row r="16" spans="1:256" ht="16.149999999999999" customHeight="1">
      <c r="B16" s="47" t="s">
        <v>35</v>
      </c>
      <c r="C16" s="42" t="s">
        <v>21</v>
      </c>
      <c r="D16" s="42" t="s">
        <v>36</v>
      </c>
      <c r="E16" s="42"/>
      <c r="F16" s="42"/>
      <c r="G16" s="42"/>
      <c r="H16" s="42"/>
      <c r="I16" s="42"/>
      <c r="J16" s="42"/>
      <c r="K16" s="42"/>
      <c r="L16" s="42"/>
      <c r="M16" s="42"/>
    </row>
    <row r="17" spans="2:13" ht="16.149999999999999" customHeight="1">
      <c r="B17" s="47" t="s">
        <v>20</v>
      </c>
      <c r="C17" s="42" t="s">
        <v>21</v>
      </c>
      <c r="D17" s="42" t="s">
        <v>28</v>
      </c>
      <c r="E17" s="42"/>
      <c r="F17" s="42"/>
      <c r="G17" s="42"/>
      <c r="H17" s="42"/>
      <c r="I17" s="42"/>
      <c r="J17" s="42"/>
      <c r="K17" s="42"/>
      <c r="L17" s="42"/>
      <c r="M17" s="42"/>
    </row>
    <row r="18" spans="2:13" ht="16.149999999999999" customHeight="1">
      <c r="B18" s="47" t="s">
        <v>24</v>
      </c>
      <c r="C18" s="42" t="s">
        <v>21</v>
      </c>
      <c r="D18" s="42" t="s">
        <v>29</v>
      </c>
      <c r="E18" s="42"/>
      <c r="F18" s="42"/>
      <c r="G18" s="42"/>
      <c r="H18" s="42"/>
      <c r="I18" s="42"/>
      <c r="J18" s="42"/>
      <c r="K18" s="42"/>
      <c r="L18" s="42"/>
      <c r="M18" s="42"/>
    </row>
    <row r="19" spans="2:13" ht="16.149999999999999" customHeight="1">
      <c r="B19" s="47" t="s">
        <v>23</v>
      </c>
      <c r="C19" s="42" t="s">
        <v>21</v>
      </c>
      <c r="D19" s="42" t="s">
        <v>30</v>
      </c>
      <c r="E19" s="42"/>
      <c r="F19" s="42"/>
      <c r="G19" s="42"/>
      <c r="H19" s="42"/>
      <c r="I19" s="42"/>
      <c r="J19" s="42"/>
      <c r="K19" s="42"/>
      <c r="L19" s="42"/>
      <c r="M19" s="42"/>
    </row>
    <row r="20" spans="2:13" ht="16.149999999999999" customHeight="1">
      <c r="B20" s="57" t="s">
        <v>171</v>
      </c>
      <c r="C20" s="41" t="s">
        <v>21</v>
      </c>
      <c r="D20" s="41" t="s">
        <v>172</v>
      </c>
      <c r="E20" s="42"/>
      <c r="F20" s="42"/>
      <c r="G20" s="42"/>
      <c r="H20" s="42"/>
      <c r="I20" s="42"/>
      <c r="J20" s="42"/>
      <c r="K20" s="42"/>
      <c r="L20" s="42"/>
      <c r="M20" s="42"/>
    </row>
    <row r="21" spans="2:13" ht="4.1500000000000004" customHeight="1">
      <c r="B21" s="205"/>
      <c r="C21" s="194" t="s">
        <v>470</v>
      </c>
      <c r="D21" s="194"/>
      <c r="E21" s="194"/>
      <c r="F21" s="194"/>
      <c r="G21" s="194"/>
      <c r="H21" s="194"/>
      <c r="I21" s="194"/>
      <c r="J21" s="194"/>
      <c r="K21" s="194"/>
      <c r="L21" s="194"/>
      <c r="M21" s="194"/>
    </row>
    <row r="24" spans="2:13" ht="6" customHeight="1"/>
    <row r="26" spans="2:13">
      <c r="B26" s="48"/>
    </row>
    <row r="27" spans="2:13" ht="7.5" customHeight="1"/>
    <row r="251" spans="23:23">
      <c r="W251" s="41">
        <v>118</v>
      </c>
    </row>
    <row r="253" spans="23:23">
      <c r="W253" s="208">
        <v>-9.1999999999999998E-2</v>
      </c>
    </row>
  </sheetData>
  <customSheetViews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44BC518B-F505-4956-BE42-792973965029}" showPageBreaks="1" showGridLines="0" printArea="1" topLeftCell="A28">
      <selection activeCell="M263" sqref="M263"/>
      <pageMargins left="0.7" right="0.7" top="0.75" bottom="0.75" header="0.3" footer="0.3"/>
      <pageSetup scale="85" orientation="landscape"/>
      <headerFooter scaleWithDoc="0"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6A44E415-E6EC-4CA2-8B4C-A374F00F0261}" showPageBreaks="1" printArea="1">
      <pageMargins left="0.7" right="0.7" top="0.75" bottom="0.75" header="0.3" footer="0.3"/>
      <pageSetup scale="85" orientation="landscape"/>
      <headerFooter scaleWithDoc="0" alignWithMargins="0"/>
    </customSheetView>
    <customSheetView guid="{F07085DA-2B2D-4BE1-891D-F25D604A092E}" showPageBreaks="1" printArea="1" topLeftCell="A22">
      <selection activeCell="A77" sqref="A77"/>
      <pageMargins left="0.7" right="0.7" top="0.75" bottom="0.75" header="0.3" footer="0.3"/>
      <pageSetup scale="85" orientation="landscape"/>
      <headerFooter scaleWithDoc="0" alignWithMargins="0"/>
    </customSheetView>
    <customSheetView guid="{C6BBAF30-1E81-42FB-BA93-01B6813E2C8C}" showPageBreaks="1" printArea="1">
      <pageMargins left="0.7" right="0.7" top="0.75" bottom="0.75" header="0.3" footer="0.3"/>
      <printOptions horizontalCentered="1"/>
      <pageSetup scale="83" orientation="landscape"/>
      <headerFooter scaleWithDoc="0" alignWithMargins="0"/>
    </customSheetView>
  </customSheetViews>
  <pageMargins left="0.196850393700787" right="0.196850393700787" top="0.47244094488188998" bottom="0.59055118110236204" header="0.511811023622047" footer="0.23622047244094499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4047-1610-45FE-954A-F51C964A4E90}">
  <sheetPr codeName="Sheet3">
    <tabColor theme="3" tint="-0.49992370372631001"/>
  </sheetPr>
  <dimension ref="A1:GV90"/>
  <sheetViews>
    <sheetView showGridLines="0" tabSelected="1" zoomScaleNormal="100" workbookViewId="0">
      <pane xSplit="2" ySplit="4" topLeftCell="C57" activePane="bottomRight" state="frozen"/>
      <selection activeCell="AI81" sqref="AI81"/>
      <selection pane="topRight" activeCell="AI81" sqref="AI81"/>
      <selection pane="bottomLeft" activeCell="AI81" sqref="AI81"/>
      <selection pane="bottomRight" activeCell="AI81" sqref="AI81"/>
    </sheetView>
  </sheetViews>
  <sheetFormatPr defaultColWidth="8.7109375" defaultRowHeight="12.75"/>
  <cols>
    <col min="1" max="1" width="1.7109375" customWidth="1"/>
    <col min="2" max="2" width="52.7109375" customWidth="1"/>
    <col min="3" max="4" width="9.28515625" customWidth="1"/>
    <col min="5" max="5" width="9.5703125" hidden="1" customWidth="1"/>
    <col min="6" max="7" width="8.7109375" hidden="1" customWidth="1"/>
    <col min="8" max="8" width="9.28515625" hidden="1" customWidth="1"/>
    <col min="9" max="9" width="9.28515625" customWidth="1"/>
    <col min="10" max="13" width="8.7109375" hidden="1" customWidth="1"/>
    <col min="14" max="14" width="9.28515625" customWidth="1"/>
    <col min="15" max="18" width="8.7109375" hidden="1" customWidth="1"/>
    <col min="19" max="19" width="9.28515625" customWidth="1"/>
    <col min="20" max="23" width="9.28515625" hidden="1" customWidth="1"/>
    <col min="24" max="24" width="9.28515625" customWidth="1"/>
    <col min="25" max="27" width="9.28515625" hidden="1" customWidth="1"/>
    <col min="28" max="28" width="8.7109375" hidden="1" customWidth="1"/>
    <col min="29" max="30" width="9.42578125" bestFit="1" customWidth="1"/>
    <col min="34" max="34" width="9.7109375" bestFit="1" customWidth="1"/>
    <col min="37" max="37" width="0" hidden="1" customWidth="1"/>
    <col min="39" max="39" width="0" hidden="1" customWidth="1"/>
    <col min="41" max="41" width="9.140625" bestFit="1" customWidth="1"/>
  </cols>
  <sheetData>
    <row r="1" spans="1:204" ht="13.9" customHeight="1">
      <c r="B1" s="6"/>
    </row>
    <row r="2" spans="1:204" ht="13.9" customHeight="1">
      <c r="B2" s="6"/>
    </row>
    <row r="3" spans="1:204" s="1" customFormat="1" ht="13.9" customHeight="1">
      <c r="B3" s="7"/>
      <c r="C3" s="7" t="s">
        <v>4</v>
      </c>
      <c r="D3" s="7" t="s">
        <v>4</v>
      </c>
      <c r="E3" s="7" t="s">
        <v>49</v>
      </c>
      <c r="F3" s="7" t="s">
        <v>0</v>
      </c>
      <c r="G3" s="7" t="s">
        <v>1</v>
      </c>
      <c r="H3" s="7" t="s">
        <v>2</v>
      </c>
      <c r="I3" s="7" t="s">
        <v>4</v>
      </c>
      <c r="J3" s="7" t="s">
        <v>49</v>
      </c>
      <c r="K3" s="7" t="s">
        <v>0</v>
      </c>
      <c r="L3" s="7" t="s">
        <v>1</v>
      </c>
      <c r="M3" s="7" t="s">
        <v>2</v>
      </c>
      <c r="N3" s="7" t="s">
        <v>4</v>
      </c>
      <c r="O3" s="7" t="s">
        <v>49</v>
      </c>
      <c r="P3" s="7" t="s">
        <v>0</v>
      </c>
      <c r="Q3" s="7" t="s">
        <v>1</v>
      </c>
      <c r="R3" s="7" t="s">
        <v>2</v>
      </c>
      <c r="S3" s="7" t="s">
        <v>4</v>
      </c>
      <c r="T3" s="7" t="s">
        <v>49</v>
      </c>
      <c r="U3" s="7" t="s">
        <v>0</v>
      </c>
      <c r="V3" s="7" t="s">
        <v>1</v>
      </c>
      <c r="W3" s="7" t="s">
        <v>2</v>
      </c>
      <c r="X3" s="7" t="s">
        <v>4</v>
      </c>
      <c r="Y3" s="7" t="s">
        <v>49</v>
      </c>
      <c r="Z3" s="7" t="s">
        <v>0</v>
      </c>
      <c r="AA3" s="7" t="s">
        <v>1</v>
      </c>
      <c r="AB3" s="7" t="s">
        <v>2</v>
      </c>
      <c r="AC3" s="7" t="s">
        <v>4</v>
      </c>
      <c r="AD3" s="7" t="s">
        <v>49</v>
      </c>
      <c r="AE3" s="7" t="s">
        <v>0</v>
      </c>
      <c r="AF3" s="7" t="s">
        <v>1</v>
      </c>
      <c r="AG3" s="7" t="s">
        <v>2</v>
      </c>
      <c r="AH3" s="7" t="s">
        <v>4</v>
      </c>
      <c r="AI3" s="7" t="s">
        <v>49</v>
      </c>
      <c r="AJ3" s="7" t="s">
        <v>0</v>
      </c>
      <c r="AK3" s="7" t="s">
        <v>342</v>
      </c>
      <c r="AL3" s="7" t="s">
        <v>1</v>
      </c>
      <c r="AM3" s="7" t="s">
        <v>312</v>
      </c>
      <c r="AN3" s="7" t="s">
        <v>2</v>
      </c>
      <c r="AO3" s="7" t="s">
        <v>4</v>
      </c>
    </row>
    <row r="4" spans="1:204" s="14" customFormat="1" ht="13.15" customHeight="1">
      <c r="B4" s="15" t="s">
        <v>458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2024</v>
      </c>
      <c r="AE4" s="7">
        <v>2024</v>
      </c>
      <c r="AF4" s="7">
        <v>2024</v>
      </c>
      <c r="AG4" s="7">
        <v>2024</v>
      </c>
      <c r="AH4" s="7">
        <v>2024</v>
      </c>
      <c r="AI4" s="7">
        <v>2025</v>
      </c>
      <c r="AJ4" s="7">
        <v>2025</v>
      </c>
      <c r="AK4" s="7">
        <v>2025</v>
      </c>
      <c r="AL4" s="7">
        <v>2025</v>
      </c>
      <c r="AM4" s="7">
        <v>2025</v>
      </c>
      <c r="AN4" s="7">
        <v>2025</v>
      </c>
      <c r="AO4" s="7">
        <v>2025</v>
      </c>
    </row>
    <row r="5" spans="1:204" s="1" customFormat="1" ht="3.75" customHeight="1">
      <c r="B5" s="172"/>
      <c r="C5" s="373" t="str">
        <f>C3&amp;"/"&amp;C4</f>
        <v>FY/2017</v>
      </c>
      <c r="D5" s="373" t="str">
        <f t="shared" ref="D5:AH5" si="0">D3&amp;"/"&amp;D4</f>
        <v>FY/2018</v>
      </c>
      <c r="E5" s="373" t="str">
        <f t="shared" si="0"/>
        <v>Q1/2019</v>
      </c>
      <c r="F5" s="373" t="str">
        <f t="shared" si="0"/>
        <v>Q2/2019</v>
      </c>
      <c r="G5" s="373" t="str">
        <f t="shared" si="0"/>
        <v>Q3/2019</v>
      </c>
      <c r="H5" s="373" t="str">
        <f t="shared" si="0"/>
        <v>Q4/2019</v>
      </c>
      <c r="I5" s="373" t="str">
        <f t="shared" si="0"/>
        <v>FY/2019</v>
      </c>
      <c r="J5" s="373" t="str">
        <f t="shared" si="0"/>
        <v>Q1/2020</v>
      </c>
      <c r="K5" s="373" t="str">
        <f t="shared" si="0"/>
        <v>Q2/2020</v>
      </c>
      <c r="L5" s="373" t="str">
        <f t="shared" si="0"/>
        <v>Q3/2020</v>
      </c>
      <c r="M5" s="373" t="str">
        <f t="shared" si="0"/>
        <v>Q4/2020</v>
      </c>
      <c r="N5" s="373" t="str">
        <f t="shared" si="0"/>
        <v>FY/2020</v>
      </c>
      <c r="O5" s="373" t="str">
        <f t="shared" si="0"/>
        <v>Q1/2021</v>
      </c>
      <c r="P5" s="373" t="str">
        <f t="shared" si="0"/>
        <v>Q2/2021</v>
      </c>
      <c r="Q5" s="373" t="str">
        <f t="shared" si="0"/>
        <v>Q3/2021</v>
      </c>
      <c r="R5" s="373" t="str">
        <f t="shared" si="0"/>
        <v>Q4/2021</v>
      </c>
      <c r="S5" s="373" t="str">
        <f t="shared" si="0"/>
        <v>FY/2021</v>
      </c>
      <c r="T5" s="373" t="str">
        <f t="shared" si="0"/>
        <v>Q1/2022</v>
      </c>
      <c r="U5" s="373" t="str">
        <f t="shared" si="0"/>
        <v>Q2/2022</v>
      </c>
      <c r="V5" s="373" t="str">
        <f t="shared" si="0"/>
        <v>Q3/2022</v>
      </c>
      <c r="W5" s="373" t="str">
        <f t="shared" si="0"/>
        <v>Q4/2022</v>
      </c>
      <c r="X5" s="373" t="str">
        <f t="shared" si="0"/>
        <v>FY/2022</v>
      </c>
      <c r="Y5" s="373" t="str">
        <f t="shared" si="0"/>
        <v>Q1/2023</v>
      </c>
      <c r="Z5" s="373" t="str">
        <f t="shared" si="0"/>
        <v>Q2/2023</v>
      </c>
      <c r="AA5" s="373" t="str">
        <f t="shared" si="0"/>
        <v>Q3/2023</v>
      </c>
      <c r="AB5" s="373" t="str">
        <f t="shared" si="0"/>
        <v>Q4/2023</v>
      </c>
      <c r="AC5" s="373" t="str">
        <f t="shared" si="0"/>
        <v>FY/2023</v>
      </c>
      <c r="AD5" s="373" t="str">
        <f t="shared" si="0"/>
        <v>Q1/2024</v>
      </c>
      <c r="AE5" s="373" t="str">
        <f t="shared" si="0"/>
        <v>Q2/2024</v>
      </c>
      <c r="AF5" s="373" t="str">
        <f t="shared" si="0"/>
        <v>Q3/2024</v>
      </c>
      <c r="AG5" s="373" t="str">
        <f t="shared" si="0"/>
        <v>Q4/2024</v>
      </c>
      <c r="AH5" s="373" t="str">
        <f t="shared" si="0"/>
        <v>FY/2024</v>
      </c>
      <c r="AI5" s="373" t="str">
        <f t="shared" ref="AI5:AO5" si="1">AI3&amp;"/"&amp;AI4</f>
        <v>Q1/2025</v>
      </c>
      <c r="AJ5" s="373" t="str">
        <f t="shared" si="1"/>
        <v>Q2/2025</v>
      </c>
      <c r="AK5" s="373" t="str">
        <f t="shared" si="1"/>
        <v>6M/2025</v>
      </c>
      <c r="AL5" s="373" t="str">
        <f t="shared" si="1"/>
        <v>Q3/2025</v>
      </c>
      <c r="AM5" s="373" t="str">
        <f t="shared" si="1"/>
        <v>9M/2025</v>
      </c>
      <c r="AN5" s="373" t="str">
        <f t="shared" si="1"/>
        <v>Q4/2025</v>
      </c>
      <c r="AO5" s="373" t="str">
        <f t="shared" si="1"/>
        <v>FY/2025</v>
      </c>
    </row>
    <row r="6" spans="1:204" ht="25.35" customHeight="1">
      <c r="B6" s="177" t="s">
        <v>211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</row>
    <row r="7" spans="1:204" ht="1.1499999999999999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204" s="122" customFormat="1" ht="13.9" customHeight="1">
      <c r="A8"/>
      <c r="B8" s="273" t="s">
        <v>19</v>
      </c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4"/>
      <c r="AN8" s="274"/>
      <c r="AO8" s="274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</row>
    <row r="9" spans="1:204" s="2" customFormat="1" ht="13.9" customHeight="1">
      <c r="B9" s="12" t="s">
        <v>13</v>
      </c>
      <c r="C9" s="210">
        <v>9789</v>
      </c>
      <c r="D9" s="210">
        <v>9321</v>
      </c>
      <c r="E9" s="19">
        <v>2256</v>
      </c>
      <c r="F9" s="19">
        <v>2224</v>
      </c>
      <c r="G9" s="19">
        <v>2247</v>
      </c>
      <c r="H9" s="19">
        <v>2202</v>
      </c>
      <c r="I9" s="210">
        <v>8929</v>
      </c>
      <c r="J9" s="355">
        <v>2187</v>
      </c>
      <c r="K9" s="355">
        <v>2155</v>
      </c>
      <c r="L9" s="355">
        <v>2178</v>
      </c>
      <c r="M9" s="355">
        <v>2203</v>
      </c>
      <c r="N9" s="210">
        <v>8723</v>
      </c>
      <c r="O9" s="355">
        <v>2221</v>
      </c>
      <c r="P9" s="355">
        <v>2200</v>
      </c>
      <c r="Q9" s="355">
        <v>2142</v>
      </c>
      <c r="R9" s="355">
        <v>2258</v>
      </c>
      <c r="S9" s="210">
        <v>8821</v>
      </c>
      <c r="T9" s="19">
        <v>2255</v>
      </c>
      <c r="U9" s="19">
        <v>2225</v>
      </c>
      <c r="V9" s="19">
        <v>2262</v>
      </c>
      <c r="W9" s="19">
        <v>2244</v>
      </c>
      <c r="X9" s="210">
        <v>8986</v>
      </c>
      <c r="Y9" s="19">
        <v>2308</v>
      </c>
      <c r="Z9" s="19">
        <v>2299</v>
      </c>
      <c r="AA9" s="19">
        <v>2265</v>
      </c>
      <c r="AB9" s="61">
        <v>2231</v>
      </c>
      <c r="AC9" s="210">
        <v>9103</v>
      </c>
      <c r="AD9" s="19">
        <v>2255</v>
      </c>
      <c r="AE9" s="19">
        <v>2192</v>
      </c>
      <c r="AF9" s="19">
        <v>2234</v>
      </c>
      <c r="AG9" s="61">
        <v>2203</v>
      </c>
      <c r="AH9" s="210">
        <v>8884</v>
      </c>
      <c r="AI9" s="19">
        <v>2235</v>
      </c>
      <c r="AJ9" s="19">
        <v>2136</v>
      </c>
      <c r="AK9" s="137">
        <v>4371</v>
      </c>
      <c r="AL9" s="19">
        <v>2145</v>
      </c>
      <c r="AM9" s="276">
        <v>6516</v>
      </c>
      <c r="AN9" s="61">
        <v>2186</v>
      </c>
      <c r="AO9" s="210">
        <v>8702</v>
      </c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</row>
    <row r="10" spans="1:204" ht="13.9" customHeight="1">
      <c r="B10" s="20" t="s">
        <v>5</v>
      </c>
      <c r="C10" s="211"/>
      <c r="D10" s="211"/>
      <c r="E10" s="21"/>
      <c r="F10" s="21">
        <v>-1.4184397163120588E-2</v>
      </c>
      <c r="G10" s="21">
        <v>1.0341726618705138E-2</v>
      </c>
      <c r="H10" s="21">
        <v>-2.0026702269692942E-2</v>
      </c>
      <c r="I10" s="211"/>
      <c r="J10" s="357">
        <v>-6.8119891008174838E-3</v>
      </c>
      <c r="K10" s="357">
        <v>-1.4631915866483713E-2</v>
      </c>
      <c r="L10" s="357">
        <v>1.0672853828306295E-2</v>
      </c>
      <c r="M10" s="357">
        <v>1.1478420569329684E-2</v>
      </c>
      <c r="N10" s="211"/>
      <c r="O10" s="357">
        <v>8.1706763504312274E-3</v>
      </c>
      <c r="P10" s="357">
        <v>-9.4552003601980905E-3</v>
      </c>
      <c r="Q10" s="357">
        <v>-2.6363636363636367E-2</v>
      </c>
      <c r="R10" s="357">
        <v>5.4154995331465949E-2</v>
      </c>
      <c r="S10" s="211"/>
      <c r="T10" s="21">
        <v>-1.3286093888397188E-3</v>
      </c>
      <c r="U10" s="21">
        <v>-1.3303769401330379E-2</v>
      </c>
      <c r="V10" s="21">
        <v>1.6629213483146055E-2</v>
      </c>
      <c r="W10" s="21">
        <v>-7.9575596816976457E-3</v>
      </c>
      <c r="X10" s="211"/>
      <c r="Y10" s="21">
        <v>2.8520499108734443E-2</v>
      </c>
      <c r="Z10" s="21">
        <v>-3.8994800693240572E-3</v>
      </c>
      <c r="AA10" s="21">
        <v>-1.4789038712483715E-2</v>
      </c>
      <c r="AB10" s="21">
        <v>-1.5011037527593807E-2</v>
      </c>
      <c r="AC10" s="211"/>
      <c r="AD10" s="21">
        <v>1.0757507844016079E-2</v>
      </c>
      <c r="AE10" s="21">
        <v>-2.7937915742793806E-2</v>
      </c>
      <c r="AF10" s="21">
        <v>1.9160583941605802E-2</v>
      </c>
      <c r="AG10" s="21">
        <v>-1.3876454789615078E-2</v>
      </c>
      <c r="AH10" s="211"/>
      <c r="AI10" s="21">
        <v>1.4525646845211071E-2</v>
      </c>
      <c r="AJ10" s="21">
        <v>-4.4295302013422799E-2</v>
      </c>
      <c r="AK10" s="138"/>
      <c r="AL10" s="21">
        <v>4.2134831460673983E-3</v>
      </c>
      <c r="AM10" s="277"/>
      <c r="AN10" s="21">
        <v>1.9114219114219066E-2</v>
      </c>
      <c r="AO10" s="211"/>
    </row>
    <row r="11" spans="1:204" ht="13.9" customHeight="1">
      <c r="B11" s="20" t="s">
        <v>6</v>
      </c>
      <c r="C11" s="211"/>
      <c r="D11" s="211">
        <v>-4.7808764940239001E-2</v>
      </c>
      <c r="E11" s="22"/>
      <c r="F11" s="22"/>
      <c r="G11" s="22"/>
      <c r="H11" s="22"/>
      <c r="I11" s="211">
        <v>-4.2055573436326599E-2</v>
      </c>
      <c r="J11" s="66">
        <v>-3.0585106382978733E-2</v>
      </c>
      <c r="K11" s="66">
        <v>-3.1025179856115082E-2</v>
      </c>
      <c r="L11" s="66">
        <v>-3.0707610146862518E-2</v>
      </c>
      <c r="M11" s="66">
        <v>4.5413260672111377E-4</v>
      </c>
      <c r="N11" s="211">
        <v>-2.3070892597155335E-2</v>
      </c>
      <c r="O11" s="66">
        <v>1.5546410608139105E-2</v>
      </c>
      <c r="P11" s="66">
        <v>2.088167053364276E-2</v>
      </c>
      <c r="Q11" s="66">
        <v>-1.6528925619834656E-2</v>
      </c>
      <c r="R11" s="66">
        <v>2.4965955515206639E-2</v>
      </c>
      <c r="S11" s="211">
        <v>1.1234666972371965E-2</v>
      </c>
      <c r="T11" s="22">
        <v>1.5308419630796877E-2</v>
      </c>
      <c r="U11" s="22">
        <v>1.1363636363636465E-2</v>
      </c>
      <c r="V11" s="22">
        <v>5.6022408963585457E-2</v>
      </c>
      <c r="W11" s="22">
        <v>-6.2001771479185397E-3</v>
      </c>
      <c r="X11" s="211">
        <v>1.8705362203831788E-2</v>
      </c>
      <c r="Y11" s="22">
        <v>2.3503325942350273E-2</v>
      </c>
      <c r="Z11" s="22">
        <v>3.3258426966292109E-2</v>
      </c>
      <c r="AA11" s="22">
        <v>1.3262599469496816E-3</v>
      </c>
      <c r="AB11" s="22">
        <v>-5.7932263814616247E-3</v>
      </c>
      <c r="AC11" s="211">
        <v>1.3020253728021292E-2</v>
      </c>
      <c r="AD11" s="22">
        <v>-2.2963604852686337E-2</v>
      </c>
      <c r="AE11" s="22">
        <v>-4.6541974771639794E-2</v>
      </c>
      <c r="AF11" s="22">
        <v>-1.3686534216335589E-2</v>
      </c>
      <c r="AG11" s="22">
        <v>-1.2550425818018796E-2</v>
      </c>
      <c r="AH11" s="211">
        <v>-2.4058002856201299E-2</v>
      </c>
      <c r="AI11" s="22">
        <v>-8.8691796008869561E-3</v>
      </c>
      <c r="AJ11" s="22">
        <v>-2.5547445255474477E-2</v>
      </c>
      <c r="AK11" s="139"/>
      <c r="AL11" s="22">
        <v>-3.9838854073410923E-2</v>
      </c>
      <c r="AM11" s="278"/>
      <c r="AN11" s="22">
        <v>-7.7167498865183815E-3</v>
      </c>
      <c r="AO11" s="211">
        <v>-2.0486267447095918E-2</v>
      </c>
    </row>
    <row r="12" spans="1:204" ht="39" customHeight="1">
      <c r="B12" s="74" t="s">
        <v>447</v>
      </c>
      <c r="C12" s="235" t="s">
        <v>24</v>
      </c>
      <c r="D12" s="235" t="s">
        <v>24</v>
      </c>
      <c r="E12" s="358"/>
      <c r="F12" s="358"/>
      <c r="G12" s="358"/>
      <c r="H12" s="358"/>
      <c r="I12" s="235" t="s">
        <v>24</v>
      </c>
      <c r="J12" s="362"/>
      <c r="K12" s="362"/>
      <c r="L12" s="362"/>
      <c r="M12" s="362"/>
      <c r="N12" s="235" t="s">
        <v>24</v>
      </c>
      <c r="O12" s="358" t="s">
        <v>24</v>
      </c>
      <c r="P12" s="358" t="s">
        <v>24</v>
      </c>
      <c r="Q12" s="358" t="s">
        <v>24</v>
      </c>
      <c r="R12" s="358" t="s">
        <v>24</v>
      </c>
      <c r="S12" s="210">
        <v>6756</v>
      </c>
      <c r="T12" s="358" t="s">
        <v>24</v>
      </c>
      <c r="U12" s="358" t="s">
        <v>24</v>
      </c>
      <c r="V12" s="358" t="s">
        <v>24</v>
      </c>
      <c r="W12" s="358" t="s">
        <v>24</v>
      </c>
      <c r="X12" s="210">
        <v>7218</v>
      </c>
      <c r="Y12" s="355">
        <v>1898</v>
      </c>
      <c r="Z12" s="355">
        <v>1909</v>
      </c>
      <c r="AA12" s="355">
        <v>1926</v>
      </c>
      <c r="AB12" s="355">
        <v>1904</v>
      </c>
      <c r="AC12" s="210">
        <v>7637</v>
      </c>
      <c r="AD12" s="355">
        <v>1932</v>
      </c>
      <c r="AE12" s="355">
        <v>1888</v>
      </c>
      <c r="AF12" s="355">
        <v>1961</v>
      </c>
      <c r="AG12" s="61">
        <v>1952</v>
      </c>
      <c r="AH12" s="210">
        <v>7733</v>
      </c>
      <c r="AI12" s="355">
        <v>1978</v>
      </c>
      <c r="AJ12" s="355">
        <v>1947</v>
      </c>
      <c r="AK12" s="137">
        <v>3925</v>
      </c>
      <c r="AL12" s="355">
        <v>1995</v>
      </c>
      <c r="AM12" s="276">
        <v>5920</v>
      </c>
      <c r="AN12" s="61">
        <v>2043</v>
      </c>
      <c r="AO12" s="210">
        <v>7963</v>
      </c>
    </row>
    <row r="13" spans="1:204" ht="13.9" customHeight="1">
      <c r="B13" s="20" t="s">
        <v>5</v>
      </c>
      <c r="C13" s="211"/>
      <c r="D13" s="211"/>
      <c r="E13" s="22"/>
      <c r="F13" s="22"/>
      <c r="G13" s="22"/>
      <c r="H13" s="22"/>
      <c r="I13" s="211"/>
      <c r="J13" s="66"/>
      <c r="K13" s="66"/>
      <c r="L13" s="66"/>
      <c r="M13" s="66"/>
      <c r="N13" s="211"/>
      <c r="O13" s="66"/>
      <c r="P13" s="66"/>
      <c r="Q13" s="66"/>
      <c r="R13" s="66"/>
      <c r="S13" s="211"/>
      <c r="T13" s="22"/>
      <c r="U13" s="22"/>
      <c r="V13" s="22"/>
      <c r="W13" s="22"/>
      <c r="X13" s="211"/>
      <c r="Y13" s="22"/>
      <c r="Z13" s="22">
        <v>5.7955742887250139E-3</v>
      </c>
      <c r="AA13" s="22">
        <v>8.9051859612363504E-3</v>
      </c>
      <c r="AB13" s="22">
        <v>-1.1422637590861928E-2</v>
      </c>
      <c r="AC13" s="211"/>
      <c r="AD13" s="22">
        <v>1.4705882352941124E-2</v>
      </c>
      <c r="AE13" s="21">
        <v>-2.2774327122153215E-2</v>
      </c>
      <c r="AF13" s="21">
        <v>3.866525423728806E-2</v>
      </c>
      <c r="AG13" s="21">
        <v>-4.5894951555328634E-3</v>
      </c>
      <c r="AH13" s="211"/>
      <c r="AI13" s="21">
        <v>1.3319672131147486E-2</v>
      </c>
      <c r="AJ13" s="21">
        <v>-1.567239635995954E-2</v>
      </c>
      <c r="AK13" s="137"/>
      <c r="AL13" s="21">
        <v>2.4653312788905923E-2</v>
      </c>
      <c r="AM13" s="277"/>
      <c r="AN13" s="21">
        <v>2.4060150375939893E-2</v>
      </c>
      <c r="AO13" s="211"/>
    </row>
    <row r="14" spans="1:204" ht="13.9" customHeight="1">
      <c r="B14" s="20" t="s">
        <v>6</v>
      </c>
      <c r="C14" s="211"/>
      <c r="D14" s="211"/>
      <c r="E14" s="22"/>
      <c r="F14" s="22"/>
      <c r="G14" s="22"/>
      <c r="H14" s="22"/>
      <c r="I14" s="211"/>
      <c r="J14" s="66"/>
      <c r="K14" s="66"/>
      <c r="L14" s="66"/>
      <c r="M14" s="66"/>
      <c r="N14" s="211"/>
      <c r="O14" s="66"/>
      <c r="P14" s="66"/>
      <c r="Q14" s="66"/>
      <c r="R14" s="66"/>
      <c r="S14" s="211"/>
      <c r="T14" s="22"/>
      <c r="U14" s="22"/>
      <c r="V14" s="22"/>
      <c r="W14" s="22"/>
      <c r="X14" s="211">
        <v>6.8383658969804584E-2</v>
      </c>
      <c r="Y14" s="22"/>
      <c r="Z14" s="22"/>
      <c r="AA14" s="22"/>
      <c r="AB14" s="22"/>
      <c r="AC14" s="211">
        <v>5.8049321141590449E-2</v>
      </c>
      <c r="AD14" s="22">
        <v>1.7913593256059013E-2</v>
      </c>
      <c r="AE14" s="22">
        <v>-1.1000523834468257E-2</v>
      </c>
      <c r="AF14" s="22">
        <v>1.8172377985462118E-2</v>
      </c>
      <c r="AG14" s="22">
        <v>2.5210084033613356E-2</v>
      </c>
      <c r="AH14" s="211">
        <v>1.2570381039675338E-2</v>
      </c>
      <c r="AI14" s="22">
        <v>2.3809523809523725E-2</v>
      </c>
      <c r="AJ14" s="22">
        <v>3.125E-2</v>
      </c>
      <c r="AK14" s="139"/>
      <c r="AL14" s="22">
        <v>1.7338092809790817E-2</v>
      </c>
      <c r="AM14" s="278"/>
      <c r="AN14" s="22">
        <v>4.6618852459016313E-2</v>
      </c>
      <c r="AO14" s="211">
        <v>2.9742661321608743E-2</v>
      </c>
    </row>
    <row r="15" spans="1:204" s="2" customFormat="1" ht="13.9" customHeight="1">
      <c r="B15" s="12" t="s">
        <v>167</v>
      </c>
      <c r="C15" s="210">
        <v>1715</v>
      </c>
      <c r="D15" s="210">
        <v>2189</v>
      </c>
      <c r="E15" s="19">
        <v>466</v>
      </c>
      <c r="F15" s="19">
        <v>478</v>
      </c>
      <c r="G15" s="19">
        <v>481</v>
      </c>
      <c r="H15" s="19">
        <v>487</v>
      </c>
      <c r="I15" s="210">
        <v>1912</v>
      </c>
      <c r="J15" s="355">
        <v>451</v>
      </c>
      <c r="K15" s="355">
        <v>459</v>
      </c>
      <c r="L15" s="355">
        <v>464</v>
      </c>
      <c r="M15" s="355">
        <v>463</v>
      </c>
      <c r="N15" s="210">
        <v>1837</v>
      </c>
      <c r="O15" s="355">
        <v>476</v>
      </c>
      <c r="P15" s="355">
        <v>465</v>
      </c>
      <c r="Q15" s="355">
        <v>466</v>
      </c>
      <c r="R15" s="355">
        <v>482</v>
      </c>
      <c r="S15" s="210">
        <v>1889</v>
      </c>
      <c r="T15" s="19">
        <v>448</v>
      </c>
      <c r="U15" s="19">
        <v>458</v>
      </c>
      <c r="V15" s="19">
        <v>468</v>
      </c>
      <c r="W15" s="19">
        <v>494</v>
      </c>
      <c r="X15" s="210">
        <v>1868</v>
      </c>
      <c r="Y15" s="19">
        <v>458</v>
      </c>
      <c r="Z15" s="19">
        <v>468</v>
      </c>
      <c r="AA15" s="19">
        <v>470</v>
      </c>
      <c r="AB15" s="61">
        <v>471</v>
      </c>
      <c r="AC15" s="210">
        <v>1867</v>
      </c>
      <c r="AD15" s="19">
        <v>473</v>
      </c>
      <c r="AE15" s="19">
        <v>462</v>
      </c>
      <c r="AF15" s="19">
        <v>444</v>
      </c>
      <c r="AG15" s="61">
        <v>465</v>
      </c>
      <c r="AH15" s="210">
        <v>1844</v>
      </c>
      <c r="AI15" s="19">
        <v>456</v>
      </c>
      <c r="AJ15" s="19">
        <v>383</v>
      </c>
      <c r="AK15" s="137">
        <v>839</v>
      </c>
      <c r="AL15" s="19">
        <v>380</v>
      </c>
      <c r="AM15" s="276">
        <v>1219</v>
      </c>
      <c r="AN15" s="61">
        <v>468</v>
      </c>
      <c r="AO15" s="210">
        <v>1687</v>
      </c>
    </row>
    <row r="16" spans="1:204" ht="13.9" customHeight="1">
      <c r="B16" s="20" t="s">
        <v>5</v>
      </c>
      <c r="C16" s="211"/>
      <c r="D16" s="211"/>
      <c r="E16" s="21"/>
      <c r="F16" s="21">
        <v>2.5751072961373467E-2</v>
      </c>
      <c r="G16" s="21">
        <v>6.2761506276149959E-3</v>
      </c>
      <c r="H16" s="21">
        <v>1.2474012474012364E-2</v>
      </c>
      <c r="I16" s="211"/>
      <c r="J16" s="357">
        <v>-7.3921971252566721E-2</v>
      </c>
      <c r="K16" s="357">
        <v>1.7738359201773912E-2</v>
      </c>
      <c r="L16" s="357">
        <v>1.089324618736387E-2</v>
      </c>
      <c r="M16" s="357">
        <v>-2.1551724137931494E-3</v>
      </c>
      <c r="N16" s="211"/>
      <c r="O16" s="357">
        <v>2.8077753779697678E-2</v>
      </c>
      <c r="P16" s="357">
        <v>-2.3109243697479021E-2</v>
      </c>
      <c r="Q16" s="357">
        <v>2.1505376344086446E-3</v>
      </c>
      <c r="R16" s="357">
        <v>3.4334763948497882E-2</v>
      </c>
      <c r="S16" s="211"/>
      <c r="T16" s="21">
        <v>-7.0539419087136901E-2</v>
      </c>
      <c r="U16" s="21">
        <v>2.2321428571428603E-2</v>
      </c>
      <c r="V16" s="21">
        <v>2.1834061135371119E-2</v>
      </c>
      <c r="W16" s="21">
        <v>5.555555555555558E-2</v>
      </c>
      <c r="X16" s="211"/>
      <c r="Y16" s="21">
        <v>-7.2874493927125528E-2</v>
      </c>
      <c r="Z16" s="21">
        <v>2.1834061135371119E-2</v>
      </c>
      <c r="AA16" s="21">
        <v>4.2735042735042583E-3</v>
      </c>
      <c r="AB16" s="21">
        <v>2.1276595744681437E-3</v>
      </c>
      <c r="AC16" s="211"/>
      <c r="AD16" s="21">
        <v>4.2462845010615702E-3</v>
      </c>
      <c r="AE16" s="21">
        <v>-2.3255813953488413E-2</v>
      </c>
      <c r="AF16" s="21">
        <v>-3.8961038961038974E-2</v>
      </c>
      <c r="AG16" s="21">
        <v>4.7297297297297369E-2</v>
      </c>
      <c r="AH16" s="211"/>
      <c r="AI16" s="21">
        <v>-1.9354838709677469E-2</v>
      </c>
      <c r="AJ16" s="21">
        <v>-0.16008771929824561</v>
      </c>
      <c r="AK16" s="138"/>
      <c r="AL16" s="21">
        <v>-7.8328981723237989E-3</v>
      </c>
      <c r="AM16" s="277"/>
      <c r="AN16" s="21">
        <v>0.23157894736842111</v>
      </c>
      <c r="AO16" s="211"/>
    </row>
    <row r="17" spans="2:41" ht="13.9" customHeight="1">
      <c r="B17" s="20" t="s">
        <v>6</v>
      </c>
      <c r="C17" s="211"/>
      <c r="D17" s="211">
        <v>0.27638483965014582</v>
      </c>
      <c r="E17" s="22"/>
      <c r="F17" s="22"/>
      <c r="G17" s="22"/>
      <c r="H17" s="22"/>
      <c r="I17" s="211">
        <v>-0.12654179990863412</v>
      </c>
      <c r="J17" s="66">
        <v>-3.2188841201716722E-2</v>
      </c>
      <c r="K17" s="66">
        <v>-3.9748953974895418E-2</v>
      </c>
      <c r="L17" s="66">
        <v>-3.5343035343035289E-2</v>
      </c>
      <c r="M17" s="66">
        <v>-4.9281314168377777E-2</v>
      </c>
      <c r="N17" s="211">
        <v>-3.9225941422594168E-2</v>
      </c>
      <c r="O17" s="66">
        <v>5.5432372505543226E-2</v>
      </c>
      <c r="P17" s="66">
        <v>1.3071895424836555E-2</v>
      </c>
      <c r="Q17" s="66">
        <v>4.3103448275862988E-3</v>
      </c>
      <c r="R17" s="66">
        <v>4.1036717062634898E-2</v>
      </c>
      <c r="S17" s="211">
        <v>2.8307022318998287E-2</v>
      </c>
      <c r="T17" s="22">
        <v>-5.8823529411764719E-2</v>
      </c>
      <c r="U17" s="22">
        <v>-1.5053763440860179E-2</v>
      </c>
      <c r="V17" s="22">
        <v>4.2918454935623185E-3</v>
      </c>
      <c r="W17" s="22">
        <v>2.4896265560165887E-2</v>
      </c>
      <c r="X17" s="211">
        <v>-1.1116993118051921E-2</v>
      </c>
      <c r="Y17" s="22">
        <v>2.2321428571428603E-2</v>
      </c>
      <c r="Z17" s="22">
        <v>2.1834061135371119E-2</v>
      </c>
      <c r="AA17" s="22">
        <v>4.2735042735042583E-3</v>
      </c>
      <c r="AB17" s="22">
        <v>-4.6558704453441346E-2</v>
      </c>
      <c r="AC17" s="211">
        <v>-5.3533190578158862E-4</v>
      </c>
      <c r="AD17" s="22">
        <v>3.2751091703056678E-2</v>
      </c>
      <c r="AE17" s="22">
        <v>-1.2820512820512775E-2</v>
      </c>
      <c r="AF17" s="22">
        <v>-5.5319148936170182E-2</v>
      </c>
      <c r="AG17" s="22">
        <v>-1.2738853503184711E-2</v>
      </c>
      <c r="AH17" s="211">
        <v>-1.2319228709159025E-2</v>
      </c>
      <c r="AI17" s="22">
        <v>-3.5940803382663811E-2</v>
      </c>
      <c r="AJ17" s="22">
        <v>-0.17099567099567103</v>
      </c>
      <c r="AK17" s="139"/>
      <c r="AL17" s="22">
        <v>-0.14414414414414412</v>
      </c>
      <c r="AM17" s="278"/>
      <c r="AN17" s="22">
        <v>6.4516129032257119E-3</v>
      </c>
      <c r="AO17" s="211">
        <v>-8.5140997830802645E-2</v>
      </c>
    </row>
    <row r="18" spans="2:41" ht="13.9" customHeight="1">
      <c r="B18" s="12" t="s">
        <v>40</v>
      </c>
      <c r="C18" s="210">
        <v>2005</v>
      </c>
      <c r="D18" s="210">
        <v>1992</v>
      </c>
      <c r="E18" s="19">
        <v>492</v>
      </c>
      <c r="F18" s="19">
        <v>489</v>
      </c>
      <c r="G18" s="19">
        <v>474</v>
      </c>
      <c r="H18" s="19">
        <v>478</v>
      </c>
      <c r="I18" s="210">
        <v>1933</v>
      </c>
      <c r="J18" s="355">
        <v>479</v>
      </c>
      <c r="K18" s="355">
        <v>444</v>
      </c>
      <c r="L18" s="355">
        <v>474</v>
      </c>
      <c r="M18" s="355">
        <v>494</v>
      </c>
      <c r="N18" s="210">
        <v>1891</v>
      </c>
      <c r="O18" s="355">
        <v>480</v>
      </c>
      <c r="P18" s="355">
        <v>467</v>
      </c>
      <c r="Q18" s="355">
        <v>468</v>
      </c>
      <c r="R18" s="355">
        <v>467</v>
      </c>
      <c r="S18" s="210">
        <v>1882</v>
      </c>
      <c r="T18" s="19">
        <v>474</v>
      </c>
      <c r="U18" s="19">
        <v>467</v>
      </c>
      <c r="V18" s="19">
        <v>470</v>
      </c>
      <c r="W18" s="19">
        <v>461</v>
      </c>
      <c r="X18" s="210">
        <v>1872</v>
      </c>
      <c r="Y18" s="19">
        <v>491</v>
      </c>
      <c r="Z18" s="19">
        <v>473</v>
      </c>
      <c r="AA18" s="19">
        <v>478</v>
      </c>
      <c r="AB18" s="61">
        <v>480</v>
      </c>
      <c r="AC18" s="210">
        <v>1922</v>
      </c>
      <c r="AD18" s="19">
        <v>486</v>
      </c>
      <c r="AE18" s="19">
        <v>477</v>
      </c>
      <c r="AF18" s="19">
        <v>493</v>
      </c>
      <c r="AG18" s="61">
        <v>476</v>
      </c>
      <c r="AH18" s="210">
        <v>1932</v>
      </c>
      <c r="AI18" s="19">
        <v>496</v>
      </c>
      <c r="AJ18" s="19">
        <v>451</v>
      </c>
      <c r="AK18" s="137">
        <v>947</v>
      </c>
      <c r="AL18" s="19">
        <v>449</v>
      </c>
      <c r="AM18" s="276">
        <v>1396</v>
      </c>
      <c r="AN18" s="61">
        <v>463</v>
      </c>
      <c r="AO18" s="210">
        <v>1859</v>
      </c>
    </row>
    <row r="19" spans="2:41" ht="13.9" customHeight="1">
      <c r="B19" s="20" t="s">
        <v>5</v>
      </c>
      <c r="C19" s="211"/>
      <c r="D19" s="211"/>
      <c r="E19" s="21"/>
      <c r="F19" s="21">
        <v>-6.0975609756097615E-3</v>
      </c>
      <c r="G19" s="21">
        <v>-3.0674846625766916E-2</v>
      </c>
      <c r="H19" s="21">
        <v>8.4388185654007408E-3</v>
      </c>
      <c r="I19" s="211"/>
      <c r="J19" s="357">
        <v>2.0920502092049986E-3</v>
      </c>
      <c r="K19" s="357">
        <v>-7.3068893528183687E-2</v>
      </c>
      <c r="L19" s="357">
        <v>6.7567567567567544E-2</v>
      </c>
      <c r="M19" s="357">
        <v>4.2194092827004148E-2</v>
      </c>
      <c r="N19" s="211"/>
      <c r="O19" s="357">
        <v>-2.8340080971659964E-2</v>
      </c>
      <c r="P19" s="357">
        <v>-2.7083333333333348E-2</v>
      </c>
      <c r="Q19" s="357">
        <v>2.1413276231263545E-3</v>
      </c>
      <c r="R19" s="357">
        <v>-2.1367521367521292E-3</v>
      </c>
      <c r="S19" s="211"/>
      <c r="T19" s="21">
        <v>1.4989293361884259E-2</v>
      </c>
      <c r="U19" s="21">
        <v>-1.4767932489451518E-2</v>
      </c>
      <c r="V19" s="21">
        <v>6.4239828693790635E-3</v>
      </c>
      <c r="W19" s="21">
        <v>-1.9148936170212738E-2</v>
      </c>
      <c r="X19" s="211"/>
      <c r="Y19" s="21">
        <v>6.5075921908893664E-2</v>
      </c>
      <c r="Z19" s="21">
        <v>-3.6659877800407359E-2</v>
      </c>
      <c r="AA19" s="21">
        <v>1.0570824524312794E-2</v>
      </c>
      <c r="AB19" s="21">
        <v>4.1841004184099972E-3</v>
      </c>
      <c r="AC19" s="211"/>
      <c r="AD19" s="21">
        <v>1.2499999999999956E-2</v>
      </c>
      <c r="AE19" s="21">
        <v>-1.851851851851849E-2</v>
      </c>
      <c r="AF19" s="21">
        <v>3.3542976939203273E-2</v>
      </c>
      <c r="AG19" s="21">
        <v>-3.4482758620689613E-2</v>
      </c>
      <c r="AH19" s="211"/>
      <c r="AI19" s="21">
        <v>4.2016806722689148E-2</v>
      </c>
      <c r="AJ19" s="21">
        <v>-9.0725806451612878E-2</v>
      </c>
      <c r="AK19" s="138"/>
      <c r="AL19" s="21">
        <v>-4.4345898004434225E-3</v>
      </c>
      <c r="AM19" s="277"/>
      <c r="AN19" s="21">
        <v>3.1180400890868487E-2</v>
      </c>
      <c r="AO19" s="211"/>
    </row>
    <row r="20" spans="2:41" ht="13.9" customHeight="1">
      <c r="B20" s="20" t="s">
        <v>6</v>
      </c>
      <c r="C20" s="211"/>
      <c r="D20" s="211">
        <v>-6.4837905236907467E-3</v>
      </c>
      <c r="E20" s="22"/>
      <c r="F20" s="22"/>
      <c r="G20" s="22"/>
      <c r="H20" s="22"/>
      <c r="I20" s="211">
        <v>-2.9618473895582365E-2</v>
      </c>
      <c r="J20" s="66">
        <v>-2.6422764227642226E-2</v>
      </c>
      <c r="K20" s="66">
        <v>-9.2024539877300637E-2</v>
      </c>
      <c r="L20" s="66">
        <v>0</v>
      </c>
      <c r="M20" s="66">
        <v>3.3472803347280422E-2</v>
      </c>
      <c r="N20" s="211">
        <v>-2.1727884117951346E-2</v>
      </c>
      <c r="O20" s="66">
        <v>2.0876826722338038E-3</v>
      </c>
      <c r="P20" s="66">
        <v>5.1801801801801828E-2</v>
      </c>
      <c r="Q20" s="66">
        <v>-1.2658227848101222E-2</v>
      </c>
      <c r="R20" s="66">
        <v>-5.4655870445344146E-2</v>
      </c>
      <c r="S20" s="211">
        <v>-4.7593865679534941E-3</v>
      </c>
      <c r="T20" s="22">
        <v>-1.2499999999999956E-2</v>
      </c>
      <c r="U20" s="22">
        <v>0</v>
      </c>
      <c r="V20" s="22">
        <v>4.2735042735042583E-3</v>
      </c>
      <c r="W20" s="22">
        <v>-1.2847965738758016E-2</v>
      </c>
      <c r="X20" s="211">
        <v>-5.3134962805525543E-3</v>
      </c>
      <c r="Y20" s="22">
        <v>3.5864978902953482E-2</v>
      </c>
      <c r="Z20" s="22">
        <v>1.2847965738758127E-2</v>
      </c>
      <c r="AA20" s="22">
        <v>1.7021276595744705E-2</v>
      </c>
      <c r="AB20" s="22">
        <v>4.1214750542299283E-2</v>
      </c>
      <c r="AC20" s="211">
        <v>2.6709401709401615E-2</v>
      </c>
      <c r="AD20" s="22">
        <v>-1.0183299389002087E-2</v>
      </c>
      <c r="AE20" s="22">
        <v>8.4566596194504129E-3</v>
      </c>
      <c r="AF20" s="22">
        <v>3.1380753138075423E-2</v>
      </c>
      <c r="AG20" s="22">
        <v>-8.3333333333333037E-3</v>
      </c>
      <c r="AH20" s="211">
        <v>5.20291363163361E-3</v>
      </c>
      <c r="AI20" s="22">
        <v>2.0576131687242816E-2</v>
      </c>
      <c r="AJ20" s="22">
        <v>-5.4507337526205402E-2</v>
      </c>
      <c r="AK20" s="139"/>
      <c r="AL20" s="22">
        <v>-8.9249492900608574E-2</v>
      </c>
      <c r="AM20" s="278"/>
      <c r="AN20" s="22">
        <v>-2.7310924369747913E-2</v>
      </c>
      <c r="AO20" s="211">
        <v>-3.778467908902694E-2</v>
      </c>
    </row>
    <row r="21" spans="2:41" ht="13.9" customHeight="1">
      <c r="B21" s="12" t="s">
        <v>166</v>
      </c>
      <c r="C21" s="213">
        <v>-19</v>
      </c>
      <c r="D21" s="213">
        <v>634</v>
      </c>
      <c r="E21" s="19">
        <v>-25</v>
      </c>
      <c r="F21" s="61">
        <v>-414</v>
      </c>
      <c r="G21" s="61">
        <v>39</v>
      </c>
      <c r="H21" s="19">
        <v>179</v>
      </c>
      <c r="I21" s="213">
        <v>-221</v>
      </c>
      <c r="J21" s="61">
        <v>-3</v>
      </c>
      <c r="K21" s="61">
        <v>-19</v>
      </c>
      <c r="L21" s="61">
        <v>-7</v>
      </c>
      <c r="M21" s="61">
        <v>103</v>
      </c>
      <c r="N21" s="213">
        <v>74</v>
      </c>
      <c r="O21" s="61">
        <v>-152</v>
      </c>
      <c r="P21" s="61">
        <v>2</v>
      </c>
      <c r="Q21" s="61">
        <v>7</v>
      </c>
      <c r="R21" s="61">
        <v>66</v>
      </c>
      <c r="S21" s="213">
        <v>-77</v>
      </c>
      <c r="T21" s="19">
        <v>46</v>
      </c>
      <c r="U21" s="61">
        <v>3</v>
      </c>
      <c r="V21" s="61">
        <v>10</v>
      </c>
      <c r="W21" s="61">
        <v>161</v>
      </c>
      <c r="X21" s="213">
        <v>220</v>
      </c>
      <c r="Y21" s="19">
        <v>7</v>
      </c>
      <c r="Z21" s="19">
        <v>9</v>
      </c>
      <c r="AA21" s="61">
        <v>77</v>
      </c>
      <c r="AB21" s="61">
        <v>68</v>
      </c>
      <c r="AC21" s="213">
        <v>161</v>
      </c>
      <c r="AD21" s="19">
        <v>1</v>
      </c>
      <c r="AE21" s="62">
        <v>-4</v>
      </c>
      <c r="AF21" s="61">
        <v>29</v>
      </c>
      <c r="AG21" s="61">
        <v>173</v>
      </c>
      <c r="AH21" s="213">
        <v>199</v>
      </c>
      <c r="AI21" s="19">
        <v>13</v>
      </c>
      <c r="AJ21" s="62">
        <v>-8</v>
      </c>
      <c r="AK21" s="137">
        <v>5</v>
      </c>
      <c r="AL21" s="61">
        <v>39</v>
      </c>
      <c r="AM21" s="279">
        <v>44</v>
      </c>
      <c r="AN21" s="61">
        <v>235</v>
      </c>
      <c r="AO21" s="210">
        <v>279</v>
      </c>
    </row>
    <row r="22" spans="2:41" ht="13.9" customHeight="1">
      <c r="B22" s="12"/>
      <c r="C22" s="213"/>
      <c r="D22" s="213"/>
      <c r="E22" s="61"/>
      <c r="F22" s="61"/>
      <c r="G22" s="61"/>
      <c r="H22" s="61"/>
      <c r="I22" s="213"/>
      <c r="J22" s="61"/>
      <c r="K22" s="61"/>
      <c r="L22" s="61"/>
      <c r="M22" s="61"/>
      <c r="N22" s="213"/>
      <c r="O22" s="61"/>
      <c r="P22" s="61"/>
      <c r="Q22" s="61"/>
      <c r="R22" s="61"/>
      <c r="S22" s="213"/>
      <c r="T22" s="61"/>
      <c r="U22" s="61"/>
      <c r="V22" s="61"/>
      <c r="W22" s="61"/>
      <c r="X22" s="213"/>
      <c r="Y22" s="61"/>
      <c r="Z22" s="61"/>
      <c r="AA22" s="61"/>
      <c r="AB22" s="61"/>
      <c r="AC22" s="213"/>
      <c r="AD22" s="61"/>
      <c r="AE22" s="61"/>
      <c r="AF22" s="61"/>
      <c r="AG22" s="61"/>
      <c r="AH22" s="213"/>
      <c r="AI22" s="61"/>
      <c r="AJ22" s="61"/>
      <c r="AK22" s="138"/>
      <c r="AL22" s="61"/>
      <c r="AM22" s="277"/>
      <c r="AN22" s="61"/>
      <c r="AO22" s="213"/>
    </row>
    <row r="23" spans="2:41" ht="13.9" customHeight="1">
      <c r="B23" s="34" t="s">
        <v>227</v>
      </c>
      <c r="C23" s="213">
        <v>87</v>
      </c>
      <c r="D23" s="213">
        <v>1675</v>
      </c>
      <c r="E23" s="19">
        <v>0</v>
      </c>
      <c r="F23" s="19">
        <v>951</v>
      </c>
      <c r="G23" s="19">
        <v>0</v>
      </c>
      <c r="H23" s="19">
        <v>196</v>
      </c>
      <c r="I23" s="213">
        <v>1147</v>
      </c>
      <c r="J23" s="355">
        <v>0</v>
      </c>
      <c r="K23" s="355">
        <v>0</v>
      </c>
      <c r="L23" s="61">
        <v>268</v>
      </c>
      <c r="M23" s="355">
        <v>25</v>
      </c>
      <c r="N23" s="213">
        <v>293</v>
      </c>
      <c r="O23" s="355">
        <v>0</v>
      </c>
      <c r="P23" s="355">
        <v>0</v>
      </c>
      <c r="Q23" s="355">
        <v>0</v>
      </c>
      <c r="R23" s="355">
        <v>0</v>
      </c>
      <c r="S23" s="215">
        <v>0</v>
      </c>
      <c r="T23" s="19">
        <v>0</v>
      </c>
      <c r="U23" s="19">
        <v>0</v>
      </c>
      <c r="V23" s="19">
        <v>0</v>
      </c>
      <c r="W23" s="19">
        <v>0</v>
      </c>
      <c r="X23" s="215">
        <v>0</v>
      </c>
      <c r="Y23" s="19">
        <v>0</v>
      </c>
      <c r="Z23" s="19">
        <v>0</v>
      </c>
      <c r="AA23" s="19">
        <v>0</v>
      </c>
      <c r="AB23" s="19">
        <v>0</v>
      </c>
      <c r="AC23" s="215">
        <v>0</v>
      </c>
      <c r="AD23" s="19">
        <v>0</v>
      </c>
      <c r="AE23" s="19">
        <v>0</v>
      </c>
      <c r="AF23" s="19">
        <v>0</v>
      </c>
      <c r="AG23" s="19">
        <v>0</v>
      </c>
      <c r="AH23" s="215">
        <v>0</v>
      </c>
      <c r="AI23" s="19">
        <v>0</v>
      </c>
      <c r="AJ23" s="19">
        <v>0</v>
      </c>
      <c r="AK23" s="137">
        <v>0</v>
      </c>
      <c r="AL23" s="19">
        <v>0</v>
      </c>
      <c r="AM23" s="276">
        <v>0</v>
      </c>
      <c r="AN23" s="19">
        <v>0</v>
      </c>
      <c r="AO23" s="215">
        <v>0</v>
      </c>
    </row>
    <row r="24" spans="2:41" ht="5.0999999999999996" customHeight="1">
      <c r="B24" s="273"/>
      <c r="C24" s="274"/>
      <c r="D24" s="274"/>
      <c r="E24" s="274"/>
      <c r="F24" s="274"/>
      <c r="G24" s="275"/>
      <c r="H24" s="274"/>
      <c r="I24" s="274"/>
      <c r="J24" s="274"/>
      <c r="K24" s="275"/>
      <c r="L24" s="274"/>
      <c r="M24" s="274"/>
      <c r="N24" s="274"/>
      <c r="O24" s="274"/>
      <c r="P24" s="275"/>
      <c r="Q24" s="274"/>
      <c r="R24" s="274"/>
      <c r="S24" s="274"/>
      <c r="T24" s="274"/>
      <c r="U24" s="275"/>
      <c r="V24" s="274"/>
      <c r="W24" s="274"/>
      <c r="X24" s="274"/>
      <c r="Y24" s="274"/>
      <c r="Z24" s="275"/>
      <c r="AA24" s="274"/>
      <c r="AB24" s="274"/>
      <c r="AC24" s="274"/>
      <c r="AD24" s="274"/>
      <c r="AE24" s="275"/>
      <c r="AF24" s="274"/>
      <c r="AG24" s="274"/>
      <c r="AH24" s="274"/>
      <c r="AI24" s="274"/>
      <c r="AJ24" s="275"/>
      <c r="AK24" s="275"/>
      <c r="AL24" s="274"/>
      <c r="AM24" s="274"/>
      <c r="AN24" s="274"/>
      <c r="AO24" s="274"/>
    </row>
    <row r="25" spans="2:41" s="2" customFormat="1" ht="13.9" customHeight="1">
      <c r="B25" s="12" t="s">
        <v>164</v>
      </c>
      <c r="C25" s="210">
        <v>2098</v>
      </c>
      <c r="D25" s="213">
        <v>-582</v>
      </c>
      <c r="E25" s="61">
        <v>504</v>
      </c>
      <c r="F25" s="61">
        <v>-102</v>
      </c>
      <c r="G25" s="61">
        <v>440</v>
      </c>
      <c r="H25" s="355">
        <v>8</v>
      </c>
      <c r="I25" s="213">
        <v>850</v>
      </c>
      <c r="J25" s="61">
        <v>459</v>
      </c>
      <c r="K25" s="61">
        <v>511</v>
      </c>
      <c r="L25" s="61">
        <v>189</v>
      </c>
      <c r="M25" s="61">
        <v>296</v>
      </c>
      <c r="N25" s="213">
        <v>1455</v>
      </c>
      <c r="O25" s="61">
        <v>586</v>
      </c>
      <c r="P25" s="61">
        <v>469</v>
      </c>
      <c r="Q25" s="61">
        <v>459</v>
      </c>
      <c r="R25" s="61">
        <v>356</v>
      </c>
      <c r="S25" s="213">
        <v>1870</v>
      </c>
      <c r="T25" s="61">
        <v>460</v>
      </c>
      <c r="U25" s="61">
        <v>463</v>
      </c>
      <c r="V25" s="61">
        <v>466</v>
      </c>
      <c r="W25" s="61">
        <v>248</v>
      </c>
      <c r="X25" s="213">
        <v>1637</v>
      </c>
      <c r="Y25" s="61">
        <v>468</v>
      </c>
      <c r="Z25" s="19">
        <v>506</v>
      </c>
      <c r="AA25" s="25">
        <v>425</v>
      </c>
      <c r="AB25" s="61">
        <v>380</v>
      </c>
      <c r="AC25" s="213">
        <v>1779</v>
      </c>
      <c r="AD25" s="25">
        <v>439</v>
      </c>
      <c r="AE25" s="19">
        <v>445</v>
      </c>
      <c r="AF25" s="25">
        <v>436</v>
      </c>
      <c r="AG25" s="61">
        <v>332</v>
      </c>
      <c r="AH25" s="213">
        <v>1652</v>
      </c>
      <c r="AI25" s="25">
        <v>441</v>
      </c>
      <c r="AJ25" s="19">
        <v>631</v>
      </c>
      <c r="AK25" s="137">
        <v>1072</v>
      </c>
      <c r="AL25" s="25">
        <v>616</v>
      </c>
      <c r="AM25" s="276">
        <v>1688</v>
      </c>
      <c r="AN25" s="61">
        <v>329</v>
      </c>
      <c r="AO25" s="213">
        <v>2017</v>
      </c>
    </row>
    <row r="26" spans="2:41" ht="13.9" customHeight="1">
      <c r="B26" s="20" t="s">
        <v>5</v>
      </c>
      <c r="C26" s="211"/>
      <c r="D26" s="211"/>
      <c r="E26" s="359"/>
      <c r="F26" s="359" t="s">
        <v>23</v>
      </c>
      <c r="G26" s="359" t="s">
        <v>23</v>
      </c>
      <c r="H26" s="357">
        <v>-0.98181818181818181</v>
      </c>
      <c r="I26" s="211"/>
      <c r="J26" s="359" t="s">
        <v>23</v>
      </c>
      <c r="K26" s="357">
        <v>0.11328976034858385</v>
      </c>
      <c r="L26" s="357">
        <v>-0.63013698630136994</v>
      </c>
      <c r="M26" s="357">
        <v>0.56613756613756605</v>
      </c>
      <c r="N26" s="211"/>
      <c r="O26" s="357">
        <v>0.97972972972972983</v>
      </c>
      <c r="P26" s="357">
        <v>-0.19965870307167233</v>
      </c>
      <c r="Q26" s="357">
        <v>-2.1321961620469065E-2</v>
      </c>
      <c r="R26" s="357">
        <v>-0.22440087145969501</v>
      </c>
      <c r="S26" s="211"/>
      <c r="T26" s="21">
        <v>0.2921348314606742</v>
      </c>
      <c r="U26" s="21">
        <v>6.521739130434856E-3</v>
      </c>
      <c r="V26" s="21">
        <v>6.4794816414686096E-3</v>
      </c>
      <c r="W26" s="21">
        <v>-0.46781115879828328</v>
      </c>
      <c r="X26" s="211"/>
      <c r="Y26" s="21">
        <v>0.88709677419354849</v>
      </c>
      <c r="Z26" s="21">
        <v>8.119658119658113E-2</v>
      </c>
      <c r="AA26" s="21">
        <v>-0.16007905138339917</v>
      </c>
      <c r="AB26" s="21">
        <v>-0.10588235294117643</v>
      </c>
      <c r="AC26" s="211"/>
      <c r="AD26" s="21">
        <v>0.15526315789473677</v>
      </c>
      <c r="AE26" s="21">
        <v>1.3667425968109326E-2</v>
      </c>
      <c r="AF26" s="21">
        <v>-2.0224719101123556E-2</v>
      </c>
      <c r="AG26" s="21">
        <v>-0.23853211009174313</v>
      </c>
      <c r="AH26" s="211"/>
      <c r="AI26" s="21">
        <v>0.32831325301204828</v>
      </c>
      <c r="AJ26" s="21">
        <v>0.43083900226757366</v>
      </c>
      <c r="AK26" s="138"/>
      <c r="AL26" s="21">
        <v>-2.3771790808240878E-2</v>
      </c>
      <c r="AM26" s="277"/>
      <c r="AN26" s="21">
        <v>-0.46590909090909094</v>
      </c>
      <c r="AO26" s="211"/>
    </row>
    <row r="27" spans="2:41" ht="13.9" customHeight="1">
      <c r="B27" s="20" t="s">
        <v>6</v>
      </c>
      <c r="C27" s="211"/>
      <c r="D27" s="217" t="s">
        <v>23</v>
      </c>
      <c r="E27" s="66"/>
      <c r="F27" s="359"/>
      <c r="G27" s="66"/>
      <c r="H27" s="359"/>
      <c r="I27" s="217" t="s">
        <v>23</v>
      </c>
      <c r="J27" s="66">
        <v>-8.9285714285714302E-2</v>
      </c>
      <c r="K27" s="359" t="s">
        <v>23</v>
      </c>
      <c r="L27" s="66">
        <v>-0.57045454545454544</v>
      </c>
      <c r="M27" s="66">
        <v>36</v>
      </c>
      <c r="N27" s="211">
        <v>0.71176470588235285</v>
      </c>
      <c r="O27" s="66">
        <v>0.27668845315904145</v>
      </c>
      <c r="P27" s="66">
        <v>-8.2191780821917804E-2</v>
      </c>
      <c r="Q27" s="66">
        <v>1.4285714285714284</v>
      </c>
      <c r="R27" s="66">
        <v>0.20270270270270263</v>
      </c>
      <c r="S27" s="211">
        <v>0.2852233676975946</v>
      </c>
      <c r="T27" s="22">
        <v>-0.21501706484641636</v>
      </c>
      <c r="U27" s="22">
        <v>-1.2793176972281439E-2</v>
      </c>
      <c r="V27" s="22">
        <v>1.5250544662309462E-2</v>
      </c>
      <c r="W27" s="22">
        <v>-0.3033707865168539</v>
      </c>
      <c r="X27" s="211">
        <v>-0.12459893048128345</v>
      </c>
      <c r="Y27" s="22">
        <v>1.7391304347825987E-2</v>
      </c>
      <c r="Z27" s="22">
        <v>9.2872570194384441E-2</v>
      </c>
      <c r="AA27" s="22">
        <v>-8.7982832618025753E-2</v>
      </c>
      <c r="AB27" s="22">
        <v>0.532258064516129</v>
      </c>
      <c r="AC27" s="211">
        <v>8.674404398289548E-2</v>
      </c>
      <c r="AD27" s="22">
        <v>-6.1965811965811968E-2</v>
      </c>
      <c r="AE27" s="22">
        <v>-0.12055335968379444</v>
      </c>
      <c r="AF27" s="22">
        <v>2.5882352941176467E-2</v>
      </c>
      <c r="AG27" s="22">
        <v>-0.12631578947368416</v>
      </c>
      <c r="AH27" s="211">
        <v>-7.1388420460933077E-2</v>
      </c>
      <c r="AI27" s="22">
        <v>4.5558086560364419E-3</v>
      </c>
      <c r="AJ27" s="22">
        <v>0.41797752808988764</v>
      </c>
      <c r="AK27" s="139"/>
      <c r="AL27" s="22">
        <v>0.41284403669724767</v>
      </c>
      <c r="AM27" s="278"/>
      <c r="AN27" s="22">
        <v>-9.0361445783132543E-3</v>
      </c>
      <c r="AO27" s="211">
        <v>0.22094430992736069</v>
      </c>
    </row>
    <row r="28" spans="2:41" s="2" customFormat="1" ht="13.9" customHeight="1">
      <c r="B28" s="12" t="s">
        <v>7</v>
      </c>
      <c r="C28" s="210">
        <v>3813</v>
      </c>
      <c r="D28" s="210">
        <v>1607</v>
      </c>
      <c r="E28" s="106">
        <v>970</v>
      </c>
      <c r="F28" s="106">
        <v>376</v>
      </c>
      <c r="G28" s="106">
        <v>921</v>
      </c>
      <c r="H28" s="355">
        <v>495</v>
      </c>
      <c r="I28" s="210">
        <v>2762</v>
      </c>
      <c r="J28" s="106">
        <v>910</v>
      </c>
      <c r="K28" s="106">
        <v>970</v>
      </c>
      <c r="L28" s="106">
        <v>653</v>
      </c>
      <c r="M28" s="61">
        <v>759</v>
      </c>
      <c r="N28" s="213">
        <v>3292</v>
      </c>
      <c r="O28" s="106">
        <v>1062</v>
      </c>
      <c r="P28" s="106">
        <v>934</v>
      </c>
      <c r="Q28" s="106">
        <v>925</v>
      </c>
      <c r="R28" s="61">
        <v>838</v>
      </c>
      <c r="S28" s="213">
        <v>3759</v>
      </c>
      <c r="T28" s="25">
        <v>908</v>
      </c>
      <c r="U28" s="25">
        <v>921</v>
      </c>
      <c r="V28" s="25">
        <v>934</v>
      </c>
      <c r="W28" s="61">
        <v>742</v>
      </c>
      <c r="X28" s="213">
        <v>3505</v>
      </c>
      <c r="Y28" s="25">
        <v>926</v>
      </c>
      <c r="Z28" s="19">
        <v>974</v>
      </c>
      <c r="AA28" s="25">
        <v>895</v>
      </c>
      <c r="AB28" s="61">
        <v>851</v>
      </c>
      <c r="AC28" s="213">
        <v>3646</v>
      </c>
      <c r="AD28" s="25">
        <v>912</v>
      </c>
      <c r="AE28" s="19">
        <v>907</v>
      </c>
      <c r="AF28" s="25">
        <v>880</v>
      </c>
      <c r="AG28" s="61">
        <v>797</v>
      </c>
      <c r="AH28" s="213">
        <v>3496</v>
      </c>
      <c r="AI28" s="25">
        <v>897</v>
      </c>
      <c r="AJ28" s="19">
        <v>1014</v>
      </c>
      <c r="AK28" s="137">
        <v>1911</v>
      </c>
      <c r="AL28" s="25">
        <v>996</v>
      </c>
      <c r="AM28" s="276">
        <v>2907</v>
      </c>
      <c r="AN28" s="61">
        <v>797</v>
      </c>
      <c r="AO28" s="213">
        <v>3704</v>
      </c>
    </row>
    <row r="29" spans="2:41" ht="13.9" customHeight="1">
      <c r="B29" s="20" t="s">
        <v>5</v>
      </c>
      <c r="C29" s="211"/>
      <c r="D29" s="211"/>
      <c r="E29" s="359"/>
      <c r="F29" s="357">
        <v>-0.6123711340206186</v>
      </c>
      <c r="G29" s="357">
        <v>1.4494680851063828</v>
      </c>
      <c r="H29" s="357">
        <v>-0.46254071661237783</v>
      </c>
      <c r="I29" s="211"/>
      <c r="J29" s="357">
        <v>0.83838383838383845</v>
      </c>
      <c r="K29" s="357">
        <v>6.5934065934065922E-2</v>
      </c>
      <c r="L29" s="357">
        <v>-0.32680412371134016</v>
      </c>
      <c r="M29" s="357">
        <v>0.16232771822358338</v>
      </c>
      <c r="N29" s="211"/>
      <c r="O29" s="357">
        <v>0.39920948616600782</v>
      </c>
      <c r="P29" s="357">
        <v>-0.12052730696798497</v>
      </c>
      <c r="Q29" s="357">
        <v>-9.6359743040684842E-3</v>
      </c>
      <c r="R29" s="357">
        <v>-9.4054054054054093E-2</v>
      </c>
      <c r="S29" s="211"/>
      <c r="T29" s="21">
        <v>8.3532219570405797E-2</v>
      </c>
      <c r="U29" s="21">
        <v>1.4317180616740144E-2</v>
      </c>
      <c r="V29" s="21">
        <v>1.4115092290988063E-2</v>
      </c>
      <c r="W29" s="21">
        <v>-0.20556745182012848</v>
      </c>
      <c r="X29" s="211"/>
      <c r="Y29" s="21">
        <v>0.24797843665768204</v>
      </c>
      <c r="Z29" s="21">
        <v>5.1835853131749543E-2</v>
      </c>
      <c r="AA29" s="21">
        <v>-8.110882956878851E-2</v>
      </c>
      <c r="AB29" s="21">
        <v>-4.9162011173184306E-2</v>
      </c>
      <c r="AC29" s="211"/>
      <c r="AD29" s="21">
        <v>7.1680376028202097E-2</v>
      </c>
      <c r="AE29" s="21">
        <v>-5.482456140350922E-3</v>
      </c>
      <c r="AF29" s="21">
        <v>-2.9768467475192906E-2</v>
      </c>
      <c r="AG29" s="21">
        <v>-9.4318181818181857E-2</v>
      </c>
      <c r="AH29" s="211"/>
      <c r="AI29" s="21">
        <v>0.12547051442910906</v>
      </c>
      <c r="AJ29" s="21">
        <v>0.13043478260869557</v>
      </c>
      <c r="AK29" s="138"/>
      <c r="AL29" s="21">
        <v>-1.7751479289940808E-2</v>
      </c>
      <c r="AM29" s="277"/>
      <c r="AN29" s="21">
        <v>-0.19979919678714864</v>
      </c>
      <c r="AO29" s="211"/>
    </row>
    <row r="30" spans="2:41" ht="13.9" customHeight="1">
      <c r="B30" s="20" t="s">
        <v>6</v>
      </c>
      <c r="C30" s="211"/>
      <c r="D30" s="211">
        <v>-0.57854707579333864</v>
      </c>
      <c r="E30" s="66"/>
      <c r="F30" s="66"/>
      <c r="G30" s="66"/>
      <c r="H30" s="359"/>
      <c r="I30" s="211">
        <v>0.71873055382700679</v>
      </c>
      <c r="J30" s="66">
        <v>-6.1855670103092786E-2</v>
      </c>
      <c r="K30" s="66">
        <v>1.5797872340425534</v>
      </c>
      <c r="L30" s="66">
        <v>-0.29098805646036918</v>
      </c>
      <c r="M30" s="66">
        <v>0.53333333333333344</v>
      </c>
      <c r="N30" s="211">
        <v>0.19188993482983352</v>
      </c>
      <c r="O30" s="66">
        <v>0.16703296703296711</v>
      </c>
      <c r="P30" s="66">
        <v>-3.7113402061855649E-2</v>
      </c>
      <c r="Q30" s="66">
        <v>0.41653905053598783</v>
      </c>
      <c r="R30" s="66">
        <v>0.10408432147562574</v>
      </c>
      <c r="S30" s="211">
        <v>0.14185905224787354</v>
      </c>
      <c r="T30" s="22">
        <v>-0.14500941619585683</v>
      </c>
      <c r="U30" s="22">
        <v>-1.3918629550321193E-2</v>
      </c>
      <c r="V30" s="22">
        <v>9.7297297297296303E-3</v>
      </c>
      <c r="W30" s="22">
        <v>-0.11455847255369933</v>
      </c>
      <c r="X30" s="211">
        <v>-6.757116254322959E-2</v>
      </c>
      <c r="Y30" s="22">
        <v>1.982378854625555E-2</v>
      </c>
      <c r="Z30" s="22">
        <v>5.7546145494028256E-2</v>
      </c>
      <c r="AA30" s="22">
        <v>-4.175588865096358E-2</v>
      </c>
      <c r="AB30" s="22">
        <v>0.14690026954177893</v>
      </c>
      <c r="AC30" s="211">
        <v>4.0228245363766124E-2</v>
      </c>
      <c r="AD30" s="22">
        <v>-1.5118790496760237E-2</v>
      </c>
      <c r="AE30" s="22">
        <v>-6.8788501026694093E-2</v>
      </c>
      <c r="AF30" s="22">
        <v>-1.6759776536312887E-2</v>
      </c>
      <c r="AG30" s="22">
        <v>-6.345475910693299E-2</v>
      </c>
      <c r="AH30" s="211">
        <v>-4.1140976412506802E-2</v>
      </c>
      <c r="AI30" s="22">
        <v>-1.6447368421052655E-2</v>
      </c>
      <c r="AJ30" s="22">
        <v>0.11797133406835725</v>
      </c>
      <c r="AK30" s="139"/>
      <c r="AL30" s="22">
        <v>0.13181818181818183</v>
      </c>
      <c r="AM30" s="278"/>
      <c r="AN30" s="22">
        <v>0</v>
      </c>
      <c r="AO30" s="211">
        <v>5.9496567505720854E-2</v>
      </c>
    </row>
    <row r="31" spans="2:41" ht="13.9" customHeight="1">
      <c r="B31" s="34" t="s">
        <v>237</v>
      </c>
      <c r="C31" s="213">
        <v>3881</v>
      </c>
      <c r="D31" s="213">
        <v>3916</v>
      </c>
      <c r="E31" s="106">
        <v>945</v>
      </c>
      <c r="F31" s="106">
        <v>913</v>
      </c>
      <c r="G31" s="106">
        <v>960</v>
      </c>
      <c r="H31" s="106">
        <v>870</v>
      </c>
      <c r="I31" s="213">
        <v>3688</v>
      </c>
      <c r="J31" s="106">
        <v>907</v>
      </c>
      <c r="K31" s="106">
        <v>951</v>
      </c>
      <c r="L31" s="106">
        <v>914</v>
      </c>
      <c r="M31" s="61">
        <v>887</v>
      </c>
      <c r="N31" s="213">
        <v>3659</v>
      </c>
      <c r="O31" s="106">
        <v>918</v>
      </c>
      <c r="P31" s="106">
        <v>944</v>
      </c>
      <c r="Q31" s="106">
        <v>938</v>
      </c>
      <c r="R31" s="61">
        <v>909</v>
      </c>
      <c r="S31" s="213">
        <v>3709</v>
      </c>
      <c r="T31" s="25">
        <v>958</v>
      </c>
      <c r="U31" s="25">
        <v>924</v>
      </c>
      <c r="V31" s="25">
        <v>947</v>
      </c>
      <c r="W31" s="61">
        <v>907</v>
      </c>
      <c r="X31" s="213">
        <v>3736</v>
      </c>
      <c r="Y31" s="25">
        <v>936</v>
      </c>
      <c r="Z31" s="19">
        <v>987</v>
      </c>
      <c r="AA31" s="25">
        <v>974</v>
      </c>
      <c r="AB31" s="61">
        <v>920</v>
      </c>
      <c r="AC31" s="213">
        <v>3817</v>
      </c>
      <c r="AD31" s="25">
        <v>917</v>
      </c>
      <c r="AE31" s="19">
        <v>910</v>
      </c>
      <c r="AF31" s="25">
        <v>915</v>
      </c>
      <c r="AG31" s="61">
        <v>974</v>
      </c>
      <c r="AH31" s="213">
        <v>3716</v>
      </c>
      <c r="AI31" s="25">
        <v>914</v>
      </c>
      <c r="AJ31" s="19">
        <v>1013</v>
      </c>
      <c r="AK31" s="137">
        <v>1927</v>
      </c>
      <c r="AL31" s="25">
        <v>1041</v>
      </c>
      <c r="AM31" s="276">
        <v>2968</v>
      </c>
      <c r="AN31" s="61">
        <v>1037</v>
      </c>
      <c r="AO31" s="213">
        <v>4005</v>
      </c>
    </row>
    <row r="32" spans="2:41" ht="13.9" customHeight="1">
      <c r="B32" s="20" t="s">
        <v>5</v>
      </c>
      <c r="C32" s="211"/>
      <c r="D32" s="211"/>
      <c r="E32" s="357"/>
      <c r="F32" s="357">
        <v>-3.3862433862433816E-2</v>
      </c>
      <c r="G32" s="357">
        <v>5.1478641840087658E-2</v>
      </c>
      <c r="H32" s="357">
        <v>-9.375E-2</v>
      </c>
      <c r="I32" s="211"/>
      <c r="J32" s="357">
        <v>4.2528735632183956E-2</v>
      </c>
      <c r="K32" s="357">
        <v>4.8511576626240283E-2</v>
      </c>
      <c r="L32" s="357">
        <v>-3.8906414300736047E-2</v>
      </c>
      <c r="M32" s="357">
        <v>-2.9540481400437635E-2</v>
      </c>
      <c r="N32" s="211"/>
      <c r="O32" s="357">
        <v>3.4949267192784683E-2</v>
      </c>
      <c r="P32" s="357">
        <v>2.8322440087146017E-2</v>
      </c>
      <c r="Q32" s="357">
        <v>-6.3559322033898136E-3</v>
      </c>
      <c r="R32" s="357">
        <v>-3.0916844349680117E-2</v>
      </c>
      <c r="S32" s="211"/>
      <c r="T32" s="21">
        <v>5.3905390539053855E-2</v>
      </c>
      <c r="U32" s="21">
        <v>-3.5490605427974997E-2</v>
      </c>
      <c r="V32" s="21">
        <v>2.4891774891774965E-2</v>
      </c>
      <c r="W32" s="21">
        <v>-4.2238648363252418E-2</v>
      </c>
      <c r="X32" s="211"/>
      <c r="Y32" s="21">
        <v>3.1973539140021989E-2</v>
      </c>
      <c r="Z32" s="21">
        <v>5.4487179487179516E-2</v>
      </c>
      <c r="AA32" s="21">
        <v>-1.317122593718334E-2</v>
      </c>
      <c r="AB32" s="21">
        <v>-5.544147843942504E-2</v>
      </c>
      <c r="AC32" s="211"/>
      <c r="AD32" s="21">
        <v>-3.260869565217428E-3</v>
      </c>
      <c r="AE32" s="21">
        <v>-7.6335877862595547E-3</v>
      </c>
      <c r="AF32" s="21">
        <v>5.494505494505475E-3</v>
      </c>
      <c r="AG32" s="21">
        <v>6.4480874316939829E-2</v>
      </c>
      <c r="AH32" s="211"/>
      <c r="AI32" s="21">
        <v>-6.1601642710472304E-2</v>
      </c>
      <c r="AJ32" s="21">
        <v>0.10831509846827125</v>
      </c>
      <c r="AK32" s="138"/>
      <c r="AL32" s="21">
        <v>2.7640671273445161E-2</v>
      </c>
      <c r="AM32" s="277"/>
      <c r="AN32" s="21">
        <v>-3.842459173871271E-3</v>
      </c>
      <c r="AO32" s="211"/>
    </row>
    <row r="33" spans="2:41" ht="13.9" customHeight="1">
      <c r="B33" s="20" t="s">
        <v>6</v>
      </c>
      <c r="C33" s="211"/>
      <c r="D33" s="211">
        <v>9.0182942540582012E-3</v>
      </c>
      <c r="E33" s="66"/>
      <c r="F33" s="66"/>
      <c r="G33" s="66"/>
      <c r="H33" s="66"/>
      <c r="I33" s="211">
        <v>-5.8222676200204271E-2</v>
      </c>
      <c r="J33" s="66">
        <v>-4.0211640211640254E-2</v>
      </c>
      <c r="K33" s="66">
        <v>4.1621029572836754E-2</v>
      </c>
      <c r="L33" s="66">
        <v>-4.7916666666666718E-2</v>
      </c>
      <c r="M33" s="66">
        <v>1.9540229885057547E-2</v>
      </c>
      <c r="N33" s="211">
        <v>-7.8633405639912946E-3</v>
      </c>
      <c r="O33" s="66">
        <v>1.2127894156560126E-2</v>
      </c>
      <c r="P33" s="66">
        <v>-7.3606729758148859E-3</v>
      </c>
      <c r="Q33" s="66">
        <v>2.6258205689277947E-2</v>
      </c>
      <c r="R33" s="66">
        <v>2.4802705749718212E-2</v>
      </c>
      <c r="S33" s="211">
        <v>1.3664935774801767E-2</v>
      </c>
      <c r="T33" s="22">
        <v>4.3572984749455257E-2</v>
      </c>
      <c r="U33" s="22">
        <v>-2.1186440677966156E-2</v>
      </c>
      <c r="V33" s="22">
        <v>9.5948827292111627E-3</v>
      </c>
      <c r="W33" s="22">
        <v>-2.2002200220021528E-3</v>
      </c>
      <c r="X33" s="211">
        <v>7.2795901860340795E-3</v>
      </c>
      <c r="Y33" s="22">
        <v>-2.2964509394572064E-2</v>
      </c>
      <c r="Z33" s="22">
        <v>6.8181818181818121E-2</v>
      </c>
      <c r="AA33" s="22">
        <v>2.8511087645195277E-2</v>
      </c>
      <c r="AB33" s="22">
        <v>1.4332965821389099E-2</v>
      </c>
      <c r="AC33" s="211">
        <v>2.1680942184154173E-2</v>
      </c>
      <c r="AD33" s="22">
        <v>-2.0299145299145338E-2</v>
      </c>
      <c r="AE33" s="22">
        <v>-7.8014184397163122E-2</v>
      </c>
      <c r="AF33" s="22">
        <v>-6.0574948665297779E-2</v>
      </c>
      <c r="AG33" s="22">
        <v>5.8695652173913038E-2</v>
      </c>
      <c r="AH33" s="211">
        <v>-2.6460571129159005E-2</v>
      </c>
      <c r="AI33" s="22">
        <v>-3.2715376226826187E-3</v>
      </c>
      <c r="AJ33" s="22">
        <v>0.11318681318681323</v>
      </c>
      <c r="AK33" s="139"/>
      <c r="AL33" s="22">
        <v>0.13770491803278695</v>
      </c>
      <c r="AM33" s="278"/>
      <c r="AN33" s="22">
        <v>6.468172484599588E-2</v>
      </c>
      <c r="AO33" s="211">
        <v>7.777179763186215E-2</v>
      </c>
    </row>
    <row r="34" spans="2:41" ht="13.9" customHeight="1">
      <c r="B34" s="20"/>
      <c r="C34" s="211"/>
      <c r="D34" s="211"/>
      <c r="E34" s="66"/>
      <c r="F34" s="66"/>
      <c r="G34" s="66"/>
      <c r="H34" s="66"/>
      <c r="I34" s="211"/>
      <c r="J34" s="66"/>
      <c r="K34" s="66"/>
      <c r="L34" s="66"/>
      <c r="M34" s="66"/>
      <c r="N34" s="211"/>
      <c r="O34" s="66"/>
      <c r="P34" s="66"/>
      <c r="Q34" s="66"/>
      <c r="R34" s="66"/>
      <c r="S34" s="211"/>
      <c r="T34" s="22"/>
      <c r="U34" s="22"/>
      <c r="V34" s="22"/>
      <c r="W34" s="22"/>
      <c r="X34" s="211"/>
      <c r="Y34" s="22"/>
      <c r="Z34" s="22"/>
      <c r="AA34" s="22"/>
      <c r="AB34" s="22"/>
      <c r="AC34" s="211"/>
      <c r="AD34" s="22"/>
      <c r="AE34" s="22"/>
      <c r="AF34" s="22"/>
      <c r="AG34" s="22"/>
      <c r="AH34" s="211"/>
      <c r="AI34" s="22"/>
      <c r="AJ34" s="22"/>
      <c r="AK34" s="139"/>
      <c r="AL34" s="22"/>
      <c r="AM34" s="278"/>
      <c r="AN34" s="22"/>
      <c r="AO34" s="211"/>
    </row>
    <row r="35" spans="2:41" ht="13.9" customHeight="1">
      <c r="B35" s="34" t="s">
        <v>530</v>
      </c>
      <c r="C35" s="211"/>
      <c r="D35" s="211"/>
      <c r="E35" s="66"/>
      <c r="F35" s="66"/>
      <c r="G35" s="66"/>
      <c r="H35" s="66"/>
      <c r="I35" s="211"/>
      <c r="J35" s="66"/>
      <c r="K35" s="66"/>
      <c r="L35" s="66"/>
      <c r="M35" s="66"/>
      <c r="N35" s="211"/>
      <c r="O35" s="66"/>
      <c r="P35" s="66"/>
      <c r="Q35" s="66"/>
      <c r="R35" s="66"/>
      <c r="S35" s="211"/>
      <c r="T35" s="22"/>
      <c r="U35" s="22"/>
      <c r="V35" s="22"/>
      <c r="W35" s="22"/>
      <c r="X35" s="211"/>
      <c r="Y35" s="22"/>
      <c r="Z35" s="22"/>
      <c r="AA35" s="22"/>
      <c r="AB35" s="22"/>
      <c r="AC35" s="213">
        <v>3799</v>
      </c>
      <c r="AD35" s="25">
        <v>920</v>
      </c>
      <c r="AE35" s="19">
        <v>912</v>
      </c>
      <c r="AF35" s="25">
        <v>907</v>
      </c>
      <c r="AG35" s="61">
        <v>944</v>
      </c>
      <c r="AH35" s="213">
        <v>3683</v>
      </c>
      <c r="AI35" s="25">
        <v>917</v>
      </c>
      <c r="AJ35" s="19">
        <v>921</v>
      </c>
      <c r="AK35" s="137"/>
      <c r="AL35" s="25">
        <v>939</v>
      </c>
      <c r="AM35" s="276"/>
      <c r="AN35" s="61">
        <v>963</v>
      </c>
      <c r="AO35" s="213">
        <v>3740</v>
      </c>
    </row>
    <row r="36" spans="2:41" ht="13.9" customHeight="1">
      <c r="B36" s="20" t="s">
        <v>5</v>
      </c>
      <c r="C36" s="211"/>
      <c r="D36" s="211"/>
      <c r="E36" s="66"/>
      <c r="F36" s="66"/>
      <c r="G36" s="66"/>
      <c r="H36" s="66"/>
      <c r="I36" s="211"/>
      <c r="J36" s="66"/>
      <c r="K36" s="66"/>
      <c r="L36" s="66"/>
      <c r="M36" s="66"/>
      <c r="N36" s="211"/>
      <c r="O36" s="66"/>
      <c r="P36" s="66"/>
      <c r="Q36" s="66"/>
      <c r="R36" s="66"/>
      <c r="S36" s="211"/>
      <c r="T36" s="22"/>
      <c r="U36" s="22"/>
      <c r="V36" s="22"/>
      <c r="W36" s="22"/>
      <c r="X36" s="211"/>
      <c r="Y36" s="22"/>
      <c r="Z36" s="22"/>
      <c r="AA36" s="22"/>
      <c r="AB36" s="22"/>
      <c r="AC36" s="211"/>
      <c r="AD36" s="21"/>
      <c r="AE36" s="21">
        <v>-8.6956521739129933E-3</v>
      </c>
      <c r="AF36" s="21">
        <v>-5.482456140350922E-3</v>
      </c>
      <c r="AG36" s="21">
        <v>4.0793825799338546E-2</v>
      </c>
      <c r="AH36" s="211"/>
      <c r="AI36" s="21">
        <v>-2.8601694915254217E-2</v>
      </c>
      <c r="AJ36" s="21">
        <v>4.362050163576825E-3</v>
      </c>
      <c r="AK36" s="138"/>
      <c r="AL36" s="21">
        <v>1.9543973941368087E-2</v>
      </c>
      <c r="AM36" s="278"/>
      <c r="AN36" s="22">
        <v>2.5559105431310014E-2</v>
      </c>
      <c r="AO36" s="211"/>
    </row>
    <row r="37" spans="2:41" ht="13.9" customHeight="1">
      <c r="B37" s="20" t="s">
        <v>6</v>
      </c>
      <c r="C37" s="211"/>
      <c r="D37" s="211"/>
      <c r="E37" s="66"/>
      <c r="F37" s="66"/>
      <c r="G37" s="66"/>
      <c r="H37" s="66"/>
      <c r="I37" s="211"/>
      <c r="J37" s="66"/>
      <c r="K37" s="66"/>
      <c r="L37" s="66"/>
      <c r="M37" s="66"/>
      <c r="N37" s="211"/>
      <c r="O37" s="66"/>
      <c r="P37" s="66"/>
      <c r="Q37" s="66"/>
      <c r="R37" s="66"/>
      <c r="S37" s="211"/>
      <c r="T37" s="22"/>
      <c r="U37" s="22"/>
      <c r="V37" s="22"/>
      <c r="W37" s="22"/>
      <c r="X37" s="211"/>
      <c r="Y37" s="22"/>
      <c r="Z37" s="22"/>
      <c r="AA37" s="22"/>
      <c r="AB37" s="22"/>
      <c r="AC37" s="211"/>
      <c r="AD37" s="22"/>
      <c r="AE37" s="22"/>
      <c r="AF37" s="22"/>
      <c r="AG37" s="22"/>
      <c r="AH37" s="211">
        <v>-3.0534351145038219E-2</v>
      </c>
      <c r="AI37" s="22">
        <v>-3.260869565217428E-3</v>
      </c>
      <c r="AJ37" s="22">
        <v>9.8684210526316374E-3</v>
      </c>
      <c r="AK37" s="139"/>
      <c r="AL37" s="22">
        <v>3.5281146637265781E-2</v>
      </c>
      <c r="AM37" s="278"/>
      <c r="AN37" s="22">
        <v>2.0127118644067687E-2</v>
      </c>
      <c r="AO37" s="211">
        <v>1.5476513711648154E-2</v>
      </c>
    </row>
    <row r="38" spans="2:41" ht="13.9" customHeight="1">
      <c r="B38" s="34" t="s">
        <v>531</v>
      </c>
      <c r="C38" s="211"/>
      <c r="D38" s="211"/>
      <c r="E38" s="66"/>
      <c r="F38" s="66"/>
      <c r="G38" s="66"/>
      <c r="H38" s="66"/>
      <c r="I38" s="211"/>
      <c r="J38" s="66"/>
      <c r="K38" s="66"/>
      <c r="L38" s="66"/>
      <c r="M38" s="66"/>
      <c r="N38" s="211"/>
      <c r="O38" s="66"/>
      <c r="P38" s="66"/>
      <c r="Q38" s="66"/>
      <c r="R38" s="66"/>
      <c r="S38" s="211"/>
      <c r="T38" s="22"/>
      <c r="U38" s="22"/>
      <c r="V38" s="22"/>
      <c r="W38" s="22"/>
      <c r="X38" s="211"/>
      <c r="Y38" s="22"/>
      <c r="Z38" s="22"/>
      <c r="AA38" s="22"/>
      <c r="AB38" s="22"/>
      <c r="AC38" s="219">
        <v>0.41733494452378339</v>
      </c>
      <c r="AD38" s="155">
        <v>0.4079822616407982</v>
      </c>
      <c r="AE38" s="155">
        <v>0.41605839416058393</v>
      </c>
      <c r="AF38" s="155">
        <v>0.40599820948970455</v>
      </c>
      <c r="AG38" s="155">
        <v>0.42850658193372676</v>
      </c>
      <c r="AH38" s="219">
        <v>0.41456551103106709</v>
      </c>
      <c r="AI38" s="155">
        <v>0.41029082774049219</v>
      </c>
      <c r="AJ38" s="155">
        <v>0.4311797752808989</v>
      </c>
      <c r="AK38" s="155"/>
      <c r="AL38" s="155">
        <v>0.43776223776223777</v>
      </c>
      <c r="AM38" s="155"/>
      <c r="AN38" s="155">
        <v>0.44053064958828914</v>
      </c>
      <c r="AO38" s="219">
        <v>0.42978625603309584</v>
      </c>
    </row>
    <row r="39" spans="2:41" ht="13.9" customHeight="1">
      <c r="B39" s="34" t="s">
        <v>272</v>
      </c>
      <c r="C39" s="219">
        <v>0.39646542036980281</v>
      </c>
      <c r="D39" s="219">
        <v>0.42012659585881346</v>
      </c>
      <c r="E39" s="164">
        <v>0.41888297872340424</v>
      </c>
      <c r="F39" s="164">
        <v>0.41052158273381295</v>
      </c>
      <c r="G39" s="164">
        <v>0.42723631508678239</v>
      </c>
      <c r="H39" s="164">
        <v>0.39509536784741145</v>
      </c>
      <c r="I39" s="219">
        <v>0.41303617426363537</v>
      </c>
      <c r="J39" s="164">
        <v>0.4147233653406493</v>
      </c>
      <c r="K39" s="164">
        <v>0.44129930394431555</v>
      </c>
      <c r="L39" s="164">
        <v>0.41965105601469238</v>
      </c>
      <c r="M39" s="164">
        <v>0.40263277349069448</v>
      </c>
      <c r="N39" s="219">
        <v>0.41946578012151781</v>
      </c>
      <c r="O39" s="164">
        <v>0.41332733003151734</v>
      </c>
      <c r="P39" s="164">
        <v>0.42909090909090908</v>
      </c>
      <c r="Q39" s="164">
        <v>0.43790849673202614</v>
      </c>
      <c r="R39" s="164">
        <v>0.40256864481842336</v>
      </c>
      <c r="S39" s="219">
        <v>0.42047386917583041</v>
      </c>
      <c r="T39" s="155">
        <v>0.42483370288248334</v>
      </c>
      <c r="U39" s="155">
        <v>0.41528089887640451</v>
      </c>
      <c r="V39" s="155">
        <v>0.4186560565870911</v>
      </c>
      <c r="W39" s="155">
        <v>0.40418894830659535</v>
      </c>
      <c r="X39" s="219">
        <v>0.41575784553750278</v>
      </c>
      <c r="Y39" s="155">
        <v>0.40554592720970539</v>
      </c>
      <c r="Z39" s="155">
        <v>0.42931709438886473</v>
      </c>
      <c r="AA39" s="155">
        <v>0.43002207505518764</v>
      </c>
      <c r="AB39" s="155">
        <v>0.41237113402061853</v>
      </c>
      <c r="AC39" s="219">
        <v>0.41931231462155333</v>
      </c>
      <c r="AD39" s="155">
        <v>0.40665188470066521</v>
      </c>
      <c r="AE39" s="155">
        <v>0.41514598540145986</v>
      </c>
      <c r="AF39" s="155">
        <v>0.40957923008057295</v>
      </c>
      <c r="AG39" s="155">
        <v>0.44212437585111214</v>
      </c>
      <c r="AH39" s="219">
        <v>0.41828005402971635</v>
      </c>
      <c r="AI39" s="155">
        <v>0.40894854586129753</v>
      </c>
      <c r="AJ39" s="155">
        <v>0.47425093632958804</v>
      </c>
      <c r="AK39" s="156">
        <v>0.44086021505376344</v>
      </c>
      <c r="AL39" s="155">
        <v>0.4853146853146853</v>
      </c>
      <c r="AM39" s="280">
        <v>0.45549416820135052</v>
      </c>
      <c r="AN39" s="155">
        <v>0.47438243366880145</v>
      </c>
      <c r="AO39" s="219">
        <v>0.46023902551137669</v>
      </c>
    </row>
    <row r="40" spans="2:41" ht="13.9" customHeight="1">
      <c r="B40" s="34"/>
      <c r="C40" s="219"/>
      <c r="D40" s="219"/>
      <c r="E40" s="164"/>
      <c r="F40" s="164"/>
      <c r="G40" s="164"/>
      <c r="H40" s="164"/>
      <c r="I40" s="219"/>
      <c r="J40" s="164"/>
      <c r="K40" s="164"/>
      <c r="L40" s="164"/>
      <c r="M40" s="164"/>
      <c r="N40" s="219"/>
      <c r="O40" s="164"/>
      <c r="P40" s="164"/>
      <c r="Q40" s="164"/>
      <c r="R40" s="164"/>
      <c r="S40" s="219"/>
      <c r="T40" s="155"/>
      <c r="U40" s="155"/>
      <c r="V40" s="155"/>
      <c r="W40" s="155"/>
      <c r="X40" s="219"/>
      <c r="Y40" s="155"/>
      <c r="Z40" s="155"/>
      <c r="AA40" s="155"/>
      <c r="AB40" s="155"/>
      <c r="AC40" s="219"/>
      <c r="AD40" s="155"/>
      <c r="AE40" s="155"/>
      <c r="AF40" s="155"/>
      <c r="AG40" s="155"/>
      <c r="AH40" s="219"/>
      <c r="AI40" s="155"/>
      <c r="AJ40" s="155"/>
      <c r="AK40" s="156"/>
      <c r="AL40" s="155"/>
      <c r="AM40" s="280"/>
      <c r="AN40" s="155"/>
      <c r="AO40" s="219"/>
    </row>
    <row r="41" spans="2:41" ht="13.9" customHeight="1">
      <c r="B41" s="34" t="s">
        <v>450</v>
      </c>
      <c r="C41" s="213">
        <v>2351</v>
      </c>
      <c r="D41" s="213">
        <v>2189</v>
      </c>
      <c r="E41" s="164"/>
      <c r="F41" s="164"/>
      <c r="G41" s="164"/>
      <c r="H41" s="164"/>
      <c r="I41" s="213">
        <v>2137</v>
      </c>
      <c r="J41" s="164"/>
      <c r="K41" s="164"/>
      <c r="L41" s="164"/>
      <c r="M41" s="164"/>
      <c r="N41" s="213">
        <v>2160</v>
      </c>
      <c r="O41" s="164"/>
      <c r="P41" s="164"/>
      <c r="Q41" s="164"/>
      <c r="R41" s="164"/>
      <c r="S41" s="213">
        <v>2018</v>
      </c>
      <c r="T41" s="155"/>
      <c r="U41" s="155"/>
      <c r="V41" s="155"/>
      <c r="W41" s="155"/>
      <c r="X41" s="213">
        <v>2023</v>
      </c>
      <c r="Y41" s="27" t="s">
        <v>24</v>
      </c>
      <c r="Z41" s="27" t="s">
        <v>24</v>
      </c>
      <c r="AA41" s="27" t="s">
        <v>24</v>
      </c>
      <c r="AB41" s="27" t="s">
        <v>24</v>
      </c>
      <c r="AC41" s="213">
        <v>2109</v>
      </c>
      <c r="AD41" s="27" t="s">
        <v>24</v>
      </c>
      <c r="AE41" s="27" t="s">
        <v>24</v>
      </c>
      <c r="AF41" s="27" t="s">
        <v>24</v>
      </c>
      <c r="AG41" s="27" t="s">
        <v>24</v>
      </c>
      <c r="AH41" s="213">
        <v>1974</v>
      </c>
      <c r="AI41" s="27" t="s">
        <v>24</v>
      </c>
      <c r="AJ41" s="27" t="s">
        <v>24</v>
      </c>
      <c r="AK41" s="159" t="s">
        <v>24</v>
      </c>
      <c r="AL41" s="27" t="s">
        <v>24</v>
      </c>
      <c r="AM41" s="305" t="s">
        <v>24</v>
      </c>
      <c r="AN41" s="27" t="s">
        <v>24</v>
      </c>
      <c r="AO41" s="213">
        <v>2327</v>
      </c>
    </row>
    <row r="42" spans="2:41" ht="13.9" customHeight="1">
      <c r="B42" s="20" t="s">
        <v>533</v>
      </c>
      <c r="C42" s="219"/>
      <c r="D42" s="371">
        <v>-162</v>
      </c>
      <c r="E42" s="370"/>
      <c r="F42" s="370"/>
      <c r="G42" s="370"/>
      <c r="H42" s="370"/>
      <c r="I42" s="371">
        <v>-52</v>
      </c>
      <c r="J42" s="371"/>
      <c r="K42" s="371"/>
      <c r="L42" s="371"/>
      <c r="M42" s="371"/>
      <c r="N42" s="371">
        <v>23</v>
      </c>
      <c r="O42" s="371"/>
      <c r="P42" s="371"/>
      <c r="Q42" s="371"/>
      <c r="R42" s="371"/>
      <c r="S42" s="371">
        <v>-142</v>
      </c>
      <c r="T42" s="371"/>
      <c r="U42" s="371"/>
      <c r="V42" s="371"/>
      <c r="W42" s="371"/>
      <c r="X42" s="371">
        <v>5</v>
      </c>
      <c r="Y42" s="155"/>
      <c r="Z42" s="155"/>
      <c r="AA42" s="155"/>
      <c r="AB42" s="155"/>
      <c r="AC42" s="371">
        <v>86</v>
      </c>
      <c r="AD42" s="155"/>
      <c r="AE42" s="155"/>
      <c r="AF42" s="155"/>
      <c r="AG42" s="155"/>
      <c r="AH42" s="371">
        <v>-135</v>
      </c>
      <c r="AI42" s="155"/>
      <c r="AJ42" s="155"/>
      <c r="AK42" s="156"/>
      <c r="AL42" s="155"/>
      <c r="AM42" s="280"/>
      <c r="AN42" s="155"/>
      <c r="AO42" s="371">
        <v>353</v>
      </c>
    </row>
    <row r="43" spans="2:41" ht="13.9" customHeight="1">
      <c r="B43" s="34" t="s">
        <v>532</v>
      </c>
      <c r="C43" s="219"/>
      <c r="D43" s="371"/>
      <c r="E43" s="370"/>
      <c r="F43" s="370"/>
      <c r="G43" s="370"/>
      <c r="H43" s="370"/>
      <c r="I43" s="371"/>
      <c r="J43" s="371"/>
      <c r="K43" s="371"/>
      <c r="L43" s="371"/>
      <c r="M43" s="371"/>
      <c r="N43" s="371"/>
      <c r="O43" s="371"/>
      <c r="P43" s="371"/>
      <c r="Q43" s="371"/>
      <c r="R43" s="371"/>
      <c r="S43" s="371"/>
      <c r="T43" s="371"/>
      <c r="U43" s="371"/>
      <c r="V43" s="371"/>
      <c r="W43" s="371"/>
      <c r="X43" s="371"/>
      <c r="Y43" s="155"/>
      <c r="Z43" s="155"/>
      <c r="AA43" s="155"/>
      <c r="AB43" s="155"/>
      <c r="AC43" s="213">
        <v>2091</v>
      </c>
      <c r="AD43" s="27" t="s">
        <v>24</v>
      </c>
      <c r="AE43" s="27" t="s">
        <v>24</v>
      </c>
      <c r="AF43" s="27" t="s">
        <v>24</v>
      </c>
      <c r="AG43" s="27" t="s">
        <v>24</v>
      </c>
      <c r="AH43" s="213">
        <v>1941</v>
      </c>
      <c r="AI43" s="27" t="s">
        <v>24</v>
      </c>
      <c r="AJ43" s="27" t="s">
        <v>24</v>
      </c>
      <c r="AK43" s="27" t="s">
        <v>24</v>
      </c>
      <c r="AL43" s="27" t="s">
        <v>24</v>
      </c>
      <c r="AM43" s="276"/>
      <c r="AN43" s="27" t="s">
        <v>24</v>
      </c>
      <c r="AO43" s="213">
        <v>2062</v>
      </c>
    </row>
    <row r="44" spans="2:41" ht="11.45" customHeight="1">
      <c r="B44" s="20" t="s">
        <v>533</v>
      </c>
      <c r="C44" s="219"/>
      <c r="D44" s="219"/>
      <c r="E44" s="164"/>
      <c r="F44" s="164"/>
      <c r="G44" s="164"/>
      <c r="H44" s="164"/>
      <c r="I44" s="219"/>
      <c r="J44" s="164"/>
      <c r="K44" s="164"/>
      <c r="L44" s="164"/>
      <c r="M44" s="164"/>
      <c r="N44" s="219"/>
      <c r="O44" s="164"/>
      <c r="P44" s="164"/>
      <c r="Q44" s="164"/>
      <c r="R44" s="164"/>
      <c r="S44" s="219"/>
      <c r="T44" s="155"/>
      <c r="U44" s="155"/>
      <c r="V44" s="155"/>
      <c r="W44" s="155"/>
      <c r="X44" s="219"/>
      <c r="Y44" s="155"/>
      <c r="Z44" s="155"/>
      <c r="AA44" s="155"/>
      <c r="AB44" s="155"/>
      <c r="AC44" s="219"/>
      <c r="AD44" s="155"/>
      <c r="AE44" s="155"/>
      <c r="AF44" s="155"/>
      <c r="AG44" s="155"/>
      <c r="AH44" s="371">
        <v>-150</v>
      </c>
      <c r="AI44" s="155"/>
      <c r="AJ44" s="155"/>
      <c r="AK44" s="156"/>
      <c r="AL44" s="155"/>
      <c r="AM44" s="280"/>
      <c r="AN44" s="155"/>
      <c r="AO44" s="371">
        <v>121</v>
      </c>
    </row>
    <row r="45" spans="2:41" ht="13.9" customHeight="1">
      <c r="B45" s="12" t="s">
        <v>48</v>
      </c>
      <c r="C45" s="210">
        <v>417</v>
      </c>
      <c r="D45" s="210">
        <v>435</v>
      </c>
      <c r="E45" s="355">
        <v>99</v>
      </c>
      <c r="F45" s="355">
        <v>136</v>
      </c>
      <c r="G45" s="355">
        <v>205</v>
      </c>
      <c r="H45" s="355">
        <v>109</v>
      </c>
      <c r="I45" s="210">
        <v>549</v>
      </c>
      <c r="J45" s="355">
        <v>34</v>
      </c>
      <c r="K45" s="355">
        <v>159</v>
      </c>
      <c r="L45" s="355">
        <v>80</v>
      </c>
      <c r="M45" s="61">
        <v>98</v>
      </c>
      <c r="N45" s="210">
        <v>371</v>
      </c>
      <c r="O45" s="355">
        <v>51</v>
      </c>
      <c r="P45" s="355">
        <v>84</v>
      </c>
      <c r="Q45" s="355">
        <v>100</v>
      </c>
      <c r="R45" s="61">
        <v>70</v>
      </c>
      <c r="S45" s="210">
        <v>305</v>
      </c>
      <c r="T45" s="19">
        <v>85</v>
      </c>
      <c r="U45" s="19">
        <v>67</v>
      </c>
      <c r="V45" s="19">
        <v>73</v>
      </c>
      <c r="W45" s="61">
        <v>76</v>
      </c>
      <c r="X45" s="210">
        <v>301</v>
      </c>
      <c r="Y45" s="19">
        <v>65</v>
      </c>
      <c r="Z45" s="19">
        <v>63</v>
      </c>
      <c r="AA45" s="19">
        <v>54</v>
      </c>
      <c r="AB45" s="61">
        <v>62</v>
      </c>
      <c r="AC45" s="210">
        <v>244</v>
      </c>
      <c r="AD45" s="19">
        <v>46</v>
      </c>
      <c r="AE45" s="19">
        <v>71</v>
      </c>
      <c r="AF45" s="19">
        <v>70</v>
      </c>
      <c r="AG45" s="61">
        <v>63</v>
      </c>
      <c r="AH45" s="210">
        <v>250</v>
      </c>
      <c r="AI45" s="19">
        <v>45</v>
      </c>
      <c r="AJ45" s="19">
        <v>127</v>
      </c>
      <c r="AK45" s="137">
        <v>172</v>
      </c>
      <c r="AL45" s="19">
        <v>82</v>
      </c>
      <c r="AM45" s="276">
        <v>254</v>
      </c>
      <c r="AN45" s="61">
        <v>53</v>
      </c>
      <c r="AO45" s="210">
        <v>307</v>
      </c>
    </row>
    <row r="46" spans="2:41" ht="13.9" customHeight="1">
      <c r="B46" s="20" t="s">
        <v>5</v>
      </c>
      <c r="C46" s="211"/>
      <c r="D46" s="211"/>
      <c r="E46" s="357"/>
      <c r="F46" s="357">
        <v>0.3737373737373737</v>
      </c>
      <c r="G46" s="357">
        <v>0.50735294117647056</v>
      </c>
      <c r="H46" s="357">
        <v>-0.46829268292682924</v>
      </c>
      <c r="I46" s="211"/>
      <c r="J46" s="357">
        <v>-0.68807339449541283</v>
      </c>
      <c r="K46" s="357">
        <v>3.6764705882352944</v>
      </c>
      <c r="L46" s="357">
        <v>-0.49685534591194969</v>
      </c>
      <c r="M46" s="357">
        <v>0.22500000000000009</v>
      </c>
      <c r="N46" s="211"/>
      <c r="O46" s="357">
        <v>-0.47959183673469385</v>
      </c>
      <c r="P46" s="357">
        <v>0.64705882352941169</v>
      </c>
      <c r="Q46" s="357">
        <v>0.19047619047619047</v>
      </c>
      <c r="R46" s="357">
        <v>-0.30000000000000004</v>
      </c>
      <c r="S46" s="211"/>
      <c r="T46" s="21">
        <v>0.21428571428571419</v>
      </c>
      <c r="U46" s="21">
        <v>-0.21176470588235297</v>
      </c>
      <c r="V46" s="21">
        <v>8.9552238805970186E-2</v>
      </c>
      <c r="W46" s="21">
        <v>4.1095890410958846E-2</v>
      </c>
      <c r="X46" s="211"/>
      <c r="Y46" s="21">
        <v>-0.14473684210526316</v>
      </c>
      <c r="Z46" s="21">
        <v>-3.0769230769230771E-2</v>
      </c>
      <c r="AA46" s="21">
        <v>-0.1428571428571429</v>
      </c>
      <c r="AB46" s="21">
        <v>0.14814814814814814</v>
      </c>
      <c r="AC46" s="211"/>
      <c r="AD46" s="21">
        <v>-0.25806451612903225</v>
      </c>
      <c r="AE46" s="21">
        <v>0.54347826086956519</v>
      </c>
      <c r="AF46" s="21">
        <v>-1.4084507042253502E-2</v>
      </c>
      <c r="AG46" s="21">
        <v>-9.9999999999999978E-2</v>
      </c>
      <c r="AH46" s="211"/>
      <c r="AI46" s="21">
        <v>-0.2857142857142857</v>
      </c>
      <c r="AJ46" s="21">
        <v>1.8222222222222224</v>
      </c>
      <c r="AK46" s="138"/>
      <c r="AL46" s="21">
        <v>-0.35433070866141736</v>
      </c>
      <c r="AM46" s="277"/>
      <c r="AN46" s="21">
        <v>-0.35365853658536583</v>
      </c>
      <c r="AO46" s="211"/>
    </row>
    <row r="47" spans="2:41" ht="13.9" customHeight="1">
      <c r="B47" s="20" t="s">
        <v>6</v>
      </c>
      <c r="C47" s="217"/>
      <c r="D47" s="217">
        <v>4.3165467625899234E-2</v>
      </c>
      <c r="E47" s="66"/>
      <c r="F47" s="66"/>
      <c r="G47" s="66"/>
      <c r="H47" s="66"/>
      <c r="I47" s="217">
        <v>0.26206896551724146</v>
      </c>
      <c r="J47" s="66">
        <v>-0.65656565656565657</v>
      </c>
      <c r="K47" s="66">
        <v>0.16911764705882359</v>
      </c>
      <c r="L47" s="66">
        <v>-0.6097560975609756</v>
      </c>
      <c r="M47" s="66">
        <v>-0.1009174311926605</v>
      </c>
      <c r="N47" s="217">
        <v>-0.32422586520947172</v>
      </c>
      <c r="O47" s="66">
        <v>0.5</v>
      </c>
      <c r="P47" s="66">
        <v>-0.47169811320754718</v>
      </c>
      <c r="Q47" s="66">
        <v>0.25</v>
      </c>
      <c r="R47" s="66">
        <v>-0.2857142857142857</v>
      </c>
      <c r="S47" s="217">
        <v>-0.17789757412398921</v>
      </c>
      <c r="T47" s="22">
        <v>0.66666666666666674</v>
      </c>
      <c r="U47" s="22">
        <v>-0.20238095238095233</v>
      </c>
      <c r="V47" s="22">
        <v>-0.27</v>
      </c>
      <c r="W47" s="22">
        <v>8.5714285714285632E-2</v>
      </c>
      <c r="X47" s="217">
        <v>-1.3114754098360604E-2</v>
      </c>
      <c r="Y47" s="22">
        <v>-0.23529411764705888</v>
      </c>
      <c r="Z47" s="22">
        <v>-5.9701492537313383E-2</v>
      </c>
      <c r="AA47" s="22">
        <v>-0.26027397260273977</v>
      </c>
      <c r="AB47" s="22">
        <v>-0.18421052631578949</v>
      </c>
      <c r="AC47" s="211">
        <v>-0.18936877076411962</v>
      </c>
      <c r="AD47" s="22">
        <v>-0.29230769230769227</v>
      </c>
      <c r="AE47" s="22">
        <v>0.12698412698412698</v>
      </c>
      <c r="AF47" s="22">
        <v>0.29629629629629628</v>
      </c>
      <c r="AG47" s="22">
        <v>1.6129032258064502E-2</v>
      </c>
      <c r="AH47" s="211">
        <v>2.4590163934426146E-2</v>
      </c>
      <c r="AI47" s="22">
        <v>-2.1739130434782594E-2</v>
      </c>
      <c r="AJ47" s="22">
        <v>0.78873239436619724</v>
      </c>
      <c r="AK47" s="139"/>
      <c r="AL47" s="22">
        <v>0.17142857142857149</v>
      </c>
      <c r="AM47" s="278"/>
      <c r="AN47" s="22">
        <v>-0.15873015873015872</v>
      </c>
      <c r="AO47" s="211">
        <v>0.22799999999999998</v>
      </c>
    </row>
    <row r="48" spans="2:41" ht="13.9" customHeight="1">
      <c r="B48" s="12" t="s">
        <v>116</v>
      </c>
      <c r="C48" s="210">
        <v>453</v>
      </c>
      <c r="D48" s="210">
        <v>72</v>
      </c>
      <c r="E48" s="355">
        <v>110</v>
      </c>
      <c r="F48" s="355">
        <v>1340</v>
      </c>
      <c r="G48" s="355">
        <v>56</v>
      </c>
      <c r="H48" s="61">
        <v>-13</v>
      </c>
      <c r="I48" s="210">
        <v>1493</v>
      </c>
      <c r="J48" s="355">
        <v>98</v>
      </c>
      <c r="K48" s="355">
        <v>83</v>
      </c>
      <c r="L48" s="355">
        <v>83</v>
      </c>
      <c r="M48" s="61">
        <v>24</v>
      </c>
      <c r="N48" s="210">
        <v>288</v>
      </c>
      <c r="O48" s="355">
        <v>127</v>
      </c>
      <c r="P48" s="355">
        <v>91</v>
      </c>
      <c r="Q48" s="355">
        <v>75</v>
      </c>
      <c r="R48" s="61">
        <v>89</v>
      </c>
      <c r="S48" s="210">
        <v>382</v>
      </c>
      <c r="T48" s="19">
        <v>93</v>
      </c>
      <c r="U48" s="19">
        <v>89</v>
      </c>
      <c r="V48" s="19">
        <v>91</v>
      </c>
      <c r="W48" s="61">
        <v>63</v>
      </c>
      <c r="X48" s="210">
        <v>336</v>
      </c>
      <c r="Y48" s="19">
        <v>92</v>
      </c>
      <c r="Z48" s="19">
        <v>100</v>
      </c>
      <c r="AA48" s="19">
        <v>74</v>
      </c>
      <c r="AB48" s="61">
        <v>80</v>
      </c>
      <c r="AC48" s="210">
        <v>346</v>
      </c>
      <c r="AD48" s="19">
        <v>98</v>
      </c>
      <c r="AE48" s="19">
        <v>84</v>
      </c>
      <c r="AF48" s="19">
        <v>82</v>
      </c>
      <c r="AG48" s="61">
        <v>57</v>
      </c>
      <c r="AH48" s="210">
        <v>321</v>
      </c>
      <c r="AI48" s="19">
        <v>90</v>
      </c>
      <c r="AJ48" s="19">
        <v>77</v>
      </c>
      <c r="AK48" s="137">
        <v>167</v>
      </c>
      <c r="AL48" s="19">
        <v>72</v>
      </c>
      <c r="AM48" s="276">
        <v>239</v>
      </c>
      <c r="AN48" s="61">
        <v>35</v>
      </c>
      <c r="AO48" s="210">
        <v>274</v>
      </c>
    </row>
    <row r="49" spans="2:41" ht="13.9" customHeight="1">
      <c r="B49" s="20" t="s">
        <v>5</v>
      </c>
      <c r="C49" s="211"/>
      <c r="D49" s="211"/>
      <c r="E49" s="359"/>
      <c r="F49" s="357"/>
      <c r="G49" s="357">
        <v>-0.95820895522388061</v>
      </c>
      <c r="H49" s="357">
        <v>-1.2321428571428572</v>
      </c>
      <c r="I49" s="211"/>
      <c r="J49" s="357">
        <v>-8.5384615384615383</v>
      </c>
      <c r="K49" s="357">
        <v>-0.15306122448979587</v>
      </c>
      <c r="L49" s="357">
        <v>0</v>
      </c>
      <c r="M49" s="357">
        <v>-0.71084337349397586</v>
      </c>
      <c r="N49" s="211"/>
      <c r="O49" s="357">
        <v>4.291666666666667</v>
      </c>
      <c r="P49" s="357">
        <v>-0.28346456692913391</v>
      </c>
      <c r="Q49" s="357">
        <v>-0.17582417582417587</v>
      </c>
      <c r="R49" s="357">
        <v>0.18666666666666676</v>
      </c>
      <c r="S49" s="211"/>
      <c r="T49" s="21">
        <v>4.4943820224719211E-2</v>
      </c>
      <c r="U49" s="21">
        <v>-4.3010752688172005E-2</v>
      </c>
      <c r="V49" s="21">
        <v>2.2471910112359605E-2</v>
      </c>
      <c r="W49" s="21">
        <v>-0.30769230769230771</v>
      </c>
      <c r="X49" s="211"/>
      <c r="Y49" s="21">
        <v>0.46031746031746024</v>
      </c>
      <c r="Z49" s="21">
        <v>8.6956521739130377E-2</v>
      </c>
      <c r="AA49" s="21">
        <v>-0.26</v>
      </c>
      <c r="AB49" s="21">
        <v>8.1081081081081141E-2</v>
      </c>
      <c r="AC49" s="211"/>
      <c r="AD49" s="21">
        <v>0.22500000000000009</v>
      </c>
      <c r="AE49" s="21">
        <v>-0.1428571428571429</v>
      </c>
      <c r="AF49" s="21">
        <v>-2.3809523809523836E-2</v>
      </c>
      <c r="AG49" s="21">
        <v>-0.30487804878048785</v>
      </c>
      <c r="AH49" s="211"/>
      <c r="AI49" s="21">
        <v>0.57894736842105265</v>
      </c>
      <c r="AJ49" s="21">
        <v>-0.14444444444444449</v>
      </c>
      <c r="AK49" s="138"/>
      <c r="AL49" s="21">
        <v>-6.4935064935064957E-2</v>
      </c>
      <c r="AM49" s="277"/>
      <c r="AN49" s="21">
        <v>-0.51388888888888884</v>
      </c>
      <c r="AO49" s="211"/>
    </row>
    <row r="50" spans="2:41" ht="13.9" customHeight="1">
      <c r="B50" s="20" t="s">
        <v>6</v>
      </c>
      <c r="C50" s="211"/>
      <c r="D50" s="211">
        <v>-0.84105960264900659</v>
      </c>
      <c r="E50" s="66"/>
      <c r="F50" s="66"/>
      <c r="G50" s="66"/>
      <c r="H50" s="359"/>
      <c r="I50" s="211"/>
      <c r="J50" s="66">
        <v>-0.10909090909090913</v>
      </c>
      <c r="K50" s="66">
        <v>-0.93805970149253737</v>
      </c>
      <c r="L50" s="66">
        <v>0.48214285714285721</v>
      </c>
      <c r="M50" s="359" t="s">
        <v>23</v>
      </c>
      <c r="N50" s="211">
        <v>-0.80709979906229068</v>
      </c>
      <c r="O50" s="66">
        <v>0.29591836734693877</v>
      </c>
      <c r="P50" s="66">
        <v>9.6385542168674787E-2</v>
      </c>
      <c r="Q50" s="66">
        <v>-9.6385542168674676E-2</v>
      </c>
      <c r="R50" s="66">
        <v>2.7083333333333335</v>
      </c>
      <c r="S50" s="211">
        <v>0.32638888888888884</v>
      </c>
      <c r="T50" s="22">
        <v>-0.26771653543307083</v>
      </c>
      <c r="U50" s="22">
        <v>-2.1978021978022011E-2</v>
      </c>
      <c r="V50" s="22">
        <v>0.21333333333333337</v>
      </c>
      <c r="W50" s="22">
        <v>-0.2921348314606742</v>
      </c>
      <c r="X50" s="211">
        <v>-0.12041884816753923</v>
      </c>
      <c r="Y50" s="22">
        <v>-1.0752688172043001E-2</v>
      </c>
      <c r="Z50" s="22">
        <v>0.12359550561797761</v>
      </c>
      <c r="AA50" s="22">
        <v>-0.18681318681318682</v>
      </c>
      <c r="AB50" s="22">
        <v>0.26984126984126977</v>
      </c>
      <c r="AC50" s="211">
        <v>2.9761904761904656E-2</v>
      </c>
      <c r="AD50" s="22">
        <v>6.5217391304347894E-2</v>
      </c>
      <c r="AE50" s="22">
        <v>-0.16000000000000003</v>
      </c>
      <c r="AF50" s="22">
        <v>0.10810810810810811</v>
      </c>
      <c r="AG50" s="22">
        <v>-0.28749999999999998</v>
      </c>
      <c r="AH50" s="211">
        <v>-7.2254335260115599E-2</v>
      </c>
      <c r="AI50" s="22">
        <v>-8.1632653061224469E-2</v>
      </c>
      <c r="AJ50" s="22">
        <v>-8.333333333333337E-2</v>
      </c>
      <c r="AK50" s="139"/>
      <c r="AL50" s="22">
        <v>-0.12195121951219512</v>
      </c>
      <c r="AM50" s="278"/>
      <c r="AN50" s="22">
        <v>-0.38596491228070173</v>
      </c>
      <c r="AO50" s="211">
        <v>-0.14641744548286606</v>
      </c>
    </row>
    <row r="51" spans="2:41" s="2" customFormat="1" ht="13.9" customHeight="1">
      <c r="B51" s="12" t="s">
        <v>352</v>
      </c>
      <c r="C51" s="210">
        <v>1223</v>
      </c>
      <c r="D51" s="213">
        <v>-1092</v>
      </c>
      <c r="E51" s="355">
        <v>295</v>
      </c>
      <c r="F51" s="61">
        <v>-1579</v>
      </c>
      <c r="G51" s="61">
        <v>177</v>
      </c>
      <c r="H51" s="61">
        <v>-87</v>
      </c>
      <c r="I51" s="213">
        <v>-1194</v>
      </c>
      <c r="J51" s="355">
        <v>327</v>
      </c>
      <c r="K51" s="61">
        <v>269</v>
      </c>
      <c r="L51" s="61">
        <v>26</v>
      </c>
      <c r="M51" s="61">
        <v>174</v>
      </c>
      <c r="N51" s="213">
        <v>796</v>
      </c>
      <c r="O51" s="355">
        <v>408</v>
      </c>
      <c r="P51" s="61">
        <v>294</v>
      </c>
      <c r="Q51" s="61">
        <v>284</v>
      </c>
      <c r="R51" s="61">
        <v>197</v>
      </c>
      <c r="S51" s="213">
        <v>1183</v>
      </c>
      <c r="T51" s="19">
        <v>282</v>
      </c>
      <c r="U51" s="19">
        <v>307</v>
      </c>
      <c r="V51" s="61">
        <v>302</v>
      </c>
      <c r="W51" s="61">
        <v>109</v>
      </c>
      <c r="X51" s="213">
        <v>1000</v>
      </c>
      <c r="Y51" s="19">
        <v>311</v>
      </c>
      <c r="Z51" s="19">
        <v>343</v>
      </c>
      <c r="AA51" s="61">
        <v>297</v>
      </c>
      <c r="AB51" s="61">
        <v>238</v>
      </c>
      <c r="AC51" s="213">
        <v>1189</v>
      </c>
      <c r="AD51" s="19">
        <v>295</v>
      </c>
      <c r="AE51" s="19">
        <v>287</v>
      </c>
      <c r="AF51" s="61">
        <v>281</v>
      </c>
      <c r="AG51" s="61">
        <v>210</v>
      </c>
      <c r="AH51" s="213">
        <v>1073</v>
      </c>
      <c r="AI51" s="19">
        <v>303</v>
      </c>
      <c r="AJ51" s="19">
        <v>426</v>
      </c>
      <c r="AK51" s="137">
        <v>729</v>
      </c>
      <c r="AL51" s="61">
        <v>446</v>
      </c>
      <c r="AM51" s="276">
        <v>1175</v>
      </c>
      <c r="AN51" s="61">
        <v>242</v>
      </c>
      <c r="AO51" s="213">
        <v>1417</v>
      </c>
    </row>
    <row r="52" spans="2:41" ht="13.9" customHeight="1">
      <c r="B52" s="20" t="s">
        <v>5</v>
      </c>
      <c r="C52" s="211"/>
      <c r="D52" s="211"/>
      <c r="E52" s="359"/>
      <c r="F52" s="359" t="s">
        <v>23</v>
      </c>
      <c r="G52" s="359" t="s">
        <v>23</v>
      </c>
      <c r="H52" s="359" t="s">
        <v>23</v>
      </c>
      <c r="I52" s="211"/>
      <c r="J52" s="359" t="s">
        <v>23</v>
      </c>
      <c r="K52" s="357">
        <v>-0.17737003058103973</v>
      </c>
      <c r="L52" s="357">
        <v>-0.90334572490706322</v>
      </c>
      <c r="M52" s="357">
        <v>5.6923076923076925</v>
      </c>
      <c r="N52" s="211"/>
      <c r="O52" s="357">
        <v>1.3448275862068964</v>
      </c>
      <c r="P52" s="357">
        <v>-0.27941176470588236</v>
      </c>
      <c r="Q52" s="357">
        <v>-3.4013605442176909E-2</v>
      </c>
      <c r="R52" s="357">
        <v>-0.30633802816901412</v>
      </c>
      <c r="S52" s="211"/>
      <c r="T52" s="21">
        <v>0.43147208121827418</v>
      </c>
      <c r="U52" s="21">
        <v>8.8652482269503619E-2</v>
      </c>
      <c r="V52" s="21">
        <v>-1.6286644951140072E-2</v>
      </c>
      <c r="W52" s="21">
        <v>-0.63907284768211925</v>
      </c>
      <c r="X52" s="211"/>
      <c r="Y52" s="21">
        <v>1.8532110091743119</v>
      </c>
      <c r="Z52" s="21">
        <v>0.10289389067524124</v>
      </c>
      <c r="AA52" s="21">
        <v>-0.13411078717201164</v>
      </c>
      <c r="AB52" s="21">
        <v>-0.19865319865319864</v>
      </c>
      <c r="AC52" s="211"/>
      <c r="AD52" s="21">
        <v>0.23949579831932777</v>
      </c>
      <c r="AE52" s="21">
        <v>-2.7118644067796627E-2</v>
      </c>
      <c r="AF52" s="21">
        <v>-2.0905923344947785E-2</v>
      </c>
      <c r="AG52" s="21">
        <v>-0.25266903914590744</v>
      </c>
      <c r="AH52" s="211"/>
      <c r="AI52" s="21">
        <v>0.44285714285714284</v>
      </c>
      <c r="AJ52" s="21">
        <v>0.40594059405940586</v>
      </c>
      <c r="AK52" s="138"/>
      <c r="AL52" s="21">
        <v>4.6948356807511749E-2</v>
      </c>
      <c r="AM52" s="277"/>
      <c r="AN52" s="21">
        <v>-0.45739910313901344</v>
      </c>
      <c r="AO52" s="211"/>
    </row>
    <row r="53" spans="2:41" ht="13.9" customHeight="1">
      <c r="B53" s="20" t="s">
        <v>6</v>
      </c>
      <c r="C53" s="211"/>
      <c r="D53" s="217" t="s">
        <v>23</v>
      </c>
      <c r="E53" s="66"/>
      <c r="F53" s="359"/>
      <c r="G53" s="66"/>
      <c r="H53" s="66"/>
      <c r="I53" s="211">
        <v>9.3406593406593297E-2</v>
      </c>
      <c r="J53" s="66">
        <v>0.10847457627118651</v>
      </c>
      <c r="K53" s="359" t="s">
        <v>23</v>
      </c>
      <c r="L53" s="66">
        <v>-0.85310734463276838</v>
      </c>
      <c r="M53" s="359" t="s">
        <v>23</v>
      </c>
      <c r="N53" s="217" t="s">
        <v>23</v>
      </c>
      <c r="O53" s="66">
        <v>0.24770642201834869</v>
      </c>
      <c r="P53" s="66">
        <v>9.2936802973977661E-2</v>
      </c>
      <c r="Q53" s="66">
        <v>9.9230769230769234</v>
      </c>
      <c r="R53" s="66">
        <v>0.13218390804597702</v>
      </c>
      <c r="S53" s="211">
        <v>0.48618090452261309</v>
      </c>
      <c r="T53" s="22">
        <v>-0.30882352941176472</v>
      </c>
      <c r="U53" s="22">
        <v>4.421768707482987E-2</v>
      </c>
      <c r="V53" s="22">
        <v>6.3380281690140761E-2</v>
      </c>
      <c r="W53" s="22">
        <v>-0.4467005076142132</v>
      </c>
      <c r="X53" s="211">
        <v>-0.15469146238377007</v>
      </c>
      <c r="Y53" s="22">
        <v>0.10283687943262421</v>
      </c>
      <c r="Z53" s="22">
        <v>0.11726384364820852</v>
      </c>
      <c r="AA53" s="22">
        <v>-1.655629139072845E-2</v>
      </c>
      <c r="AB53" s="22">
        <v>1.1834862385321099</v>
      </c>
      <c r="AC53" s="211">
        <v>0.18900000000000006</v>
      </c>
      <c r="AD53" s="22">
        <v>-5.144694533762062E-2</v>
      </c>
      <c r="AE53" s="22">
        <v>-0.16326530612244894</v>
      </c>
      <c r="AF53" s="22">
        <v>-5.3872053872053849E-2</v>
      </c>
      <c r="AG53" s="22">
        <v>-0.11764705882352944</v>
      </c>
      <c r="AH53" s="211">
        <v>-9.7560975609756073E-2</v>
      </c>
      <c r="AI53" s="22">
        <v>2.7118644067796627E-2</v>
      </c>
      <c r="AJ53" s="22">
        <v>0.48432055749128922</v>
      </c>
      <c r="AK53" s="139"/>
      <c r="AL53" s="22">
        <v>0.58718861209964412</v>
      </c>
      <c r="AM53" s="278"/>
      <c r="AN53" s="22">
        <v>0.15238095238095228</v>
      </c>
      <c r="AO53" s="211">
        <v>0.32059645852749297</v>
      </c>
    </row>
    <row r="54" spans="2:41" ht="13.9" customHeight="1">
      <c r="B54" s="74" t="s">
        <v>238</v>
      </c>
      <c r="C54" s="210">
        <v>1295.56</v>
      </c>
      <c r="D54" s="210">
        <v>961.09</v>
      </c>
      <c r="E54" s="89">
        <v>285.64</v>
      </c>
      <c r="F54" s="89">
        <v>217.15000000000009</v>
      </c>
      <c r="G54" s="89">
        <v>207.26</v>
      </c>
      <c r="H54" s="89">
        <v>203.36000000000007</v>
      </c>
      <c r="I54" s="210">
        <v>913.41000000000008</v>
      </c>
      <c r="J54" s="89">
        <v>325</v>
      </c>
      <c r="K54" s="89">
        <v>252</v>
      </c>
      <c r="L54" s="89">
        <v>290.14999999999998</v>
      </c>
      <c r="M54" s="89">
        <v>277.07</v>
      </c>
      <c r="N54" s="213">
        <v>1144.22</v>
      </c>
      <c r="O54" s="89">
        <v>299</v>
      </c>
      <c r="P54" s="89">
        <v>304</v>
      </c>
      <c r="Q54" s="89">
        <v>295.16000000000003</v>
      </c>
      <c r="R54" s="89">
        <v>255.92000000000002</v>
      </c>
      <c r="S54" s="213">
        <v>1154.0800000000002</v>
      </c>
      <c r="T54" s="19">
        <v>322</v>
      </c>
      <c r="U54" s="89">
        <v>310</v>
      </c>
      <c r="V54" s="89">
        <v>314</v>
      </c>
      <c r="W54" s="89">
        <v>250</v>
      </c>
      <c r="X54" s="213">
        <v>1196</v>
      </c>
      <c r="Y54" s="19">
        <v>321</v>
      </c>
      <c r="Z54" s="19">
        <v>354</v>
      </c>
      <c r="AA54" s="89">
        <v>357</v>
      </c>
      <c r="AB54" s="61">
        <v>296</v>
      </c>
      <c r="AC54" s="213">
        <v>1328</v>
      </c>
      <c r="AD54" s="19">
        <v>299</v>
      </c>
      <c r="AE54" s="19">
        <v>292</v>
      </c>
      <c r="AF54" s="61">
        <v>309</v>
      </c>
      <c r="AG54" s="61">
        <v>365</v>
      </c>
      <c r="AH54" s="213">
        <v>1265</v>
      </c>
      <c r="AI54" s="19">
        <v>319</v>
      </c>
      <c r="AJ54" s="19">
        <v>427</v>
      </c>
      <c r="AK54" s="137">
        <v>746</v>
      </c>
      <c r="AL54" s="61">
        <v>482</v>
      </c>
      <c r="AM54" s="276">
        <v>1228</v>
      </c>
      <c r="AN54" s="61">
        <v>428</v>
      </c>
      <c r="AO54" s="213">
        <v>1656</v>
      </c>
    </row>
    <row r="55" spans="2:41" ht="13.9" customHeight="1">
      <c r="B55" s="20" t="s">
        <v>5</v>
      </c>
      <c r="C55" s="211"/>
      <c r="D55" s="211"/>
      <c r="E55" s="357"/>
      <c r="F55" s="357">
        <v>-0.23977734210894797</v>
      </c>
      <c r="G55" s="357">
        <v>-4.5544554455446029E-2</v>
      </c>
      <c r="H55" s="357">
        <v>-1.8816944900125088E-2</v>
      </c>
      <c r="I55" s="211"/>
      <c r="J55" s="357">
        <v>0.5981510621557824</v>
      </c>
      <c r="K55" s="357">
        <v>-0.22461538461538466</v>
      </c>
      <c r="L55" s="357">
        <v>0.1513888888888888</v>
      </c>
      <c r="M55" s="357">
        <v>-4.5080130966741239E-2</v>
      </c>
      <c r="N55" s="211"/>
      <c r="O55" s="357">
        <v>7.9149673367741036E-2</v>
      </c>
      <c r="P55" s="357">
        <v>1.6722408026755842E-2</v>
      </c>
      <c r="Q55" s="357">
        <v>-2.9078947368420982E-2</v>
      </c>
      <c r="R55" s="357">
        <v>-0.13294484347472557</v>
      </c>
      <c r="S55" s="211"/>
      <c r="T55" s="21">
        <v>0.25820568927789922</v>
      </c>
      <c r="U55" s="21">
        <v>-3.7267080745341574E-2</v>
      </c>
      <c r="V55" s="21">
        <v>1.2903225806451646E-2</v>
      </c>
      <c r="W55" s="21">
        <v>-0.20382165605095537</v>
      </c>
      <c r="X55" s="211"/>
      <c r="Y55" s="21">
        <v>0.28400000000000003</v>
      </c>
      <c r="Z55" s="21">
        <v>0.10280373831775691</v>
      </c>
      <c r="AA55" s="21">
        <v>8.4745762711864181E-3</v>
      </c>
      <c r="AB55" s="21">
        <v>-0.17086834733893552</v>
      </c>
      <c r="AC55" s="211"/>
      <c r="AD55" s="21">
        <v>1.0135135135135087E-2</v>
      </c>
      <c r="AE55" s="21">
        <v>-2.3411371237458178E-2</v>
      </c>
      <c r="AF55" s="21">
        <v>5.821917808219168E-2</v>
      </c>
      <c r="AG55" s="21">
        <v>0.18122977346278324</v>
      </c>
      <c r="AH55" s="211"/>
      <c r="AI55" s="21">
        <v>-0.12602739726027401</v>
      </c>
      <c r="AJ55" s="21">
        <v>0.33855799373040751</v>
      </c>
      <c r="AK55" s="138"/>
      <c r="AL55" s="21">
        <v>0.12880562060889922</v>
      </c>
      <c r="AM55" s="277"/>
      <c r="AN55" s="21">
        <v>-0.11203319502074693</v>
      </c>
      <c r="AO55" s="211"/>
    </row>
    <row r="56" spans="2:41" ht="11.45" customHeight="1">
      <c r="B56" s="20" t="s">
        <v>6</v>
      </c>
      <c r="C56" s="217"/>
      <c r="D56" s="217">
        <v>-0.25816635277408995</v>
      </c>
      <c r="E56" s="66"/>
      <c r="F56" s="66"/>
      <c r="G56" s="66"/>
      <c r="H56" s="66"/>
      <c r="I56" s="217">
        <v>-4.9610338261765197E-2</v>
      </c>
      <c r="J56" s="66">
        <v>0.13779582691499792</v>
      </c>
      <c r="K56" s="66">
        <v>0.16048814183743909</v>
      </c>
      <c r="L56" s="66">
        <v>0.39993245199266614</v>
      </c>
      <c r="M56" s="66">
        <v>0.36246066089693096</v>
      </c>
      <c r="N56" s="217">
        <v>0.25269046758848712</v>
      </c>
      <c r="O56" s="66">
        <v>-7.999999999999996E-2</v>
      </c>
      <c r="P56" s="66">
        <v>0.20634920634920628</v>
      </c>
      <c r="Q56" s="66">
        <v>1.7266930897811728E-2</v>
      </c>
      <c r="R56" s="66">
        <v>-7.6334500306781572E-2</v>
      </c>
      <c r="S56" s="217">
        <v>8.6172239604274115E-3</v>
      </c>
      <c r="T56" s="22">
        <v>7.6923076923076872E-2</v>
      </c>
      <c r="U56" s="22">
        <v>1.9736842105263053E-2</v>
      </c>
      <c r="V56" s="22">
        <v>6.3829787234042534E-2</v>
      </c>
      <c r="W56" s="22">
        <v>-2.3132228821506784E-2</v>
      </c>
      <c r="X56" s="217">
        <v>3.6323305143490803E-2</v>
      </c>
      <c r="Y56" s="22">
        <v>-3.1055900621117516E-3</v>
      </c>
      <c r="Z56" s="22">
        <v>0.14193548387096766</v>
      </c>
      <c r="AA56" s="22">
        <v>0.13694267515923575</v>
      </c>
      <c r="AB56" s="22">
        <v>0.18399999999999994</v>
      </c>
      <c r="AC56" s="211">
        <v>0.11036789297658856</v>
      </c>
      <c r="AD56" s="22">
        <v>-6.8535825545171347E-2</v>
      </c>
      <c r="AE56" s="22">
        <v>-0.17514124293785316</v>
      </c>
      <c r="AF56" s="22">
        <v>-0.13445378151260501</v>
      </c>
      <c r="AG56" s="22">
        <v>0.23310810810810811</v>
      </c>
      <c r="AH56" s="211">
        <v>-4.7439759036144613E-2</v>
      </c>
      <c r="AI56" s="22">
        <v>6.6889632107023367E-2</v>
      </c>
      <c r="AJ56" s="22">
        <v>0.46232876712328763</v>
      </c>
      <c r="AK56" s="139"/>
      <c r="AL56" s="22">
        <v>0.5598705501618122</v>
      </c>
      <c r="AM56" s="278"/>
      <c r="AN56" s="22">
        <v>0.17260273972602747</v>
      </c>
      <c r="AO56" s="211">
        <v>0.30909090909090908</v>
      </c>
    </row>
    <row r="57" spans="2:41" ht="13.9" customHeight="1">
      <c r="B57" s="34" t="s">
        <v>534</v>
      </c>
      <c r="C57" s="219"/>
      <c r="D57" s="219"/>
      <c r="E57" s="164"/>
      <c r="F57" s="164"/>
      <c r="G57" s="164"/>
      <c r="H57" s="164"/>
      <c r="I57" s="219"/>
      <c r="J57" s="164"/>
      <c r="K57" s="164"/>
      <c r="L57" s="164"/>
      <c r="M57" s="164"/>
      <c r="N57" s="219"/>
      <c r="O57" s="164"/>
      <c r="P57" s="164"/>
      <c r="Q57" s="164"/>
      <c r="R57" s="164"/>
      <c r="S57" s="219"/>
      <c r="T57" s="155"/>
      <c r="U57" s="155"/>
      <c r="V57" s="155"/>
      <c r="W57" s="155"/>
      <c r="X57" s="219"/>
      <c r="Y57" s="155"/>
      <c r="Z57" s="155"/>
      <c r="AA57" s="155"/>
      <c r="AB57" s="155"/>
      <c r="AC57" s="213">
        <v>1202</v>
      </c>
      <c r="AD57" s="19">
        <v>289</v>
      </c>
      <c r="AE57" s="19">
        <v>270</v>
      </c>
      <c r="AF57" s="61">
        <v>257</v>
      </c>
      <c r="AG57" s="61">
        <v>294</v>
      </c>
      <c r="AH57" s="213">
        <v>1110</v>
      </c>
      <c r="AI57" s="19">
        <v>288</v>
      </c>
      <c r="AJ57" s="19">
        <v>229</v>
      </c>
      <c r="AK57" s="137"/>
      <c r="AL57" s="61">
        <v>258</v>
      </c>
      <c r="AM57" s="276"/>
      <c r="AN57" s="61">
        <v>311</v>
      </c>
      <c r="AO57" s="213">
        <v>1086</v>
      </c>
    </row>
    <row r="58" spans="2:41" ht="13.9" customHeight="1">
      <c r="B58" s="20" t="s">
        <v>5</v>
      </c>
      <c r="C58" s="219"/>
      <c r="D58" s="219"/>
      <c r="E58" s="164"/>
      <c r="F58" s="164"/>
      <c r="G58" s="164"/>
      <c r="H58" s="164"/>
      <c r="I58" s="219"/>
      <c r="J58" s="164"/>
      <c r="K58" s="164"/>
      <c r="L58" s="164"/>
      <c r="M58" s="164"/>
      <c r="N58" s="219"/>
      <c r="O58" s="164"/>
      <c r="P58" s="164"/>
      <c r="Q58" s="164"/>
      <c r="R58" s="164"/>
      <c r="S58" s="219"/>
      <c r="T58" s="155"/>
      <c r="U58" s="155"/>
      <c r="V58" s="155"/>
      <c r="W58" s="155"/>
      <c r="X58" s="219"/>
      <c r="Y58" s="155"/>
      <c r="Z58" s="155"/>
      <c r="AA58" s="155"/>
      <c r="AB58" s="155"/>
      <c r="AC58" s="211"/>
      <c r="AD58" s="21"/>
      <c r="AE58" s="21">
        <v>-6.5743944636678209E-2</v>
      </c>
      <c r="AF58" s="21">
        <v>-4.8148148148148162E-2</v>
      </c>
      <c r="AG58" s="21">
        <v>0.14396887159533067</v>
      </c>
      <c r="AH58" s="211"/>
      <c r="AI58" s="21">
        <v>-2.0408163265306145E-2</v>
      </c>
      <c r="AJ58" s="21">
        <v>-0.20486111111111116</v>
      </c>
      <c r="AK58" s="138"/>
      <c r="AL58" s="21">
        <v>0.1266375545851528</v>
      </c>
      <c r="AM58" s="277"/>
      <c r="AN58" s="21">
        <v>0.20542635658914721</v>
      </c>
      <c r="AO58" s="211"/>
    </row>
    <row r="59" spans="2:41" ht="11.45" customHeight="1">
      <c r="B59" s="20" t="s">
        <v>6</v>
      </c>
      <c r="C59" s="219"/>
      <c r="D59" s="219"/>
      <c r="E59" s="164"/>
      <c r="F59" s="164"/>
      <c r="G59" s="164"/>
      <c r="H59" s="164"/>
      <c r="I59" s="219"/>
      <c r="J59" s="164"/>
      <c r="K59" s="164"/>
      <c r="L59" s="164"/>
      <c r="M59" s="164"/>
      <c r="N59" s="219"/>
      <c r="O59" s="164"/>
      <c r="P59" s="164"/>
      <c r="Q59" s="164"/>
      <c r="R59" s="164"/>
      <c r="S59" s="219"/>
      <c r="T59" s="155"/>
      <c r="U59" s="155"/>
      <c r="V59" s="155"/>
      <c r="W59" s="155"/>
      <c r="X59" s="219"/>
      <c r="Y59" s="155"/>
      <c r="Z59" s="155"/>
      <c r="AA59" s="155"/>
      <c r="AB59" s="155"/>
      <c r="AC59" s="211"/>
      <c r="AD59" s="22"/>
      <c r="AE59" s="22"/>
      <c r="AF59" s="22"/>
      <c r="AG59" s="22"/>
      <c r="AH59" s="211">
        <v>-7.6539101497504203E-2</v>
      </c>
      <c r="AI59" s="22">
        <v>-3.4602076124568004E-3</v>
      </c>
      <c r="AJ59" s="22">
        <v>-0.1518518518518519</v>
      </c>
      <c r="AK59" s="139"/>
      <c r="AL59" s="22">
        <v>3.8910505836575737E-3</v>
      </c>
      <c r="AM59" s="278"/>
      <c r="AN59" s="22">
        <v>5.7823129251700633E-2</v>
      </c>
      <c r="AO59" s="211">
        <v>-2.1621621621621623E-2</v>
      </c>
    </row>
    <row r="60" spans="2:41" ht="13.9" customHeight="1">
      <c r="B60" s="12" t="s">
        <v>209</v>
      </c>
      <c r="C60" s="221">
        <v>0.45</v>
      </c>
      <c r="D60" s="222">
        <v>-0.39</v>
      </c>
      <c r="E60" s="360">
        <v>0.11</v>
      </c>
      <c r="F60" s="90">
        <v>-0.56999999999999995</v>
      </c>
      <c r="G60" s="90">
        <v>0.06</v>
      </c>
      <c r="H60" s="90">
        <v>-3.0000000000000041E-2</v>
      </c>
      <c r="I60" s="222">
        <v>-0.43</v>
      </c>
      <c r="J60" s="360">
        <v>0.12</v>
      </c>
      <c r="K60" s="90">
        <v>0.1</v>
      </c>
      <c r="L60" s="90">
        <v>0.01</v>
      </c>
      <c r="M60" s="90">
        <v>5.9999999999999977E-2</v>
      </c>
      <c r="N60" s="222">
        <v>0.28999999999999998</v>
      </c>
      <c r="O60" s="360">
        <v>0.15</v>
      </c>
      <c r="P60" s="90">
        <v>0.11</v>
      </c>
      <c r="Q60" s="90">
        <v>0.1</v>
      </c>
      <c r="R60" s="90">
        <v>7.0000000000000034E-2</v>
      </c>
      <c r="S60" s="222">
        <v>0.43</v>
      </c>
      <c r="T60" s="23">
        <v>0.1</v>
      </c>
      <c r="U60" s="90">
        <v>0.11</v>
      </c>
      <c r="V60" s="90">
        <v>0.11</v>
      </c>
      <c r="W60" s="90">
        <v>4.0000000000000022E-2</v>
      </c>
      <c r="X60" s="222">
        <v>0.36</v>
      </c>
      <c r="Y60" s="23">
        <v>0.11</v>
      </c>
      <c r="Z60" s="90">
        <v>0.12</v>
      </c>
      <c r="AA60" s="90">
        <v>0.11</v>
      </c>
      <c r="AB60" s="90">
        <v>9.0000000000000011E-2</v>
      </c>
      <c r="AC60" s="222">
        <v>0.43</v>
      </c>
      <c r="AD60" s="23">
        <v>0.11</v>
      </c>
      <c r="AE60" s="90">
        <v>0.1</v>
      </c>
      <c r="AF60" s="90">
        <v>0.1</v>
      </c>
      <c r="AG60" s="90">
        <v>8.0000000000000029E-2</v>
      </c>
      <c r="AH60" s="222">
        <v>0.39</v>
      </c>
      <c r="AI60" s="23">
        <v>0.11</v>
      </c>
      <c r="AJ60" s="90">
        <v>0.15</v>
      </c>
      <c r="AK60" s="153">
        <v>0.26</v>
      </c>
      <c r="AL60" s="90">
        <v>0.16</v>
      </c>
      <c r="AM60" s="281">
        <v>0.42</v>
      </c>
      <c r="AN60" s="90">
        <v>0.09</v>
      </c>
      <c r="AO60" s="222">
        <v>0.51</v>
      </c>
    </row>
    <row r="61" spans="2:41" ht="13.9" customHeight="1">
      <c r="B61" s="12" t="s">
        <v>386</v>
      </c>
      <c r="C61" s="210">
        <v>2765</v>
      </c>
      <c r="D61" s="210">
        <v>2765</v>
      </c>
      <c r="E61" s="361">
        <v>2765</v>
      </c>
      <c r="F61" s="361">
        <v>2765</v>
      </c>
      <c r="G61" s="361">
        <v>2765</v>
      </c>
      <c r="H61" s="361">
        <v>2765</v>
      </c>
      <c r="I61" s="210">
        <v>2765</v>
      </c>
      <c r="J61" s="361">
        <v>2765</v>
      </c>
      <c r="K61" s="361">
        <v>2765</v>
      </c>
      <c r="L61" s="361">
        <v>2765</v>
      </c>
      <c r="M61" s="361">
        <v>2765</v>
      </c>
      <c r="N61" s="210">
        <v>2765</v>
      </c>
      <c r="O61" s="361">
        <v>2765</v>
      </c>
      <c r="P61" s="361">
        <v>2765</v>
      </c>
      <c r="Q61" s="361">
        <v>2765</v>
      </c>
      <c r="R61" s="361">
        <v>2765</v>
      </c>
      <c r="S61" s="210">
        <v>2765</v>
      </c>
      <c r="T61" s="24">
        <v>2765</v>
      </c>
      <c r="U61" s="24">
        <v>2765</v>
      </c>
      <c r="V61" s="24">
        <v>2765</v>
      </c>
      <c r="W61" s="24">
        <v>2765</v>
      </c>
      <c r="X61" s="213">
        <v>2766</v>
      </c>
      <c r="Y61" s="24">
        <v>2766</v>
      </c>
      <c r="Z61" s="19">
        <v>2767</v>
      </c>
      <c r="AA61" s="24">
        <v>2767</v>
      </c>
      <c r="AB61" s="24">
        <v>2765</v>
      </c>
      <c r="AC61" s="213">
        <v>2767</v>
      </c>
      <c r="AD61" s="24">
        <v>2767</v>
      </c>
      <c r="AE61" s="19">
        <v>2767</v>
      </c>
      <c r="AF61" s="24">
        <v>2768</v>
      </c>
      <c r="AG61" s="24">
        <v>2770</v>
      </c>
      <c r="AH61" s="213">
        <v>2770</v>
      </c>
      <c r="AI61" s="24">
        <v>2771</v>
      </c>
      <c r="AJ61" s="19">
        <v>2771</v>
      </c>
      <c r="AK61" s="150">
        <v>2771</v>
      </c>
      <c r="AL61" s="24">
        <v>2773</v>
      </c>
      <c r="AM61" s="282">
        <v>2773</v>
      </c>
      <c r="AN61" s="24">
        <v>2775</v>
      </c>
      <c r="AO61" s="213">
        <v>2775</v>
      </c>
    </row>
    <row r="62" spans="2:41" ht="3.6" customHeight="1">
      <c r="B62" s="172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</row>
    <row r="63" spans="2:41" ht="13.9" customHeight="1">
      <c r="B63" s="2"/>
      <c r="C63" s="355"/>
      <c r="D63" s="355"/>
      <c r="E63" s="361"/>
      <c r="F63" s="361"/>
      <c r="G63" s="361"/>
      <c r="H63" s="361"/>
      <c r="I63" s="355"/>
      <c r="J63" s="361"/>
      <c r="K63" s="361"/>
      <c r="L63" s="361"/>
      <c r="M63" s="361"/>
      <c r="N63" s="355"/>
      <c r="O63" s="361"/>
      <c r="P63" s="361"/>
      <c r="Q63" s="361"/>
      <c r="R63" s="361"/>
      <c r="S63" s="355"/>
      <c r="T63" s="361"/>
      <c r="U63" s="361"/>
      <c r="V63" s="361"/>
      <c r="W63" s="361"/>
      <c r="X63" s="363"/>
      <c r="Y63" s="361"/>
      <c r="Z63" s="355"/>
      <c r="AA63" s="361"/>
      <c r="AB63" s="361"/>
      <c r="AC63" s="363"/>
      <c r="AD63" s="361"/>
      <c r="AE63" s="355"/>
      <c r="AF63" s="361"/>
      <c r="AG63" s="361"/>
      <c r="AH63" s="363"/>
      <c r="AI63" s="361"/>
      <c r="AJ63" s="355"/>
      <c r="AK63" s="361"/>
      <c r="AL63" s="361"/>
      <c r="AM63" s="361"/>
      <c r="AN63" s="361"/>
      <c r="AO63" s="363"/>
    </row>
    <row r="64" spans="2:41" ht="25.35" customHeight="1">
      <c r="B64" s="177" t="s">
        <v>211</v>
      </c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</row>
    <row r="65" spans="1:160" s="122" customFormat="1" ht="13.9" customHeight="1">
      <c r="A65"/>
      <c r="B65" s="273" t="s">
        <v>85</v>
      </c>
      <c r="C65" s="274"/>
      <c r="D65" s="274"/>
      <c r="E65" s="274"/>
      <c r="F65" s="274"/>
      <c r="G65" s="274"/>
      <c r="H65" s="274"/>
      <c r="I65" s="274"/>
      <c r="J65" s="274"/>
      <c r="K65" s="274"/>
      <c r="L65" s="274"/>
      <c r="M65" s="274"/>
      <c r="N65" s="274"/>
      <c r="O65" s="274"/>
      <c r="P65" s="274"/>
      <c r="Q65" s="274"/>
      <c r="R65" s="274"/>
      <c r="S65" s="274"/>
      <c r="T65" s="274"/>
      <c r="U65" s="274"/>
      <c r="V65" s="274"/>
      <c r="W65" s="274"/>
      <c r="X65" s="274"/>
      <c r="Y65" s="274"/>
      <c r="Z65" s="274"/>
      <c r="AA65" s="274"/>
      <c r="AB65" s="274"/>
      <c r="AC65" s="274"/>
      <c r="AD65" s="274"/>
      <c r="AE65" s="274"/>
      <c r="AF65" s="274"/>
      <c r="AG65" s="274"/>
      <c r="AH65" s="274"/>
      <c r="AI65" s="274"/>
      <c r="AJ65" s="274"/>
      <c r="AK65" s="274"/>
      <c r="AL65" s="274"/>
      <c r="AM65" s="274"/>
      <c r="AN65" s="274"/>
      <c r="AO65" s="274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</row>
    <row r="66" spans="1:160" ht="13.9" customHeight="1">
      <c r="B66" s="12" t="s">
        <v>174</v>
      </c>
      <c r="C66" s="210">
        <v>3903</v>
      </c>
      <c r="D66" s="210">
        <v>3413</v>
      </c>
      <c r="E66" s="355">
        <v>819</v>
      </c>
      <c r="F66" s="355">
        <v>822</v>
      </c>
      <c r="G66" s="355">
        <v>813</v>
      </c>
      <c r="H66" s="355">
        <v>854</v>
      </c>
      <c r="I66" s="210">
        <v>3308</v>
      </c>
      <c r="J66" s="355">
        <v>801</v>
      </c>
      <c r="K66" s="355">
        <v>760</v>
      </c>
      <c r="L66" s="355">
        <v>790</v>
      </c>
      <c r="M66" s="355">
        <v>822</v>
      </c>
      <c r="N66" s="210">
        <v>3173</v>
      </c>
      <c r="O66" s="355">
        <v>831</v>
      </c>
      <c r="P66" s="355">
        <v>797</v>
      </c>
      <c r="Q66" s="355">
        <v>742</v>
      </c>
      <c r="R66" s="355">
        <v>887</v>
      </c>
      <c r="S66" s="210">
        <v>3257</v>
      </c>
      <c r="T66" s="19">
        <v>827</v>
      </c>
      <c r="U66" s="19">
        <v>834</v>
      </c>
      <c r="V66" s="19">
        <v>848</v>
      </c>
      <c r="W66" s="19">
        <v>880</v>
      </c>
      <c r="X66" s="210">
        <v>3389</v>
      </c>
      <c r="Y66" s="19">
        <v>884</v>
      </c>
      <c r="Z66" s="19">
        <v>843</v>
      </c>
      <c r="AA66" s="19">
        <v>815</v>
      </c>
      <c r="AB66" s="61">
        <v>832</v>
      </c>
      <c r="AC66" s="210">
        <v>3374</v>
      </c>
      <c r="AD66" s="19">
        <v>856</v>
      </c>
      <c r="AE66" s="19">
        <v>812</v>
      </c>
      <c r="AF66" s="19">
        <v>832</v>
      </c>
      <c r="AG66" s="61">
        <v>757</v>
      </c>
      <c r="AH66" s="210">
        <v>3257</v>
      </c>
      <c r="AI66" s="19">
        <v>829</v>
      </c>
      <c r="AJ66" s="19">
        <v>679</v>
      </c>
      <c r="AK66" s="137">
        <v>1508</v>
      </c>
      <c r="AL66" s="19">
        <v>661</v>
      </c>
      <c r="AM66" s="276">
        <v>2169</v>
      </c>
      <c r="AN66" s="61">
        <v>691</v>
      </c>
      <c r="AO66" s="210">
        <v>2860</v>
      </c>
    </row>
    <row r="67" spans="1:160" ht="13.9" customHeight="1">
      <c r="B67" s="20" t="s">
        <v>5</v>
      </c>
      <c r="C67" s="211"/>
      <c r="D67" s="211"/>
      <c r="E67" s="357"/>
      <c r="F67" s="357">
        <v>3.66300366300365E-3</v>
      </c>
      <c r="G67" s="357">
        <v>-1.0948905109489093E-2</v>
      </c>
      <c r="H67" s="357">
        <v>5.0430504305043033E-2</v>
      </c>
      <c r="I67" s="211"/>
      <c r="J67" s="357">
        <v>-6.2060889929742347E-2</v>
      </c>
      <c r="K67" s="357">
        <v>-5.1186017478152324E-2</v>
      </c>
      <c r="L67" s="357">
        <v>3.9473684210526327E-2</v>
      </c>
      <c r="M67" s="357">
        <v>4.0506329113924044E-2</v>
      </c>
      <c r="N67" s="211"/>
      <c r="O67" s="357">
        <v>1.0948905109489093E-2</v>
      </c>
      <c r="P67" s="357">
        <v>-4.0914560770156427E-2</v>
      </c>
      <c r="Q67" s="357">
        <v>-6.9008782936009982E-2</v>
      </c>
      <c r="R67" s="357">
        <v>0.19541778975741231</v>
      </c>
      <c r="S67" s="211"/>
      <c r="T67" s="21">
        <v>-6.7643742953776731E-2</v>
      </c>
      <c r="U67" s="21">
        <v>8.46432889963733E-3</v>
      </c>
      <c r="V67" s="21">
        <v>1.6786570743405171E-2</v>
      </c>
      <c r="W67" s="21">
        <v>3.7735849056603765E-2</v>
      </c>
      <c r="X67" s="211"/>
      <c r="Y67" s="21">
        <v>4.5454545454546302E-3</v>
      </c>
      <c r="Z67" s="21">
        <v>-4.6380090497737503E-2</v>
      </c>
      <c r="AA67" s="21">
        <v>-3.3214709371293005E-2</v>
      </c>
      <c r="AB67" s="21">
        <v>2.0858895705521574E-2</v>
      </c>
      <c r="AC67" s="211"/>
      <c r="AD67" s="21">
        <v>2.8846153846153744E-2</v>
      </c>
      <c r="AE67" s="21">
        <v>-5.1401869158878455E-2</v>
      </c>
      <c r="AF67" s="21">
        <v>2.4630541871921263E-2</v>
      </c>
      <c r="AG67" s="21">
        <v>-9.0144230769230727E-2</v>
      </c>
      <c r="AH67" s="211"/>
      <c r="AI67" s="21">
        <v>9.5112285336856006E-2</v>
      </c>
      <c r="AJ67" s="21">
        <v>-0.18094089264173707</v>
      </c>
      <c r="AK67" s="138"/>
      <c r="AL67" s="21">
        <v>-2.6509572901325495E-2</v>
      </c>
      <c r="AM67" s="277"/>
      <c r="AN67" s="21">
        <v>4.5385779122541603E-2</v>
      </c>
      <c r="AO67" s="211"/>
    </row>
    <row r="68" spans="1:160" ht="13.9" customHeight="1">
      <c r="B68" s="20" t="s">
        <v>6</v>
      </c>
      <c r="C68" s="211"/>
      <c r="D68" s="211">
        <v>-0.12554445298488337</v>
      </c>
      <c r="E68" s="66"/>
      <c r="F68" s="66"/>
      <c r="G68" s="66"/>
      <c r="H68" s="66"/>
      <c r="I68" s="211">
        <v>-3.0764723117491899E-2</v>
      </c>
      <c r="J68" s="66">
        <v>-2.1978021978022011E-2</v>
      </c>
      <c r="K68" s="66">
        <v>-7.5425790754257926E-2</v>
      </c>
      <c r="L68" s="66">
        <v>-2.8290282902828978E-2</v>
      </c>
      <c r="M68" s="66">
        <v>-3.7470725995316201E-2</v>
      </c>
      <c r="N68" s="211">
        <v>-4.0810157194679619E-2</v>
      </c>
      <c r="O68" s="66">
        <v>3.7453183520599342E-2</v>
      </c>
      <c r="P68" s="66">
        <v>4.8684210526315885E-2</v>
      </c>
      <c r="Q68" s="66">
        <v>-6.0759493670886067E-2</v>
      </c>
      <c r="R68" s="66">
        <v>7.9075425790754217E-2</v>
      </c>
      <c r="S68" s="211">
        <v>2.6473369051370987E-2</v>
      </c>
      <c r="T68" s="22">
        <v>-4.8134777376654947E-3</v>
      </c>
      <c r="U68" s="22">
        <v>4.6424090338770485E-2</v>
      </c>
      <c r="V68" s="22">
        <v>0.14285714285714279</v>
      </c>
      <c r="W68" s="22">
        <v>-7.8917700112739464E-3</v>
      </c>
      <c r="X68" s="211">
        <v>4.0528093337427018E-2</v>
      </c>
      <c r="Y68" s="22">
        <v>6.8923821039903244E-2</v>
      </c>
      <c r="Z68" s="22">
        <v>1.0791366906474753E-2</v>
      </c>
      <c r="AA68" s="22">
        <v>-3.8915094339622591E-2</v>
      </c>
      <c r="AB68" s="22">
        <v>-5.4545454545454564E-2</v>
      </c>
      <c r="AC68" s="211">
        <v>-4.4260843906757108E-3</v>
      </c>
      <c r="AD68" s="22">
        <v>-3.1674208144796379E-2</v>
      </c>
      <c r="AE68" s="22">
        <v>-3.6773428232502958E-2</v>
      </c>
      <c r="AF68" s="22">
        <v>2.0858895705521574E-2</v>
      </c>
      <c r="AG68" s="22">
        <v>-9.0144230769230727E-2</v>
      </c>
      <c r="AH68" s="211">
        <v>-3.4676941315945453E-2</v>
      </c>
      <c r="AI68" s="22">
        <v>-3.1542056074766345E-2</v>
      </c>
      <c r="AJ68" s="22">
        <v>-0.16379310344827591</v>
      </c>
      <c r="AK68" s="139"/>
      <c r="AL68" s="22">
        <v>-0.20552884615384615</v>
      </c>
      <c r="AM68" s="278" t="e">
        <v>#REF!</v>
      </c>
      <c r="AN68" s="22">
        <v>-8.7186261558784728E-2</v>
      </c>
      <c r="AO68" s="211">
        <v>-0.12189131102241324</v>
      </c>
    </row>
    <row r="69" spans="1:160" ht="13.9" customHeight="1">
      <c r="B69" s="12" t="s">
        <v>43</v>
      </c>
      <c r="C69" s="210">
        <v>805</v>
      </c>
      <c r="D69" s="210">
        <v>789</v>
      </c>
      <c r="E69" s="355">
        <v>189</v>
      </c>
      <c r="F69" s="355">
        <v>194</v>
      </c>
      <c r="G69" s="355">
        <v>193</v>
      </c>
      <c r="H69" s="355">
        <v>181</v>
      </c>
      <c r="I69" s="210">
        <v>757</v>
      </c>
      <c r="J69" s="355">
        <v>185</v>
      </c>
      <c r="K69" s="355">
        <v>201</v>
      </c>
      <c r="L69" s="355">
        <v>199</v>
      </c>
      <c r="M69" s="355">
        <v>191</v>
      </c>
      <c r="N69" s="210">
        <v>776</v>
      </c>
      <c r="O69" s="355">
        <v>182</v>
      </c>
      <c r="P69" s="355">
        <v>180</v>
      </c>
      <c r="Q69" s="355">
        <v>173</v>
      </c>
      <c r="R69" s="355">
        <v>182</v>
      </c>
      <c r="S69" s="210">
        <v>717</v>
      </c>
      <c r="T69" s="19">
        <v>183</v>
      </c>
      <c r="U69" s="19">
        <v>179</v>
      </c>
      <c r="V69" s="19">
        <v>192</v>
      </c>
      <c r="W69" s="19">
        <v>189</v>
      </c>
      <c r="X69" s="210">
        <v>743</v>
      </c>
      <c r="Y69" s="19">
        <v>202</v>
      </c>
      <c r="Z69" s="19">
        <v>197</v>
      </c>
      <c r="AA69" s="19">
        <v>181</v>
      </c>
      <c r="AB69" s="61">
        <v>182</v>
      </c>
      <c r="AC69" s="210">
        <v>762</v>
      </c>
      <c r="AD69" s="19">
        <v>178</v>
      </c>
      <c r="AE69" s="19">
        <v>169</v>
      </c>
      <c r="AF69" s="19">
        <v>147</v>
      </c>
      <c r="AG69" s="61">
        <v>119</v>
      </c>
      <c r="AH69" s="210">
        <v>613</v>
      </c>
      <c r="AI69" s="19">
        <v>125</v>
      </c>
      <c r="AJ69" s="19">
        <v>114</v>
      </c>
      <c r="AK69" s="137">
        <v>239</v>
      </c>
      <c r="AL69" s="19">
        <v>79</v>
      </c>
      <c r="AM69" s="276">
        <v>318</v>
      </c>
      <c r="AN69" s="61">
        <v>71</v>
      </c>
      <c r="AO69" s="210">
        <v>389</v>
      </c>
    </row>
    <row r="70" spans="1:160" ht="13.9" customHeight="1">
      <c r="B70" s="20" t="s">
        <v>5</v>
      </c>
      <c r="C70" s="211"/>
      <c r="D70" s="211"/>
      <c r="E70" s="357"/>
      <c r="F70" s="357">
        <v>2.6455026455026509E-2</v>
      </c>
      <c r="G70" s="357">
        <v>-5.1546391752577136E-3</v>
      </c>
      <c r="H70" s="357">
        <v>-6.2176165803108807E-2</v>
      </c>
      <c r="I70" s="211"/>
      <c r="J70" s="357">
        <v>2.2099447513812098E-2</v>
      </c>
      <c r="K70" s="357">
        <v>8.6486486486486491E-2</v>
      </c>
      <c r="L70" s="357">
        <v>-9.9502487562188602E-3</v>
      </c>
      <c r="M70" s="357">
        <v>-4.020100502512558E-2</v>
      </c>
      <c r="N70" s="211"/>
      <c r="O70" s="357">
        <v>-4.7120418848167533E-2</v>
      </c>
      <c r="P70" s="357">
        <v>-1.098901098901095E-2</v>
      </c>
      <c r="Q70" s="357">
        <v>-3.8888888888888862E-2</v>
      </c>
      <c r="R70" s="357">
        <v>5.2023121387283267E-2</v>
      </c>
      <c r="S70" s="211"/>
      <c r="T70" s="21">
        <v>5.494505494505475E-3</v>
      </c>
      <c r="U70" s="21">
        <v>-2.1857923497267784E-2</v>
      </c>
      <c r="V70" s="21">
        <v>7.2625698324022325E-2</v>
      </c>
      <c r="W70" s="21">
        <v>-1.5625E-2</v>
      </c>
      <c r="X70" s="211"/>
      <c r="Y70" s="21">
        <v>6.8783068783068835E-2</v>
      </c>
      <c r="Z70" s="21">
        <v>-2.4752475247524774E-2</v>
      </c>
      <c r="AA70" s="21">
        <v>-8.1218274111675148E-2</v>
      </c>
      <c r="AB70" s="21">
        <v>5.5248618784531356E-3</v>
      </c>
      <c r="AC70" s="211"/>
      <c r="AD70" s="21">
        <v>-2.1978021978022011E-2</v>
      </c>
      <c r="AE70" s="21">
        <v>-5.0561797752809001E-2</v>
      </c>
      <c r="AF70" s="21">
        <v>-0.13017751479289941</v>
      </c>
      <c r="AG70" s="21">
        <v>-0.19047619047619047</v>
      </c>
      <c r="AH70" s="211"/>
      <c r="AI70" s="21">
        <v>5.0420168067226934E-2</v>
      </c>
      <c r="AJ70" s="21">
        <v>-8.7999999999999967E-2</v>
      </c>
      <c r="AK70" s="138"/>
      <c r="AL70" s="21">
        <v>-0.30701754385964908</v>
      </c>
      <c r="AM70" s="277"/>
      <c r="AN70" s="21">
        <v>-0.10126582278481011</v>
      </c>
      <c r="AO70" s="211"/>
    </row>
    <row r="71" spans="1:160" ht="13.9" customHeight="1">
      <c r="B71" s="20" t="s">
        <v>6</v>
      </c>
      <c r="C71" s="211"/>
      <c r="D71" s="211">
        <v>-1.9875776397515477E-2</v>
      </c>
      <c r="E71" s="66"/>
      <c r="F71" s="66"/>
      <c r="G71" s="66"/>
      <c r="H71" s="66"/>
      <c r="I71" s="211">
        <v>-4.0557667934093766E-2</v>
      </c>
      <c r="J71" s="66">
        <v>-2.1164021164021163E-2</v>
      </c>
      <c r="K71" s="66">
        <v>3.6082474226804218E-2</v>
      </c>
      <c r="L71" s="66">
        <v>3.1088082901554515E-2</v>
      </c>
      <c r="M71" s="66">
        <v>5.5248618784530468E-2</v>
      </c>
      <c r="N71" s="211">
        <v>2.5099075297225992E-2</v>
      </c>
      <c r="O71" s="66">
        <v>-1.6216216216216162E-2</v>
      </c>
      <c r="P71" s="66">
        <v>-0.10447761194029848</v>
      </c>
      <c r="Q71" s="66">
        <v>-0.1306532663316583</v>
      </c>
      <c r="R71" s="66">
        <v>-4.7120418848167533E-2</v>
      </c>
      <c r="S71" s="211">
        <v>-7.6030927835051498E-2</v>
      </c>
      <c r="T71" s="22">
        <v>5.494505494505475E-3</v>
      </c>
      <c r="U71" s="22">
        <v>-5.5555555555555358E-3</v>
      </c>
      <c r="V71" s="22">
        <v>0.10982658959537561</v>
      </c>
      <c r="W71" s="22">
        <v>3.8461538461538547E-2</v>
      </c>
      <c r="X71" s="211">
        <v>3.6262203626220346E-2</v>
      </c>
      <c r="Y71" s="22">
        <v>0.10382513661202175</v>
      </c>
      <c r="Z71" s="22">
        <v>0.1005586592178771</v>
      </c>
      <c r="AA71" s="22">
        <v>-5.729166666666663E-2</v>
      </c>
      <c r="AB71" s="22">
        <v>-3.703703703703709E-2</v>
      </c>
      <c r="AC71" s="211">
        <v>2.5572005383580176E-2</v>
      </c>
      <c r="AD71" s="22">
        <v>-0.11881188118811881</v>
      </c>
      <c r="AE71" s="22">
        <v>-0.14213197969543145</v>
      </c>
      <c r="AF71" s="22">
        <v>-0.18784530386740328</v>
      </c>
      <c r="AG71" s="22">
        <v>-0.34615384615384615</v>
      </c>
      <c r="AH71" s="211">
        <v>-0.1955380577427821</v>
      </c>
      <c r="AI71" s="22">
        <v>-0.297752808988764</v>
      </c>
      <c r="AJ71" s="22">
        <v>-0.32544378698224852</v>
      </c>
      <c r="AK71" s="139"/>
      <c r="AL71" s="22">
        <v>-0.4625850340136054</v>
      </c>
      <c r="AM71" s="278"/>
      <c r="AN71" s="22">
        <v>-0.40336134453781514</v>
      </c>
      <c r="AO71" s="211">
        <v>-0.36541598694942901</v>
      </c>
    </row>
    <row r="72" spans="1:160" ht="13.9" customHeight="1">
      <c r="B72" s="12" t="s">
        <v>44</v>
      </c>
      <c r="C72" s="210">
        <v>867</v>
      </c>
      <c r="D72" s="210">
        <v>771</v>
      </c>
      <c r="E72" s="355">
        <v>191</v>
      </c>
      <c r="F72" s="355">
        <v>181</v>
      </c>
      <c r="G72" s="355">
        <v>202</v>
      </c>
      <c r="H72" s="355">
        <v>232</v>
      </c>
      <c r="I72" s="210">
        <v>806</v>
      </c>
      <c r="J72" s="355">
        <v>188</v>
      </c>
      <c r="K72" s="355">
        <v>176</v>
      </c>
      <c r="L72" s="355">
        <v>189</v>
      </c>
      <c r="M72" s="355">
        <v>194</v>
      </c>
      <c r="N72" s="210">
        <v>747</v>
      </c>
      <c r="O72" s="355">
        <v>221</v>
      </c>
      <c r="P72" s="355">
        <v>200</v>
      </c>
      <c r="Q72" s="355">
        <v>146</v>
      </c>
      <c r="R72" s="355">
        <v>236</v>
      </c>
      <c r="S72" s="210">
        <v>803</v>
      </c>
      <c r="T72" s="19">
        <v>203</v>
      </c>
      <c r="U72" s="19">
        <v>191</v>
      </c>
      <c r="V72" s="19">
        <v>182</v>
      </c>
      <c r="W72" s="19">
        <v>206</v>
      </c>
      <c r="X72" s="210">
        <v>782</v>
      </c>
      <c r="Y72" s="19">
        <v>221</v>
      </c>
      <c r="Z72" s="19">
        <v>181</v>
      </c>
      <c r="AA72" s="19">
        <v>202</v>
      </c>
      <c r="AB72" s="61">
        <v>221</v>
      </c>
      <c r="AC72" s="210">
        <v>825</v>
      </c>
      <c r="AD72" s="19">
        <v>216</v>
      </c>
      <c r="AE72" s="19">
        <v>182</v>
      </c>
      <c r="AF72" s="19">
        <v>199</v>
      </c>
      <c r="AG72" s="61">
        <v>231</v>
      </c>
      <c r="AH72" s="210">
        <v>828</v>
      </c>
      <c r="AI72" s="19">
        <v>219</v>
      </c>
      <c r="AJ72" s="19">
        <v>186</v>
      </c>
      <c r="AK72" s="137">
        <v>405</v>
      </c>
      <c r="AL72" s="19">
        <v>203</v>
      </c>
      <c r="AM72" s="276">
        <v>608</v>
      </c>
      <c r="AN72" s="61">
        <v>229</v>
      </c>
      <c r="AO72" s="210">
        <v>837</v>
      </c>
    </row>
    <row r="73" spans="1:160" ht="13.9" customHeight="1">
      <c r="B73" s="20" t="s">
        <v>5</v>
      </c>
      <c r="C73" s="211"/>
      <c r="D73" s="211"/>
      <c r="E73" s="357"/>
      <c r="F73" s="357">
        <v>-5.2356020942408432E-2</v>
      </c>
      <c r="G73" s="357">
        <v>0.11602209944751385</v>
      </c>
      <c r="H73" s="357">
        <v>0.14851485148514842</v>
      </c>
      <c r="I73" s="211"/>
      <c r="J73" s="357">
        <v>-0.18965517241379315</v>
      </c>
      <c r="K73" s="357">
        <v>-6.3829787234042534E-2</v>
      </c>
      <c r="L73" s="357">
        <v>7.3863636363636465E-2</v>
      </c>
      <c r="M73" s="357">
        <v>2.6455026455026509E-2</v>
      </c>
      <c r="N73" s="211"/>
      <c r="O73" s="357">
        <v>0.13917525773195871</v>
      </c>
      <c r="P73" s="357">
        <v>-9.5022624434389136E-2</v>
      </c>
      <c r="Q73" s="357">
        <v>-0.27</v>
      </c>
      <c r="R73" s="357">
        <v>0.61643835616438358</v>
      </c>
      <c r="S73" s="211"/>
      <c r="T73" s="21">
        <v>-0.13983050847457623</v>
      </c>
      <c r="U73" s="21">
        <v>-5.9113300492610876E-2</v>
      </c>
      <c r="V73" s="21">
        <v>-4.7120418848167533E-2</v>
      </c>
      <c r="W73" s="21">
        <v>0.13186813186813184</v>
      </c>
      <c r="X73" s="211"/>
      <c r="Y73" s="21">
        <v>7.2815533980582492E-2</v>
      </c>
      <c r="Z73" s="21">
        <v>-0.1809954751131222</v>
      </c>
      <c r="AA73" s="21">
        <v>0.11602209944751385</v>
      </c>
      <c r="AB73" s="21">
        <v>9.4059405940594143E-2</v>
      </c>
      <c r="AC73" s="211"/>
      <c r="AD73" s="21">
        <v>-2.2624434389140302E-2</v>
      </c>
      <c r="AE73" s="21">
        <v>-0.15740740740740744</v>
      </c>
      <c r="AF73" s="21">
        <v>9.3406593406593297E-2</v>
      </c>
      <c r="AG73" s="21">
        <v>0.16080402010050254</v>
      </c>
      <c r="AH73" s="211"/>
      <c r="AI73" s="21">
        <v>-5.1948051948051965E-2</v>
      </c>
      <c r="AJ73" s="21">
        <v>-0.15068493150684936</v>
      </c>
      <c r="AK73" s="138"/>
      <c r="AL73" s="21">
        <v>9.139784946236551E-2</v>
      </c>
      <c r="AM73" s="277"/>
      <c r="AN73" s="21">
        <v>0.12807881773399021</v>
      </c>
      <c r="AO73" s="211"/>
    </row>
    <row r="74" spans="1:160" ht="13.9" customHeight="1">
      <c r="B74" s="20" t="s">
        <v>6</v>
      </c>
      <c r="C74" s="211"/>
      <c r="D74" s="211">
        <v>-0.11072664359861595</v>
      </c>
      <c r="E74" s="66"/>
      <c r="F74" s="66"/>
      <c r="G74" s="66"/>
      <c r="H74" s="66"/>
      <c r="I74" s="211">
        <v>4.5395590142671916E-2</v>
      </c>
      <c r="J74" s="66">
        <v>-1.5706806282722474E-2</v>
      </c>
      <c r="K74" s="66">
        <v>-2.7624309392265234E-2</v>
      </c>
      <c r="L74" s="66">
        <v>-6.4356435643564303E-2</v>
      </c>
      <c r="M74" s="66">
        <v>-0.16379310344827591</v>
      </c>
      <c r="N74" s="211">
        <v>-7.3200992555831235E-2</v>
      </c>
      <c r="O74" s="66">
        <v>0.17553191489361697</v>
      </c>
      <c r="P74" s="66">
        <v>0.13636363636363646</v>
      </c>
      <c r="Q74" s="66">
        <v>-0.22751322751322756</v>
      </c>
      <c r="R74" s="66">
        <v>0.21649484536082464</v>
      </c>
      <c r="S74" s="211">
        <v>7.4966532797858143E-2</v>
      </c>
      <c r="T74" s="22">
        <v>-8.1447963800905021E-2</v>
      </c>
      <c r="U74" s="22">
        <v>-4.500000000000004E-2</v>
      </c>
      <c r="V74" s="22">
        <v>0.24657534246575352</v>
      </c>
      <c r="W74" s="22">
        <v>-0.1271186440677966</v>
      </c>
      <c r="X74" s="211">
        <v>-2.6151930261519296E-2</v>
      </c>
      <c r="Y74" s="22">
        <v>8.8669950738916148E-2</v>
      </c>
      <c r="Z74" s="22">
        <v>-5.2356020942408432E-2</v>
      </c>
      <c r="AA74" s="22">
        <v>0.10989010989010994</v>
      </c>
      <c r="AB74" s="22">
        <v>7.2815533980582492E-2</v>
      </c>
      <c r="AC74" s="211">
        <v>5.4987212276214725E-2</v>
      </c>
      <c r="AD74" s="22">
        <v>-2.2624434389140302E-2</v>
      </c>
      <c r="AE74" s="22">
        <v>5.5248618784531356E-3</v>
      </c>
      <c r="AF74" s="22">
        <v>-1.4851485148514865E-2</v>
      </c>
      <c r="AG74" s="22">
        <v>4.5248868778280604E-2</v>
      </c>
      <c r="AH74" s="211">
        <v>3.6363636363636598E-3</v>
      </c>
      <c r="AI74" s="22">
        <v>1.388888888888884E-2</v>
      </c>
      <c r="AJ74" s="22">
        <v>2.19780219780219E-2</v>
      </c>
      <c r="AK74" s="139"/>
      <c r="AL74" s="22">
        <v>2.0100502512562901E-2</v>
      </c>
      <c r="AM74" s="278"/>
      <c r="AN74" s="22">
        <v>-8.6580086580086979E-3</v>
      </c>
      <c r="AO74" s="211">
        <v>1.0869565217391353E-2</v>
      </c>
    </row>
    <row r="75" spans="1:160" ht="13.9" customHeight="1">
      <c r="B75" s="12" t="s">
        <v>466</v>
      </c>
      <c r="C75" s="210">
        <v>636</v>
      </c>
      <c r="D75" s="210">
        <v>653</v>
      </c>
      <c r="E75" s="355">
        <v>160</v>
      </c>
      <c r="F75" s="355">
        <v>176</v>
      </c>
      <c r="G75" s="355">
        <v>149</v>
      </c>
      <c r="H75" s="355">
        <v>159</v>
      </c>
      <c r="I75" s="210">
        <v>644</v>
      </c>
      <c r="J75" s="355">
        <v>164</v>
      </c>
      <c r="K75" s="355">
        <v>143</v>
      </c>
      <c r="L75" s="355">
        <v>135</v>
      </c>
      <c r="M75" s="355">
        <v>147</v>
      </c>
      <c r="N75" s="210">
        <v>589</v>
      </c>
      <c r="O75" s="355">
        <v>144</v>
      </c>
      <c r="P75" s="355">
        <v>133</v>
      </c>
      <c r="Q75" s="355">
        <v>128</v>
      </c>
      <c r="R75" s="355">
        <v>148</v>
      </c>
      <c r="S75" s="210">
        <v>553</v>
      </c>
      <c r="T75" s="19">
        <v>131</v>
      </c>
      <c r="U75" s="19">
        <v>149</v>
      </c>
      <c r="V75" s="19">
        <v>138</v>
      </c>
      <c r="W75" s="19">
        <v>149</v>
      </c>
      <c r="X75" s="210">
        <v>567</v>
      </c>
      <c r="Y75" s="19">
        <v>141</v>
      </c>
      <c r="Z75" s="19">
        <v>137</v>
      </c>
      <c r="AA75" s="19">
        <v>123</v>
      </c>
      <c r="AB75" s="61">
        <v>129</v>
      </c>
      <c r="AC75" s="210">
        <v>530</v>
      </c>
      <c r="AD75" s="19">
        <v>128</v>
      </c>
      <c r="AE75" s="19">
        <v>135</v>
      </c>
      <c r="AF75" s="19">
        <v>122</v>
      </c>
      <c r="AG75" s="61">
        <v>106</v>
      </c>
      <c r="AH75" s="210">
        <v>491</v>
      </c>
      <c r="AI75" s="19">
        <v>129</v>
      </c>
      <c r="AJ75" s="19">
        <v>38</v>
      </c>
      <c r="AK75" s="137">
        <v>167</v>
      </c>
      <c r="AL75" s="19">
        <v>25</v>
      </c>
      <c r="AM75" s="276">
        <v>192</v>
      </c>
      <c r="AN75" s="61">
        <v>76</v>
      </c>
      <c r="AO75" s="210">
        <v>268</v>
      </c>
    </row>
    <row r="76" spans="1:160" ht="13.9" customHeight="1">
      <c r="B76" s="20" t="s">
        <v>5</v>
      </c>
      <c r="C76" s="211"/>
      <c r="D76" s="211"/>
      <c r="E76" s="357"/>
      <c r="F76" s="357">
        <v>0.10000000000000009</v>
      </c>
      <c r="G76" s="357">
        <v>-0.15340909090909094</v>
      </c>
      <c r="H76" s="357">
        <v>6.7114093959731447E-2</v>
      </c>
      <c r="I76" s="211"/>
      <c r="J76" s="357">
        <v>3.1446540880503138E-2</v>
      </c>
      <c r="K76" s="357">
        <v>-0.12804878048780488</v>
      </c>
      <c r="L76" s="357">
        <v>-5.5944055944055937E-2</v>
      </c>
      <c r="M76" s="357">
        <v>8.8888888888888795E-2</v>
      </c>
      <c r="N76" s="211"/>
      <c r="O76" s="357">
        <v>-2.0408163265306145E-2</v>
      </c>
      <c r="P76" s="357">
        <v>-7.638888888888884E-2</v>
      </c>
      <c r="Q76" s="357">
        <v>-3.7593984962406068E-2</v>
      </c>
      <c r="R76" s="357">
        <v>0.15625</v>
      </c>
      <c r="S76" s="211"/>
      <c r="T76" s="21">
        <v>-0.11486486486486491</v>
      </c>
      <c r="U76" s="21">
        <v>0.13740458015267176</v>
      </c>
      <c r="V76" s="21">
        <v>-7.3825503355704702E-2</v>
      </c>
      <c r="W76" s="21">
        <v>7.9710144927536142E-2</v>
      </c>
      <c r="X76" s="211"/>
      <c r="Y76" s="21">
        <v>-5.3691275167785268E-2</v>
      </c>
      <c r="Z76" s="21">
        <v>-2.8368794326241176E-2</v>
      </c>
      <c r="AA76" s="21">
        <v>-0.1021897810218978</v>
      </c>
      <c r="AB76" s="21">
        <v>4.8780487804878092E-2</v>
      </c>
      <c r="AC76" s="211"/>
      <c r="AD76" s="21">
        <v>-7.7519379844961378E-3</v>
      </c>
      <c r="AE76" s="21">
        <v>5.46875E-2</v>
      </c>
      <c r="AF76" s="21">
        <v>-9.6296296296296324E-2</v>
      </c>
      <c r="AG76" s="21">
        <v>-0.13114754098360659</v>
      </c>
      <c r="AH76" s="211"/>
      <c r="AI76" s="21">
        <v>0.21698113207547176</v>
      </c>
      <c r="AJ76" s="21">
        <v>-0.70542635658914721</v>
      </c>
      <c r="AK76" s="138"/>
      <c r="AL76" s="21">
        <v>-0.34210526315789469</v>
      </c>
      <c r="AM76" s="277"/>
      <c r="AN76" s="21">
        <v>2.04</v>
      </c>
      <c r="AO76" s="211"/>
    </row>
    <row r="77" spans="1:160" ht="13.9" customHeight="1">
      <c r="B77" s="20" t="s">
        <v>6</v>
      </c>
      <c r="C77" s="211"/>
      <c r="D77" s="211">
        <v>2.6729559748427612E-2</v>
      </c>
      <c r="E77" s="66"/>
      <c r="F77" s="66"/>
      <c r="G77" s="66"/>
      <c r="H77" s="66"/>
      <c r="I77" s="211">
        <v>-1.3782542113323082E-2</v>
      </c>
      <c r="J77" s="66">
        <v>2.4999999999999911E-2</v>
      </c>
      <c r="K77" s="66">
        <v>-0.1875</v>
      </c>
      <c r="L77" s="66">
        <v>-9.3959731543624136E-2</v>
      </c>
      <c r="M77" s="66">
        <v>-7.547169811320753E-2</v>
      </c>
      <c r="N77" s="211">
        <v>-8.5403726708074501E-2</v>
      </c>
      <c r="O77" s="66">
        <v>-0.12195121951219512</v>
      </c>
      <c r="P77" s="66">
        <v>-6.9930069930069894E-2</v>
      </c>
      <c r="Q77" s="66">
        <v>-5.1851851851851816E-2</v>
      </c>
      <c r="R77" s="66">
        <v>6.8027210884353817E-3</v>
      </c>
      <c r="S77" s="211">
        <v>-6.1120543293718188E-2</v>
      </c>
      <c r="T77" s="22">
        <v>-9.027777777777779E-2</v>
      </c>
      <c r="U77" s="22">
        <v>0.12030075187969924</v>
      </c>
      <c r="V77" s="22">
        <v>7.8125E-2</v>
      </c>
      <c r="W77" s="22">
        <v>6.7567567567567988E-3</v>
      </c>
      <c r="X77" s="211">
        <v>2.5316455696202445E-2</v>
      </c>
      <c r="Y77" s="22">
        <v>7.6335877862595325E-2</v>
      </c>
      <c r="Z77" s="22">
        <v>-8.0536912751677847E-2</v>
      </c>
      <c r="AA77" s="22">
        <v>-0.10869565217391308</v>
      </c>
      <c r="AB77" s="22">
        <v>-0.13422818791946312</v>
      </c>
      <c r="AC77" s="211">
        <v>-6.5255731922398641E-2</v>
      </c>
      <c r="AD77" s="22">
        <v>-9.219858156028371E-2</v>
      </c>
      <c r="AE77" s="22">
        <v>-1.4598540145985384E-2</v>
      </c>
      <c r="AF77" s="22">
        <v>-8.1300813008130524E-3</v>
      </c>
      <c r="AG77" s="22">
        <v>-0.17829457364341084</v>
      </c>
      <c r="AH77" s="211">
        <v>-7.3584905660377342E-2</v>
      </c>
      <c r="AI77" s="22">
        <v>7.8125E-3</v>
      </c>
      <c r="AJ77" s="22">
        <v>-0.71851851851851856</v>
      </c>
      <c r="AK77" s="139"/>
      <c r="AL77" s="22">
        <v>-0.79508196721311475</v>
      </c>
      <c r="AM77" s="278"/>
      <c r="AN77" s="22">
        <v>-0.28301886792452835</v>
      </c>
      <c r="AO77" s="211">
        <v>-0.45417515274949083</v>
      </c>
    </row>
    <row r="78" spans="1:160" ht="13.9" customHeight="1">
      <c r="B78" s="12" t="s">
        <v>52</v>
      </c>
      <c r="C78" s="210">
        <v>595</v>
      </c>
      <c r="D78" s="210">
        <v>555</v>
      </c>
      <c r="E78" s="355">
        <v>123</v>
      </c>
      <c r="F78" s="355">
        <v>118</v>
      </c>
      <c r="G78" s="355">
        <v>120</v>
      </c>
      <c r="H78" s="355">
        <v>128</v>
      </c>
      <c r="I78" s="210">
        <v>489</v>
      </c>
      <c r="J78" s="355">
        <v>117</v>
      </c>
      <c r="K78" s="355">
        <v>114</v>
      </c>
      <c r="L78" s="355">
        <v>117</v>
      </c>
      <c r="M78" s="355">
        <v>114</v>
      </c>
      <c r="N78" s="210">
        <v>462</v>
      </c>
      <c r="O78" s="355">
        <v>124</v>
      </c>
      <c r="P78" s="355">
        <v>127</v>
      </c>
      <c r="Q78" s="355">
        <v>138</v>
      </c>
      <c r="R78" s="355">
        <v>149</v>
      </c>
      <c r="S78" s="210">
        <v>538</v>
      </c>
      <c r="T78" s="19">
        <v>130</v>
      </c>
      <c r="U78" s="19">
        <v>129</v>
      </c>
      <c r="V78" s="19">
        <v>131</v>
      </c>
      <c r="W78" s="19">
        <v>142</v>
      </c>
      <c r="X78" s="210">
        <v>532</v>
      </c>
      <c r="Y78" s="19">
        <v>109</v>
      </c>
      <c r="Z78" s="19">
        <v>123</v>
      </c>
      <c r="AA78" s="19">
        <v>93</v>
      </c>
      <c r="AB78" s="61">
        <v>107</v>
      </c>
      <c r="AC78" s="210">
        <v>432</v>
      </c>
      <c r="AD78" s="19">
        <v>124</v>
      </c>
      <c r="AE78" s="19">
        <v>120</v>
      </c>
      <c r="AF78" s="19">
        <v>132</v>
      </c>
      <c r="AG78" s="61">
        <v>107</v>
      </c>
      <c r="AH78" s="210">
        <v>483</v>
      </c>
      <c r="AI78" s="19">
        <v>140</v>
      </c>
      <c r="AJ78" s="19">
        <v>137</v>
      </c>
      <c r="AK78" s="137">
        <v>277</v>
      </c>
      <c r="AL78" s="19">
        <v>132</v>
      </c>
      <c r="AM78" s="276">
        <v>409</v>
      </c>
      <c r="AN78" s="61">
        <v>107</v>
      </c>
      <c r="AO78" s="210">
        <v>516</v>
      </c>
    </row>
    <row r="79" spans="1:160" ht="13.9" customHeight="1">
      <c r="B79" s="20" t="s">
        <v>5</v>
      </c>
      <c r="C79" s="211"/>
      <c r="D79" s="211"/>
      <c r="E79" s="357"/>
      <c r="F79" s="357">
        <v>-4.065040650406504E-2</v>
      </c>
      <c r="G79" s="357">
        <v>1.6949152542372836E-2</v>
      </c>
      <c r="H79" s="357">
        <v>6.6666666666666652E-2</v>
      </c>
      <c r="I79" s="211"/>
      <c r="J79" s="357">
        <v>-8.59375E-2</v>
      </c>
      <c r="K79" s="357">
        <v>-2.5641025641025661E-2</v>
      </c>
      <c r="L79" s="357">
        <v>2.6315789473684292E-2</v>
      </c>
      <c r="M79" s="357">
        <v>-2.5641025641025661E-2</v>
      </c>
      <c r="N79" s="211"/>
      <c r="O79" s="357">
        <v>8.7719298245614086E-2</v>
      </c>
      <c r="P79" s="357">
        <v>2.4193548387096753E-2</v>
      </c>
      <c r="Q79" s="357">
        <v>8.6614173228346525E-2</v>
      </c>
      <c r="R79" s="357">
        <v>7.9710144927536142E-2</v>
      </c>
      <c r="S79" s="211"/>
      <c r="T79" s="21">
        <v>-0.12751677852348997</v>
      </c>
      <c r="U79" s="21">
        <v>-7.692307692307665E-3</v>
      </c>
      <c r="V79" s="21">
        <v>1.5503875968992276E-2</v>
      </c>
      <c r="W79" s="21">
        <v>8.3969465648854991E-2</v>
      </c>
      <c r="X79" s="211"/>
      <c r="Y79" s="21">
        <v>-0.23239436619718312</v>
      </c>
      <c r="Z79" s="21">
        <v>0.12844036697247696</v>
      </c>
      <c r="AA79" s="21">
        <v>-0.24390243902439024</v>
      </c>
      <c r="AB79" s="21">
        <v>0.15053763440860224</v>
      </c>
      <c r="AC79" s="211"/>
      <c r="AD79" s="21">
        <v>0.1588785046728971</v>
      </c>
      <c r="AE79" s="21">
        <v>-3.2258064516129004E-2</v>
      </c>
      <c r="AF79" s="21">
        <v>0.10000000000000009</v>
      </c>
      <c r="AG79" s="21">
        <v>-0.18939393939393945</v>
      </c>
      <c r="AH79" s="211"/>
      <c r="AI79" s="21">
        <v>0.30841121495327095</v>
      </c>
      <c r="AJ79" s="21">
        <v>-2.1428571428571463E-2</v>
      </c>
      <c r="AK79" s="138"/>
      <c r="AL79" s="21">
        <v>-3.6496350364963459E-2</v>
      </c>
      <c r="AM79" s="277"/>
      <c r="AN79" s="21">
        <v>-0.18939393939393945</v>
      </c>
      <c r="AO79" s="211"/>
    </row>
    <row r="80" spans="1:160" ht="13.9" customHeight="1">
      <c r="B80" s="20" t="s">
        <v>6</v>
      </c>
      <c r="C80" s="211"/>
      <c r="D80" s="211">
        <v>-6.7226890756302504E-2</v>
      </c>
      <c r="E80" s="66"/>
      <c r="F80" s="66"/>
      <c r="G80" s="66"/>
      <c r="H80" s="66"/>
      <c r="I80" s="211">
        <v>-0.11891891891891893</v>
      </c>
      <c r="J80" s="66">
        <v>-4.8780487804878092E-2</v>
      </c>
      <c r="K80" s="66">
        <v>-3.3898305084745783E-2</v>
      </c>
      <c r="L80" s="66">
        <v>-2.5000000000000022E-2</v>
      </c>
      <c r="M80" s="66">
        <v>-0.109375</v>
      </c>
      <c r="N80" s="211">
        <v>-5.5214723926380382E-2</v>
      </c>
      <c r="O80" s="66">
        <v>5.9829059829059839E-2</v>
      </c>
      <c r="P80" s="66">
        <v>0.11403508771929816</v>
      </c>
      <c r="Q80" s="66">
        <v>0.17948717948717952</v>
      </c>
      <c r="R80" s="66">
        <v>0.30701754385964919</v>
      </c>
      <c r="S80" s="211">
        <v>0.16450216450216448</v>
      </c>
      <c r="T80" s="22">
        <v>4.8387096774193505E-2</v>
      </c>
      <c r="U80" s="22">
        <v>1.5748031496062964E-2</v>
      </c>
      <c r="V80" s="22">
        <v>-5.0724637681159424E-2</v>
      </c>
      <c r="W80" s="22">
        <v>-4.6979865771812124E-2</v>
      </c>
      <c r="X80" s="211">
        <v>-1.1152416356877359E-2</v>
      </c>
      <c r="Y80" s="22">
        <v>-0.16153846153846152</v>
      </c>
      <c r="Z80" s="22">
        <v>-4.6511627906976716E-2</v>
      </c>
      <c r="AA80" s="22">
        <v>-0.29007633587786263</v>
      </c>
      <c r="AB80" s="22">
        <v>-0.24647887323943662</v>
      </c>
      <c r="AC80" s="211">
        <v>-0.18796992481203012</v>
      </c>
      <c r="AD80" s="22">
        <v>0.13761467889908263</v>
      </c>
      <c r="AE80" s="22">
        <v>-2.4390243902439046E-2</v>
      </c>
      <c r="AF80" s="22">
        <v>0.41935483870967749</v>
      </c>
      <c r="AG80" s="22">
        <v>0</v>
      </c>
      <c r="AH80" s="211">
        <v>0.11805555555555558</v>
      </c>
      <c r="AI80" s="22">
        <v>0.12903225806451624</v>
      </c>
      <c r="AJ80" s="22">
        <v>0.14166666666666661</v>
      </c>
      <c r="AK80" s="139"/>
      <c r="AL80" s="22">
        <v>0</v>
      </c>
      <c r="AM80" s="278"/>
      <c r="AN80" s="22">
        <v>0</v>
      </c>
      <c r="AO80" s="211">
        <v>6.8322981366459645E-2</v>
      </c>
    </row>
    <row r="81" spans="2:41" ht="13.9" customHeight="1">
      <c r="B81" s="12" t="s">
        <v>45</v>
      </c>
      <c r="C81" s="210">
        <v>584</v>
      </c>
      <c r="D81" s="210">
        <v>286</v>
      </c>
      <c r="E81" s="355">
        <v>68</v>
      </c>
      <c r="F81" s="355">
        <v>65</v>
      </c>
      <c r="G81" s="355">
        <v>70</v>
      </c>
      <c r="H81" s="355">
        <v>68</v>
      </c>
      <c r="I81" s="210">
        <v>271</v>
      </c>
      <c r="J81" s="355">
        <v>65</v>
      </c>
      <c r="K81" s="355">
        <v>46</v>
      </c>
      <c r="L81" s="355">
        <v>68</v>
      </c>
      <c r="M81" s="355">
        <v>67</v>
      </c>
      <c r="N81" s="210">
        <v>246</v>
      </c>
      <c r="O81" s="355">
        <v>60</v>
      </c>
      <c r="P81" s="355">
        <v>59</v>
      </c>
      <c r="Q81" s="355">
        <v>62</v>
      </c>
      <c r="R81" s="355">
        <v>57</v>
      </c>
      <c r="S81" s="210">
        <v>238</v>
      </c>
      <c r="T81" s="19">
        <v>55</v>
      </c>
      <c r="U81" s="19">
        <v>60</v>
      </c>
      <c r="V81" s="19">
        <v>69</v>
      </c>
      <c r="W81" s="19">
        <v>63</v>
      </c>
      <c r="X81" s="210">
        <v>247</v>
      </c>
      <c r="Y81" s="19">
        <v>64</v>
      </c>
      <c r="Z81" s="19">
        <v>63</v>
      </c>
      <c r="AA81" s="19">
        <v>71</v>
      </c>
      <c r="AB81" s="61">
        <v>59</v>
      </c>
      <c r="AC81" s="210">
        <v>257</v>
      </c>
      <c r="AD81" s="19">
        <v>62</v>
      </c>
      <c r="AE81" s="19">
        <v>64</v>
      </c>
      <c r="AF81" s="19">
        <v>71</v>
      </c>
      <c r="AG81" s="61">
        <v>67</v>
      </c>
      <c r="AH81" s="210">
        <v>264</v>
      </c>
      <c r="AI81" s="19">
        <v>66</v>
      </c>
      <c r="AJ81" s="19">
        <v>64</v>
      </c>
      <c r="AK81" s="137">
        <v>130</v>
      </c>
      <c r="AL81" s="19">
        <v>73</v>
      </c>
      <c r="AM81" s="276">
        <v>203</v>
      </c>
      <c r="AN81" s="61">
        <v>64</v>
      </c>
      <c r="AO81" s="210">
        <v>267</v>
      </c>
    </row>
    <row r="82" spans="2:41" ht="13.9" customHeight="1">
      <c r="B82" s="20" t="s">
        <v>5</v>
      </c>
      <c r="C82" s="211"/>
      <c r="D82" s="211"/>
      <c r="E82" s="357"/>
      <c r="F82" s="357">
        <v>-4.4117647058823484E-2</v>
      </c>
      <c r="G82" s="357">
        <v>7.6923076923076872E-2</v>
      </c>
      <c r="H82" s="357">
        <v>-2.8571428571428581E-2</v>
      </c>
      <c r="I82" s="211"/>
      <c r="J82" s="357">
        <v>-4.4117647058823484E-2</v>
      </c>
      <c r="K82" s="357">
        <v>-0.29230769230769227</v>
      </c>
      <c r="L82" s="357">
        <v>0.47826086956521729</v>
      </c>
      <c r="M82" s="357">
        <v>-1.4705882352941124E-2</v>
      </c>
      <c r="N82" s="211"/>
      <c r="O82" s="357">
        <v>-0.10447761194029848</v>
      </c>
      <c r="P82" s="357">
        <v>-1.6666666666666718E-2</v>
      </c>
      <c r="Q82" s="357">
        <v>5.0847457627118731E-2</v>
      </c>
      <c r="R82" s="357">
        <v>-8.064516129032262E-2</v>
      </c>
      <c r="S82" s="211"/>
      <c r="T82" s="21">
        <v>-3.5087719298245612E-2</v>
      </c>
      <c r="U82" s="21">
        <v>9.0909090909090828E-2</v>
      </c>
      <c r="V82" s="21">
        <v>0.14999999999999991</v>
      </c>
      <c r="W82" s="21">
        <v>-8.6956521739130488E-2</v>
      </c>
      <c r="X82" s="211"/>
      <c r="Y82" s="21">
        <v>1.5873015873015817E-2</v>
      </c>
      <c r="Z82" s="21">
        <v>-1.5625E-2</v>
      </c>
      <c r="AA82" s="21">
        <v>0.12698412698412698</v>
      </c>
      <c r="AB82" s="21">
        <v>-0.16901408450704225</v>
      </c>
      <c r="AC82" s="211"/>
      <c r="AD82" s="21">
        <v>5.0847457627118731E-2</v>
      </c>
      <c r="AE82" s="21">
        <v>3.2258064516129004E-2</v>
      </c>
      <c r="AF82" s="21">
        <v>0.109375</v>
      </c>
      <c r="AG82" s="21">
        <v>-5.633802816901412E-2</v>
      </c>
      <c r="AH82" s="211"/>
      <c r="AI82" s="21">
        <v>-1.4925373134328401E-2</v>
      </c>
      <c r="AJ82" s="21">
        <v>-3.0303030303030276E-2</v>
      </c>
      <c r="AK82" s="138"/>
      <c r="AL82" s="21">
        <v>0.140625</v>
      </c>
      <c r="AM82" s="277"/>
      <c r="AN82" s="21">
        <v>-0.12328767123287676</v>
      </c>
      <c r="AO82" s="211"/>
    </row>
    <row r="83" spans="2:41" ht="13.9" customHeight="1">
      <c r="B83" s="20" t="s">
        <v>6</v>
      </c>
      <c r="C83" s="211"/>
      <c r="D83" s="211">
        <v>-0.51027397260273966</v>
      </c>
      <c r="E83" s="66"/>
      <c r="F83" s="66"/>
      <c r="G83" s="66"/>
      <c r="H83" s="66"/>
      <c r="I83" s="211">
        <v>-5.2447552447552392E-2</v>
      </c>
      <c r="J83" s="66">
        <v>-4.4117647058823484E-2</v>
      </c>
      <c r="K83" s="66">
        <v>-0.29230769230769227</v>
      </c>
      <c r="L83" s="66">
        <v>-2.8571428571428581E-2</v>
      </c>
      <c r="M83" s="66">
        <v>-1.4705882352941124E-2</v>
      </c>
      <c r="N83" s="211">
        <v>-9.2250922509225064E-2</v>
      </c>
      <c r="O83" s="66">
        <v>-7.6923076923076872E-2</v>
      </c>
      <c r="P83" s="66">
        <v>0.28260869565217384</v>
      </c>
      <c r="Q83" s="66">
        <v>-8.8235294117647078E-2</v>
      </c>
      <c r="R83" s="66">
        <v>-0.14925373134328357</v>
      </c>
      <c r="S83" s="211">
        <v>-3.2520325203251987E-2</v>
      </c>
      <c r="T83" s="22">
        <v>-8.333333333333337E-2</v>
      </c>
      <c r="U83" s="22">
        <v>1.6949152542372836E-2</v>
      </c>
      <c r="V83" s="22">
        <v>0.11290322580645151</v>
      </c>
      <c r="W83" s="22">
        <v>0.10526315789473695</v>
      </c>
      <c r="X83" s="211">
        <v>3.7815126050420256E-2</v>
      </c>
      <c r="Y83" s="22">
        <v>0.16363636363636358</v>
      </c>
      <c r="Z83" s="22">
        <v>5.0000000000000044E-2</v>
      </c>
      <c r="AA83" s="22">
        <v>2.8985507246376718E-2</v>
      </c>
      <c r="AB83" s="22">
        <v>-6.3492063492063489E-2</v>
      </c>
      <c r="AC83" s="211">
        <v>4.0485829959514108E-2</v>
      </c>
      <c r="AD83" s="22">
        <v>-3.125E-2</v>
      </c>
      <c r="AE83" s="22">
        <v>1.5873015873015817E-2</v>
      </c>
      <c r="AF83" s="22">
        <v>0</v>
      </c>
      <c r="AG83" s="22">
        <v>0.13559322033898313</v>
      </c>
      <c r="AH83" s="211">
        <v>2.7237354085603016E-2</v>
      </c>
      <c r="AI83" s="22">
        <v>6.4516129032258007E-2</v>
      </c>
      <c r="AJ83" s="22">
        <v>0</v>
      </c>
      <c r="AK83" s="139"/>
      <c r="AL83" s="22">
        <v>2.8169014084507005E-2</v>
      </c>
      <c r="AM83" s="278"/>
      <c r="AN83" s="22">
        <v>-4.4776119402985093E-2</v>
      </c>
      <c r="AO83" s="211">
        <v>1.1363636363636465E-2</v>
      </c>
    </row>
    <row r="84" spans="2:41" ht="13.9" customHeight="1">
      <c r="B84" s="12" t="s">
        <v>46</v>
      </c>
      <c r="C84" s="210">
        <v>260</v>
      </c>
      <c r="D84" s="210">
        <v>277</v>
      </c>
      <c r="E84" s="355">
        <v>70</v>
      </c>
      <c r="F84" s="355">
        <v>68</v>
      </c>
      <c r="G84" s="355">
        <v>63</v>
      </c>
      <c r="H84" s="355">
        <v>69</v>
      </c>
      <c r="I84" s="210">
        <v>270</v>
      </c>
      <c r="J84" s="355">
        <v>68</v>
      </c>
      <c r="K84" s="355">
        <v>71</v>
      </c>
      <c r="L84" s="355">
        <v>68</v>
      </c>
      <c r="M84" s="355">
        <v>96</v>
      </c>
      <c r="N84" s="210">
        <v>303</v>
      </c>
      <c r="O84" s="355">
        <v>86</v>
      </c>
      <c r="P84" s="355">
        <v>82</v>
      </c>
      <c r="Q84" s="355">
        <v>81</v>
      </c>
      <c r="R84" s="355">
        <v>99</v>
      </c>
      <c r="S84" s="210">
        <v>348</v>
      </c>
      <c r="T84" s="19">
        <v>111</v>
      </c>
      <c r="U84" s="19">
        <v>109</v>
      </c>
      <c r="V84" s="19">
        <v>119</v>
      </c>
      <c r="W84" s="19">
        <v>115</v>
      </c>
      <c r="X84" s="210">
        <v>454</v>
      </c>
      <c r="Y84" s="19">
        <v>131</v>
      </c>
      <c r="Z84" s="19">
        <v>126</v>
      </c>
      <c r="AA84" s="19">
        <v>127</v>
      </c>
      <c r="AB84" s="61">
        <v>120</v>
      </c>
      <c r="AC84" s="210">
        <v>504</v>
      </c>
      <c r="AD84" s="19">
        <v>132</v>
      </c>
      <c r="AE84" s="19">
        <v>122</v>
      </c>
      <c r="AF84" s="19">
        <v>143</v>
      </c>
      <c r="AG84" s="61">
        <v>114</v>
      </c>
      <c r="AH84" s="210">
        <v>511</v>
      </c>
      <c r="AI84" s="19">
        <v>134</v>
      </c>
      <c r="AJ84" s="19">
        <v>125</v>
      </c>
      <c r="AK84" s="137">
        <v>259</v>
      </c>
      <c r="AL84" s="19">
        <v>134</v>
      </c>
      <c r="AM84" s="276">
        <v>393</v>
      </c>
      <c r="AN84" s="61">
        <v>126</v>
      </c>
      <c r="AO84" s="210">
        <v>519</v>
      </c>
    </row>
    <row r="85" spans="2:41" ht="13.9" customHeight="1">
      <c r="B85" s="20" t="s">
        <v>5</v>
      </c>
      <c r="C85" s="211"/>
      <c r="D85" s="211"/>
      <c r="E85" s="357"/>
      <c r="F85" s="357">
        <v>-2.8571428571428581E-2</v>
      </c>
      <c r="G85" s="357">
        <v>-7.3529411764705843E-2</v>
      </c>
      <c r="H85" s="357">
        <v>9.5238095238095344E-2</v>
      </c>
      <c r="I85" s="211"/>
      <c r="J85" s="357">
        <v>-1.4492753623188359E-2</v>
      </c>
      <c r="K85" s="357">
        <v>4.4117647058823595E-2</v>
      </c>
      <c r="L85" s="357">
        <v>-4.2253521126760618E-2</v>
      </c>
      <c r="M85" s="357">
        <v>0.41176470588235303</v>
      </c>
      <c r="N85" s="211"/>
      <c r="O85" s="357">
        <v>-0.10416666666666663</v>
      </c>
      <c r="P85" s="357">
        <v>-4.6511627906976716E-2</v>
      </c>
      <c r="Q85" s="357">
        <v>-1.2195121951219523E-2</v>
      </c>
      <c r="R85" s="357">
        <v>0.22222222222222232</v>
      </c>
      <c r="S85" s="211"/>
      <c r="T85" s="21">
        <v>0.1212121212121211</v>
      </c>
      <c r="U85" s="21">
        <v>-1.8018018018018056E-2</v>
      </c>
      <c r="V85" s="21">
        <v>9.174311926605494E-2</v>
      </c>
      <c r="W85" s="21">
        <v>-3.3613445378151252E-2</v>
      </c>
      <c r="X85" s="211"/>
      <c r="Y85" s="21">
        <v>0.13913043478260878</v>
      </c>
      <c r="Z85" s="21">
        <v>-3.8167938931297662E-2</v>
      </c>
      <c r="AA85" s="21">
        <v>7.9365079365079083E-3</v>
      </c>
      <c r="AB85" s="21">
        <v>-5.5118110236220486E-2</v>
      </c>
      <c r="AC85" s="211"/>
      <c r="AD85" s="21">
        <v>0.10000000000000009</v>
      </c>
      <c r="AE85" s="21">
        <v>-7.5757575757575801E-2</v>
      </c>
      <c r="AF85" s="21">
        <v>0.17213114754098369</v>
      </c>
      <c r="AG85" s="21">
        <v>-0.20279720279720281</v>
      </c>
      <c r="AH85" s="211"/>
      <c r="AI85" s="21">
        <v>0.17543859649122817</v>
      </c>
      <c r="AJ85" s="21">
        <v>-6.7164179104477584E-2</v>
      </c>
      <c r="AK85" s="138"/>
      <c r="AL85" s="21">
        <v>7.2000000000000064E-2</v>
      </c>
      <c r="AM85" s="277"/>
      <c r="AN85" s="21">
        <v>-5.9701492537313383E-2</v>
      </c>
      <c r="AO85" s="211"/>
    </row>
    <row r="86" spans="2:41" ht="13.9" customHeight="1">
      <c r="B86" s="20" t="s">
        <v>6</v>
      </c>
      <c r="C86" s="211"/>
      <c r="D86" s="211">
        <v>6.5384615384615374E-2</v>
      </c>
      <c r="E86" s="66"/>
      <c r="F86" s="66"/>
      <c r="G86" s="66"/>
      <c r="H86" s="66"/>
      <c r="I86" s="211">
        <v>-2.5270758122743708E-2</v>
      </c>
      <c r="J86" s="66">
        <v>-2.8571428571428581E-2</v>
      </c>
      <c r="K86" s="66">
        <v>4.4117647058823595E-2</v>
      </c>
      <c r="L86" s="66">
        <v>7.9365079365079305E-2</v>
      </c>
      <c r="M86" s="66">
        <v>0.39130434782608692</v>
      </c>
      <c r="N86" s="211">
        <v>0.12222222222222223</v>
      </c>
      <c r="O86" s="66">
        <v>0.26470588235294112</v>
      </c>
      <c r="P86" s="66">
        <v>0.15492957746478875</v>
      </c>
      <c r="Q86" s="66">
        <v>0.19117647058823528</v>
      </c>
      <c r="R86" s="66">
        <v>3.125E-2</v>
      </c>
      <c r="S86" s="211">
        <v>0.14851485148514842</v>
      </c>
      <c r="T86" s="22">
        <v>0.29069767441860472</v>
      </c>
      <c r="U86" s="22">
        <v>0.3292682926829269</v>
      </c>
      <c r="V86" s="22">
        <v>0.46913580246913589</v>
      </c>
      <c r="W86" s="22">
        <v>0.16161616161616155</v>
      </c>
      <c r="X86" s="211">
        <v>0.30459770114942519</v>
      </c>
      <c r="Y86" s="22">
        <v>0.18018018018018012</v>
      </c>
      <c r="Z86" s="22">
        <v>0.15596330275229353</v>
      </c>
      <c r="AA86" s="22">
        <v>6.7226890756302504E-2</v>
      </c>
      <c r="AB86" s="22">
        <v>4.3478260869565188E-2</v>
      </c>
      <c r="AC86" s="211">
        <v>0.11013215859030834</v>
      </c>
      <c r="AD86" s="22">
        <v>7.6335877862594437E-3</v>
      </c>
      <c r="AE86" s="22">
        <v>-3.1746031746031744E-2</v>
      </c>
      <c r="AF86" s="22">
        <v>0.12598425196850394</v>
      </c>
      <c r="AG86" s="22">
        <v>-5.0000000000000044E-2</v>
      </c>
      <c r="AH86" s="211">
        <v>1.388888888888884E-2</v>
      </c>
      <c r="AI86" s="22">
        <v>1.5151515151515138E-2</v>
      </c>
      <c r="AJ86" s="22">
        <v>2.4590163934426146E-2</v>
      </c>
      <c r="AK86" s="139"/>
      <c r="AL86" s="22">
        <v>-6.2937062937062915E-2</v>
      </c>
      <c r="AM86" s="278"/>
      <c r="AN86" s="22">
        <v>0.10526315789473695</v>
      </c>
      <c r="AO86" s="211">
        <v>1.5655577299412915E-2</v>
      </c>
    </row>
    <row r="87" spans="2:41" ht="13.9" customHeight="1">
      <c r="B87" s="12" t="s">
        <v>51</v>
      </c>
      <c r="C87" s="210">
        <v>156</v>
      </c>
      <c r="D87" s="210">
        <v>82</v>
      </c>
      <c r="E87" s="355">
        <v>18</v>
      </c>
      <c r="F87" s="355">
        <v>20</v>
      </c>
      <c r="G87" s="355">
        <v>16</v>
      </c>
      <c r="H87" s="355">
        <v>17</v>
      </c>
      <c r="I87" s="210">
        <v>71</v>
      </c>
      <c r="J87" s="355">
        <v>14</v>
      </c>
      <c r="K87" s="355">
        <v>9</v>
      </c>
      <c r="L87" s="355">
        <v>14</v>
      </c>
      <c r="M87" s="355">
        <v>13</v>
      </c>
      <c r="N87" s="210">
        <v>50</v>
      </c>
      <c r="O87" s="355">
        <v>14</v>
      </c>
      <c r="P87" s="355">
        <v>16</v>
      </c>
      <c r="Q87" s="355">
        <v>14</v>
      </c>
      <c r="R87" s="355">
        <v>16</v>
      </c>
      <c r="S87" s="210">
        <v>60</v>
      </c>
      <c r="T87" s="19">
        <v>14</v>
      </c>
      <c r="U87" s="19">
        <v>17</v>
      </c>
      <c r="V87" s="19">
        <v>17</v>
      </c>
      <c r="W87" s="19">
        <v>16</v>
      </c>
      <c r="X87" s="210">
        <v>64</v>
      </c>
      <c r="Y87" s="19">
        <v>16</v>
      </c>
      <c r="Z87" s="19">
        <v>16</v>
      </c>
      <c r="AA87" s="19">
        <v>18</v>
      </c>
      <c r="AB87" s="61">
        <v>14</v>
      </c>
      <c r="AC87" s="210">
        <v>64</v>
      </c>
      <c r="AD87" s="19">
        <v>16</v>
      </c>
      <c r="AE87" s="19">
        <v>20</v>
      </c>
      <c r="AF87" s="19">
        <v>18</v>
      </c>
      <c r="AG87" s="61">
        <v>13</v>
      </c>
      <c r="AH87" s="210">
        <v>67</v>
      </c>
      <c r="AI87" s="19">
        <v>16</v>
      </c>
      <c r="AJ87" s="19">
        <v>15</v>
      </c>
      <c r="AK87" s="137">
        <v>31</v>
      </c>
      <c r="AL87" s="19">
        <v>15</v>
      </c>
      <c r="AM87" s="276">
        <v>46</v>
      </c>
      <c r="AN87" s="61">
        <v>18</v>
      </c>
      <c r="AO87" s="210">
        <v>64</v>
      </c>
    </row>
    <row r="88" spans="2:41" ht="13.9" customHeight="1">
      <c r="B88" s="20" t="s">
        <v>5</v>
      </c>
      <c r="C88" s="211"/>
      <c r="D88" s="211"/>
      <c r="E88" s="357"/>
      <c r="F88" s="357">
        <v>0.11111111111111116</v>
      </c>
      <c r="G88" s="357">
        <v>-0.19999999999999996</v>
      </c>
      <c r="H88" s="357">
        <v>6.25E-2</v>
      </c>
      <c r="I88" s="211"/>
      <c r="J88" s="357">
        <v>-0.17647058823529416</v>
      </c>
      <c r="K88" s="357">
        <v>-0.3571428571428571</v>
      </c>
      <c r="L88" s="357">
        <v>0.55555555555555558</v>
      </c>
      <c r="M88" s="357">
        <v>-7.1428571428571397E-2</v>
      </c>
      <c r="N88" s="211"/>
      <c r="O88" s="357">
        <v>7.6923076923076872E-2</v>
      </c>
      <c r="P88" s="357">
        <v>0.14285714285714279</v>
      </c>
      <c r="Q88" s="357">
        <v>-0.125</v>
      </c>
      <c r="R88" s="357">
        <v>0.14285714285714279</v>
      </c>
      <c r="S88" s="211"/>
      <c r="T88" s="21">
        <v>-0.125</v>
      </c>
      <c r="U88" s="21">
        <v>0.21428571428571419</v>
      </c>
      <c r="V88" s="21">
        <v>0</v>
      </c>
      <c r="W88" s="21">
        <v>-5.8823529411764719E-2</v>
      </c>
      <c r="X88" s="211"/>
      <c r="Y88" s="21">
        <v>0</v>
      </c>
      <c r="Z88" s="21">
        <v>0</v>
      </c>
      <c r="AA88" s="21">
        <v>0.125</v>
      </c>
      <c r="AB88" s="21">
        <v>-0.22222222222222221</v>
      </c>
      <c r="AC88" s="211"/>
      <c r="AD88" s="21">
        <v>0.14285714285714279</v>
      </c>
      <c r="AE88" s="21">
        <v>0.25</v>
      </c>
      <c r="AF88" s="21">
        <v>-9.9999999999999978E-2</v>
      </c>
      <c r="AG88" s="21">
        <v>-0.27777777777777779</v>
      </c>
      <c r="AH88" s="211"/>
      <c r="AI88" s="21">
        <v>0.23076923076923084</v>
      </c>
      <c r="AJ88" s="21">
        <v>-6.25E-2</v>
      </c>
      <c r="AK88" s="138"/>
      <c r="AL88" s="21">
        <v>0</v>
      </c>
      <c r="AM88" s="277"/>
      <c r="AN88" s="21">
        <v>0.19999999999999996</v>
      </c>
      <c r="AO88" s="211"/>
    </row>
    <row r="89" spans="2:41" ht="13.9" customHeight="1">
      <c r="B89" s="20" t="s">
        <v>6</v>
      </c>
      <c r="C89" s="211"/>
      <c r="D89" s="211">
        <v>-0.47435897435897434</v>
      </c>
      <c r="E89" s="66"/>
      <c r="F89" s="66"/>
      <c r="G89" s="66"/>
      <c r="H89" s="66"/>
      <c r="I89" s="211">
        <v>-0.13414634146341464</v>
      </c>
      <c r="J89" s="66">
        <v>-0.22222222222222221</v>
      </c>
      <c r="K89" s="66">
        <v>-0.55000000000000004</v>
      </c>
      <c r="L89" s="66">
        <v>-0.125</v>
      </c>
      <c r="M89" s="66">
        <v>-0.23529411764705888</v>
      </c>
      <c r="N89" s="211">
        <v>-0.29577464788732399</v>
      </c>
      <c r="O89" s="66">
        <v>0</v>
      </c>
      <c r="P89" s="66">
        <v>0.77777777777777768</v>
      </c>
      <c r="Q89" s="66">
        <v>0</v>
      </c>
      <c r="R89" s="66">
        <v>0.23076923076923084</v>
      </c>
      <c r="S89" s="211">
        <v>0.19999999999999996</v>
      </c>
      <c r="T89" s="22">
        <v>0</v>
      </c>
      <c r="U89" s="22">
        <v>6.25E-2</v>
      </c>
      <c r="V89" s="22">
        <v>0.21428571428571419</v>
      </c>
      <c r="W89" s="22">
        <v>0</v>
      </c>
      <c r="X89" s="211">
        <v>6.6666666666666652E-2</v>
      </c>
      <c r="Y89" s="22">
        <v>0.14285714285714279</v>
      </c>
      <c r="Z89" s="22">
        <v>-5.8823529411764719E-2</v>
      </c>
      <c r="AA89" s="22">
        <v>5.8823529411764719E-2</v>
      </c>
      <c r="AB89" s="22">
        <v>-0.125</v>
      </c>
      <c r="AC89" s="211">
        <v>0</v>
      </c>
      <c r="AD89" s="22">
        <v>0</v>
      </c>
      <c r="AE89" s="22">
        <v>0.25</v>
      </c>
      <c r="AF89" s="22">
        <v>0</v>
      </c>
      <c r="AG89" s="22">
        <v>-7.1428571428571397E-2</v>
      </c>
      <c r="AH89" s="211">
        <v>4.6875E-2</v>
      </c>
      <c r="AI89" s="22">
        <v>0</v>
      </c>
      <c r="AJ89" s="22">
        <v>-0.25</v>
      </c>
      <c r="AK89" s="139"/>
      <c r="AL89" s="22">
        <v>-0.16666666666666663</v>
      </c>
      <c r="AM89" s="278"/>
      <c r="AN89" s="22">
        <v>0.38461538461538458</v>
      </c>
      <c r="AO89" s="211">
        <v>-4.4776119402985093E-2</v>
      </c>
    </row>
    <row r="90" spans="2:41" ht="3.6" customHeight="1">
      <c r="B90" s="172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  <c r="AM90" s="173"/>
      <c r="AN90" s="173"/>
      <c r="AO90" s="173"/>
    </row>
  </sheetData>
  <customSheetViews>
    <customSheetView guid="{67DDFA58-7FF7-4BDB-BFFF-31DB4021D095}" showGridLines="0" hiddenColumns="1">
      <pane xSplit="1" ySplit="4" topLeftCell="Y182" activePane="bottomRigh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>
      <pane xSplit="1" ySplit="5" topLeftCell="M185" activePane="bottomRigh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>
      <pane xSplit="1" ySplit="5" topLeftCell="H75" activePane="bottomRigh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6BBAF30-1E81-42FB-BA93-01B6813E2C8C}" scale="60" showPageBreaks="1" printArea="1" view="pageBreakPreview">
      <pane xSplit="1" ySplit="5" topLeftCell="B6" activePane="bottomRigh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ageMargins left="0.39370078740157483" right="0.39370078740157483" top="0.11811023622047245" bottom="0.11811023622047245" header="0.11811023622047245" footer="3.937007874015748E-2"/>
  <pageSetup paperSize="9" scale="67" orientation="landscape" r:id="rId1"/>
  <headerFooter alignWithMargins="0">
    <oddHeader>&amp;C&amp;12Bezeq - The Israeli Telecommunications Corp., Ltd.</oddHeader>
    <oddFooter>&amp;L
&amp;R&amp;P of &amp;N
Group financial metrics</oddFooter>
  </headerFooter>
  <rowBreaks count="1" manualBreakCount="1">
    <brk id="63" max="4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3304-C2C5-4209-91E4-F4C191D4BD0C}">
  <sheetPr>
    <tabColor theme="3" tint="-0.49992370372631001"/>
  </sheetPr>
  <dimension ref="B1:GV57"/>
  <sheetViews>
    <sheetView showGridLines="0" tabSelected="1" zoomScale="92" zoomScaleNormal="92" workbookViewId="0">
      <pane xSplit="2" ySplit="4" topLeftCell="C21" activePane="bottomRight" state="frozen"/>
      <selection activeCell="AI81" sqref="AI81"/>
      <selection pane="topRight" activeCell="AI81" sqref="AI81"/>
      <selection pane="bottomLeft" activeCell="AI81" sqref="AI81"/>
      <selection pane="bottomRight" activeCell="AI81" sqref="AI81"/>
    </sheetView>
  </sheetViews>
  <sheetFormatPr defaultColWidth="9.28515625" defaultRowHeight="12.75"/>
  <cols>
    <col min="1" max="1" width="1.7109375" customWidth="1"/>
    <col min="2" max="2" width="52.7109375" customWidth="1"/>
    <col min="3" max="4" width="9.28515625" customWidth="1"/>
    <col min="5" max="8" width="9.28515625" hidden="1" customWidth="1"/>
    <col min="9" max="9" width="9.28515625" customWidth="1"/>
    <col min="10" max="13" width="9.28515625" hidden="1" customWidth="1"/>
    <col min="14" max="14" width="9.28515625" customWidth="1"/>
    <col min="15" max="18" width="9.28515625" hidden="1" customWidth="1"/>
    <col min="19" max="19" width="9.28515625" customWidth="1"/>
    <col min="20" max="23" width="9.28515625" hidden="1" customWidth="1"/>
    <col min="24" max="24" width="9.28515625" customWidth="1"/>
    <col min="25" max="28" width="9.28515625" hidden="1" customWidth="1"/>
    <col min="29" max="29" width="9.42578125" bestFit="1" customWidth="1"/>
    <col min="37" max="37" width="0" hidden="1" customWidth="1"/>
    <col min="39" max="39" width="0" hidden="1" customWidth="1"/>
  </cols>
  <sheetData>
    <row r="1" spans="2:41" ht="13.9" customHeight="1">
      <c r="B1" s="6"/>
    </row>
    <row r="2" spans="2:41" ht="13.9" customHeight="1">
      <c r="B2" s="6"/>
    </row>
    <row r="3" spans="2:41" ht="13.9" customHeight="1">
      <c r="B3" s="7"/>
      <c r="C3" s="7" t="s">
        <v>4</v>
      </c>
      <c r="D3" s="7" t="s">
        <v>4</v>
      </c>
      <c r="E3" s="7" t="s">
        <v>49</v>
      </c>
      <c r="F3" s="7" t="s">
        <v>0</v>
      </c>
      <c r="G3" s="7" t="s">
        <v>1</v>
      </c>
      <c r="H3" s="7" t="s">
        <v>2</v>
      </c>
      <c r="I3" s="7" t="s">
        <v>4</v>
      </c>
      <c r="J3" s="7" t="s">
        <v>49</v>
      </c>
      <c r="K3" s="7" t="s">
        <v>0</v>
      </c>
      <c r="L3" s="7" t="s">
        <v>1</v>
      </c>
      <c r="M3" s="7" t="s">
        <v>2</v>
      </c>
      <c r="N3" s="7" t="s">
        <v>4</v>
      </c>
      <c r="O3" s="7" t="s">
        <v>49</v>
      </c>
      <c r="P3" s="7" t="s">
        <v>0</v>
      </c>
      <c r="Q3" s="7" t="s">
        <v>1</v>
      </c>
      <c r="R3" s="7" t="s">
        <v>2</v>
      </c>
      <c r="S3" s="7" t="s">
        <v>4</v>
      </c>
      <c r="T3" s="7" t="s">
        <v>49</v>
      </c>
      <c r="U3" s="7" t="s">
        <v>0</v>
      </c>
      <c r="V3" s="7" t="s">
        <v>1</v>
      </c>
      <c r="W3" s="7" t="s">
        <v>2</v>
      </c>
      <c r="X3" s="7" t="s">
        <v>4</v>
      </c>
      <c r="Y3" s="7" t="s">
        <v>49</v>
      </c>
      <c r="Z3" s="7" t="s">
        <v>0</v>
      </c>
      <c r="AA3" s="7" t="s">
        <v>1</v>
      </c>
      <c r="AB3" s="7" t="s">
        <v>2</v>
      </c>
      <c r="AC3" s="7" t="s">
        <v>4</v>
      </c>
      <c r="AD3" s="7" t="s">
        <v>49</v>
      </c>
      <c r="AE3" s="7" t="s">
        <v>0</v>
      </c>
      <c r="AF3" s="7" t="s">
        <v>1</v>
      </c>
      <c r="AG3" s="7" t="s">
        <v>2</v>
      </c>
      <c r="AH3" s="7" t="s">
        <v>4</v>
      </c>
      <c r="AI3" s="7" t="s">
        <v>49</v>
      </c>
      <c r="AJ3" s="7" t="s">
        <v>0</v>
      </c>
      <c r="AK3" s="7" t="s">
        <v>342</v>
      </c>
      <c r="AL3" s="7" t="s">
        <v>1</v>
      </c>
      <c r="AM3" s="7" t="s">
        <v>312</v>
      </c>
      <c r="AN3" s="7" t="s">
        <v>2</v>
      </c>
      <c r="AO3" s="7" t="s">
        <v>4</v>
      </c>
    </row>
    <row r="4" spans="2:41" ht="13.9" customHeight="1">
      <c r="B4" s="15" t="s">
        <v>458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2024</v>
      </c>
      <c r="AE4" s="7">
        <v>2024</v>
      </c>
      <c r="AF4" s="7">
        <v>2024</v>
      </c>
      <c r="AG4" s="7">
        <v>2024</v>
      </c>
      <c r="AH4" s="7">
        <v>2024</v>
      </c>
      <c r="AI4" s="7">
        <v>2025</v>
      </c>
      <c r="AJ4" s="7">
        <v>2025</v>
      </c>
      <c r="AK4" s="7">
        <v>2025</v>
      </c>
      <c r="AL4" s="7">
        <v>2025</v>
      </c>
      <c r="AM4" s="7">
        <v>2025</v>
      </c>
      <c r="AN4" s="7">
        <v>2025</v>
      </c>
      <c r="AO4" s="7">
        <v>2025</v>
      </c>
    </row>
    <row r="5" spans="2:41" ht="4.1500000000000004" customHeight="1">
      <c r="B5" s="180"/>
      <c r="C5" s="373" t="str">
        <f t="shared" ref="C5" si="0">C3&amp;"/"&amp;C4</f>
        <v>FY/2017</v>
      </c>
      <c r="D5" s="373" t="str">
        <f t="shared" ref="D5" si="1">D3&amp;"/"&amp;D4</f>
        <v>FY/2018</v>
      </c>
      <c r="E5" s="373" t="str">
        <f t="shared" ref="E5" si="2">E3&amp;"/"&amp;E4</f>
        <v>Q1/2019</v>
      </c>
      <c r="F5" s="373" t="str">
        <f t="shared" ref="F5" si="3">F3&amp;"/"&amp;F4</f>
        <v>Q2/2019</v>
      </c>
      <c r="G5" s="373" t="str">
        <f t="shared" ref="G5" si="4">G3&amp;"/"&amp;G4</f>
        <v>Q3/2019</v>
      </c>
      <c r="H5" s="373" t="str">
        <f t="shared" ref="H5" si="5">H3&amp;"/"&amp;H4</f>
        <v>Q4/2019</v>
      </c>
      <c r="I5" s="373" t="str">
        <f t="shared" ref="I5" si="6">I3&amp;"/"&amp;I4</f>
        <v>FY/2019</v>
      </c>
      <c r="J5" s="373" t="str">
        <f t="shared" ref="J5" si="7">J3&amp;"/"&amp;J4</f>
        <v>Q1/2020</v>
      </c>
      <c r="K5" s="373" t="str">
        <f t="shared" ref="K5" si="8">K3&amp;"/"&amp;K4</f>
        <v>Q2/2020</v>
      </c>
      <c r="L5" s="373" t="str">
        <f t="shared" ref="L5" si="9">L3&amp;"/"&amp;L4</f>
        <v>Q3/2020</v>
      </c>
      <c r="M5" s="373" t="str">
        <f t="shared" ref="M5" si="10">M3&amp;"/"&amp;M4</f>
        <v>Q4/2020</v>
      </c>
      <c r="N5" s="373" t="str">
        <f t="shared" ref="N5" si="11">N3&amp;"/"&amp;N4</f>
        <v>FY/2020</v>
      </c>
      <c r="O5" s="373" t="str">
        <f t="shared" ref="O5" si="12">O3&amp;"/"&amp;O4</f>
        <v>Q1/2021</v>
      </c>
      <c r="P5" s="373" t="str">
        <f t="shared" ref="P5" si="13">P3&amp;"/"&amp;P4</f>
        <v>Q2/2021</v>
      </c>
      <c r="Q5" s="373" t="str">
        <f t="shared" ref="Q5" si="14">Q3&amp;"/"&amp;Q4</f>
        <v>Q3/2021</v>
      </c>
      <c r="R5" s="373" t="str">
        <f t="shared" ref="R5" si="15">R3&amp;"/"&amp;R4</f>
        <v>Q4/2021</v>
      </c>
      <c r="S5" s="373" t="str">
        <f t="shared" ref="S5" si="16">S3&amp;"/"&amp;S4</f>
        <v>FY/2021</v>
      </c>
      <c r="T5" s="373" t="str">
        <f t="shared" ref="T5" si="17">T3&amp;"/"&amp;T4</f>
        <v>Q1/2022</v>
      </c>
      <c r="U5" s="373" t="str">
        <f t="shared" ref="U5" si="18">U3&amp;"/"&amp;U4</f>
        <v>Q2/2022</v>
      </c>
      <c r="V5" s="373" t="str">
        <f t="shared" ref="V5" si="19">V3&amp;"/"&amp;V4</f>
        <v>Q3/2022</v>
      </c>
      <c r="W5" s="373" t="str">
        <f t="shared" ref="W5" si="20">W3&amp;"/"&amp;W4</f>
        <v>Q4/2022</v>
      </c>
      <c r="X5" s="373" t="str">
        <f t="shared" ref="X5" si="21">X3&amp;"/"&amp;X4</f>
        <v>FY/2022</v>
      </c>
      <c r="Y5" s="373" t="str">
        <f t="shared" ref="Y5" si="22">Y3&amp;"/"&amp;Y4</f>
        <v>Q1/2023</v>
      </c>
      <c r="Z5" s="373" t="str">
        <f t="shared" ref="Z5" si="23">Z3&amp;"/"&amp;Z4</f>
        <v>Q2/2023</v>
      </c>
      <c r="AA5" s="373" t="str">
        <f t="shared" ref="AA5" si="24">AA3&amp;"/"&amp;AA4</f>
        <v>Q3/2023</v>
      </c>
      <c r="AB5" s="373" t="str">
        <f t="shared" ref="AB5" si="25">AB3&amp;"/"&amp;AB4</f>
        <v>Q4/2023</v>
      </c>
      <c r="AC5" s="373" t="str">
        <f t="shared" ref="AC5" si="26">AC3&amp;"/"&amp;AC4</f>
        <v>FY/2023</v>
      </c>
      <c r="AD5" s="373" t="str">
        <f t="shared" ref="AD5" si="27">AD3&amp;"/"&amp;AD4</f>
        <v>Q1/2024</v>
      </c>
      <c r="AE5" s="373" t="str">
        <f t="shared" ref="AE5" si="28">AE3&amp;"/"&amp;AE4</f>
        <v>Q2/2024</v>
      </c>
      <c r="AF5" s="373" t="str">
        <f t="shared" ref="AF5" si="29">AF3&amp;"/"&amp;AF4</f>
        <v>Q3/2024</v>
      </c>
      <c r="AG5" s="373" t="str">
        <f t="shared" ref="AG5" si="30">AG3&amp;"/"&amp;AG4</f>
        <v>Q4/2024</v>
      </c>
      <c r="AH5" s="373" t="str">
        <f t="shared" ref="AH5:AN5" si="31">AH3&amp;"/"&amp;AH4</f>
        <v>FY/2024</v>
      </c>
      <c r="AI5" s="373" t="str">
        <f t="shared" si="31"/>
        <v>Q1/2025</v>
      </c>
      <c r="AJ5" s="373" t="str">
        <f t="shared" si="31"/>
        <v>Q2/2025</v>
      </c>
      <c r="AK5" s="373" t="str">
        <f t="shared" si="31"/>
        <v>6M/2025</v>
      </c>
      <c r="AL5" s="373" t="str">
        <f t="shared" si="31"/>
        <v>Q3/2025</v>
      </c>
      <c r="AM5" s="373" t="str">
        <f t="shared" si="31"/>
        <v>9M/2025</v>
      </c>
      <c r="AN5" s="373" t="str">
        <f t="shared" si="31"/>
        <v>Q4/2025</v>
      </c>
      <c r="AO5" s="373" t="str">
        <f t="shared" ref="AO5" si="32">AO3&amp;"/"&amp;AO4</f>
        <v>FY/2025</v>
      </c>
    </row>
    <row r="6" spans="2:41" ht="25.35" customHeight="1">
      <c r="B6" s="177" t="s">
        <v>211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</row>
    <row r="7" spans="2:41" ht="13.9" customHeight="1">
      <c r="B7" s="201" t="s">
        <v>17</v>
      </c>
      <c r="C7" s="122"/>
      <c r="D7" s="122"/>
      <c r="E7" s="209"/>
      <c r="F7" s="209"/>
      <c r="G7" s="209"/>
      <c r="H7" s="209"/>
      <c r="I7" s="122"/>
      <c r="J7" s="209"/>
      <c r="K7" s="209"/>
      <c r="L7" s="209"/>
      <c r="M7" s="209"/>
      <c r="N7" s="122"/>
      <c r="O7" s="209"/>
      <c r="P7" s="209"/>
      <c r="Q7" s="209"/>
      <c r="R7" s="209"/>
      <c r="S7" s="122"/>
      <c r="T7" s="209"/>
      <c r="U7" s="209"/>
      <c r="V7" s="209"/>
      <c r="W7" s="209"/>
      <c r="X7" s="122"/>
      <c r="Y7" s="209"/>
      <c r="Z7" s="209"/>
      <c r="AA7" s="209"/>
      <c r="AB7" s="209"/>
      <c r="AC7" s="122"/>
      <c r="AD7" s="209"/>
      <c r="AE7" s="209"/>
      <c r="AF7" s="209"/>
      <c r="AG7" s="209"/>
      <c r="AH7" s="122"/>
      <c r="AI7" s="209"/>
      <c r="AJ7" s="209"/>
      <c r="AK7" s="283"/>
      <c r="AL7" s="209"/>
      <c r="AM7" s="209"/>
      <c r="AN7" s="209"/>
      <c r="AO7" s="122"/>
    </row>
    <row r="8" spans="2:41">
      <c r="B8" s="12" t="s">
        <v>430</v>
      </c>
      <c r="C8" s="227" t="s">
        <v>24</v>
      </c>
      <c r="D8" s="227" t="s">
        <v>24</v>
      </c>
      <c r="E8" s="362" t="s">
        <v>24</v>
      </c>
      <c r="F8" s="362" t="s">
        <v>24</v>
      </c>
      <c r="G8" s="362" t="s">
        <v>24</v>
      </c>
      <c r="H8" s="362" t="s">
        <v>24</v>
      </c>
      <c r="I8" s="223">
        <v>-1194</v>
      </c>
      <c r="J8" s="362" t="s">
        <v>24</v>
      </c>
      <c r="K8" s="362" t="s">
        <v>24</v>
      </c>
      <c r="L8" s="362" t="s">
        <v>24</v>
      </c>
      <c r="M8" s="362" t="s">
        <v>24</v>
      </c>
      <c r="N8" s="210">
        <v>796</v>
      </c>
      <c r="O8" s="362" t="s">
        <v>24</v>
      </c>
      <c r="P8" s="362" t="s">
        <v>24</v>
      </c>
      <c r="Q8" s="362" t="s">
        <v>24</v>
      </c>
      <c r="R8" s="362" t="s">
        <v>24</v>
      </c>
      <c r="S8" s="210">
        <v>1183</v>
      </c>
      <c r="T8" s="362" t="s">
        <v>24</v>
      </c>
      <c r="U8" s="362" t="s">
        <v>24</v>
      </c>
      <c r="V8" s="362" t="s">
        <v>24</v>
      </c>
      <c r="W8" s="362" t="s">
        <v>24</v>
      </c>
      <c r="X8" s="210">
        <v>1000</v>
      </c>
      <c r="Y8" s="19">
        <v>311</v>
      </c>
      <c r="Z8" s="19">
        <v>343</v>
      </c>
      <c r="AA8" s="19">
        <v>297</v>
      </c>
      <c r="AB8" s="62">
        <v>238</v>
      </c>
      <c r="AC8" s="210">
        <v>1189</v>
      </c>
      <c r="AD8" s="19">
        <v>295</v>
      </c>
      <c r="AE8" s="19">
        <v>287</v>
      </c>
      <c r="AF8" s="19">
        <v>281</v>
      </c>
      <c r="AG8" s="62">
        <v>210</v>
      </c>
      <c r="AH8" s="210">
        <v>1073</v>
      </c>
      <c r="AI8" s="19">
        <v>303</v>
      </c>
      <c r="AJ8" s="19">
        <v>426</v>
      </c>
      <c r="AK8" s="137">
        <v>729</v>
      </c>
      <c r="AL8" s="19">
        <v>446</v>
      </c>
      <c r="AM8" s="276">
        <v>1175</v>
      </c>
      <c r="AN8" s="62">
        <v>242</v>
      </c>
      <c r="AO8" s="210">
        <v>1417</v>
      </c>
    </row>
    <row r="9" spans="2:41">
      <c r="B9" s="12"/>
      <c r="C9" s="211"/>
      <c r="D9" s="211"/>
      <c r="E9" s="66"/>
      <c r="F9" s="66"/>
      <c r="G9" s="66"/>
      <c r="H9" s="66"/>
      <c r="I9" s="211"/>
      <c r="J9" s="66"/>
      <c r="K9" s="66"/>
      <c r="L9" s="66"/>
      <c r="M9" s="66"/>
      <c r="N9" s="211"/>
      <c r="O9" s="66"/>
      <c r="P9" s="66"/>
      <c r="Q9" s="66"/>
      <c r="R9" s="66"/>
      <c r="S9" s="211"/>
      <c r="T9" s="66"/>
      <c r="U9" s="66"/>
      <c r="V9" s="66"/>
      <c r="W9" s="66"/>
      <c r="X9" s="211"/>
      <c r="Y9" s="22"/>
      <c r="Z9" s="22"/>
      <c r="AA9" s="19"/>
      <c r="AB9" s="22"/>
      <c r="AC9" s="211"/>
      <c r="AD9" s="19"/>
      <c r="AE9" s="22"/>
      <c r="AF9" s="19"/>
      <c r="AG9" s="22"/>
      <c r="AH9" s="211"/>
      <c r="AI9" s="19"/>
      <c r="AJ9" s="22"/>
      <c r="AK9" s="139"/>
      <c r="AL9" s="19"/>
      <c r="AM9" s="278"/>
      <c r="AN9" s="22"/>
      <c r="AO9" s="211"/>
    </row>
    <row r="10" spans="2:41">
      <c r="B10" s="12" t="s">
        <v>281</v>
      </c>
      <c r="C10" s="227" t="s">
        <v>24</v>
      </c>
      <c r="D10" s="227" t="s">
        <v>24</v>
      </c>
      <c r="E10" s="362" t="s">
        <v>24</v>
      </c>
      <c r="F10" s="362" t="s">
        <v>24</v>
      </c>
      <c r="G10" s="362" t="s">
        <v>24</v>
      </c>
      <c r="H10" s="362" t="s">
        <v>24</v>
      </c>
      <c r="I10" s="210">
        <v>4543</v>
      </c>
      <c r="J10" s="362" t="s">
        <v>24</v>
      </c>
      <c r="K10" s="362" t="s">
        <v>24</v>
      </c>
      <c r="L10" s="362" t="s">
        <v>24</v>
      </c>
      <c r="M10" s="362" t="s">
        <v>24</v>
      </c>
      <c r="N10" s="210">
        <v>2781</v>
      </c>
      <c r="O10" s="362" t="s">
        <v>24</v>
      </c>
      <c r="P10" s="362" t="s">
        <v>24</v>
      </c>
      <c r="Q10" s="362" t="s">
        <v>24</v>
      </c>
      <c r="R10" s="362" t="s">
        <v>24</v>
      </c>
      <c r="S10" s="210">
        <v>2447</v>
      </c>
      <c r="T10" s="362" t="s">
        <v>24</v>
      </c>
      <c r="U10" s="362" t="s">
        <v>24</v>
      </c>
      <c r="V10" s="362" t="s">
        <v>24</v>
      </c>
      <c r="W10" s="362" t="s">
        <v>24</v>
      </c>
      <c r="X10" s="210">
        <v>2558</v>
      </c>
      <c r="Y10" s="19">
        <v>621</v>
      </c>
      <c r="Z10" s="19">
        <v>644</v>
      </c>
      <c r="AA10" s="19">
        <v>605</v>
      </c>
      <c r="AB10" s="62">
        <v>609</v>
      </c>
      <c r="AC10" s="210">
        <v>2479</v>
      </c>
      <c r="AD10" s="19">
        <v>622</v>
      </c>
      <c r="AE10" s="19">
        <v>615</v>
      </c>
      <c r="AF10" s="19">
        <v>626</v>
      </c>
      <c r="AG10" s="62">
        <v>592</v>
      </c>
      <c r="AH10" s="210">
        <v>2455</v>
      </c>
      <c r="AI10" s="19">
        <v>607</v>
      </c>
      <c r="AJ10" s="19">
        <v>600</v>
      </c>
      <c r="AK10" s="137">
        <v>1207</v>
      </c>
      <c r="AL10" s="19">
        <v>563</v>
      </c>
      <c r="AM10" s="276">
        <v>1770</v>
      </c>
      <c r="AN10" s="62">
        <v>533</v>
      </c>
      <c r="AO10" s="210">
        <v>2303</v>
      </c>
    </row>
    <row r="11" spans="2:41" ht="13.9" customHeight="1">
      <c r="B11" s="20"/>
      <c r="C11" s="211"/>
      <c r="D11" s="227"/>
      <c r="E11" s="66"/>
      <c r="F11" s="66"/>
      <c r="G11" s="66"/>
      <c r="H11" s="66"/>
      <c r="I11" s="211"/>
      <c r="J11" s="66"/>
      <c r="K11" s="66"/>
      <c r="L11" s="66"/>
      <c r="M11" s="66"/>
      <c r="N11" s="211"/>
      <c r="O11" s="66"/>
      <c r="P11" s="66"/>
      <c r="Q11" s="66"/>
      <c r="R11" s="66"/>
      <c r="S11" s="211"/>
      <c r="T11" s="22"/>
      <c r="U11" s="22"/>
      <c r="V11" s="22"/>
      <c r="W11" s="22"/>
      <c r="X11" s="211"/>
      <c r="Y11" s="22"/>
      <c r="Z11" s="22"/>
      <c r="AA11" s="22"/>
      <c r="AB11" s="22"/>
      <c r="AC11" s="211"/>
      <c r="AD11" s="22"/>
      <c r="AE11" s="22"/>
      <c r="AF11" s="22"/>
      <c r="AG11" s="22"/>
      <c r="AH11" s="211"/>
      <c r="AI11" s="22"/>
      <c r="AJ11" s="22"/>
      <c r="AK11" s="139"/>
      <c r="AL11" s="22"/>
      <c r="AM11" s="278"/>
      <c r="AN11" s="22"/>
      <c r="AO11" s="211"/>
    </row>
    <row r="12" spans="2:41" ht="13.9" customHeight="1">
      <c r="B12" s="12" t="s">
        <v>34</v>
      </c>
      <c r="C12" s="210">
        <v>3525</v>
      </c>
      <c r="D12" s="210">
        <v>3512</v>
      </c>
      <c r="E12" s="355">
        <v>765</v>
      </c>
      <c r="F12" s="355">
        <v>624</v>
      </c>
      <c r="G12" s="355">
        <v>787</v>
      </c>
      <c r="H12" s="355">
        <v>748</v>
      </c>
      <c r="I12" s="210">
        <v>2924</v>
      </c>
      <c r="J12" s="355">
        <v>879</v>
      </c>
      <c r="K12" s="355">
        <v>561</v>
      </c>
      <c r="L12" s="355">
        <v>830</v>
      </c>
      <c r="M12" s="355">
        <v>950</v>
      </c>
      <c r="N12" s="210">
        <v>3220</v>
      </c>
      <c r="O12" s="355">
        <v>700</v>
      </c>
      <c r="P12" s="355">
        <v>594</v>
      </c>
      <c r="Q12" s="355">
        <v>914</v>
      </c>
      <c r="R12" s="355">
        <v>631</v>
      </c>
      <c r="S12" s="210">
        <v>2839</v>
      </c>
      <c r="T12" s="19">
        <v>1096</v>
      </c>
      <c r="U12" s="19">
        <v>872</v>
      </c>
      <c r="V12" s="19">
        <v>641</v>
      </c>
      <c r="W12" s="19">
        <v>894</v>
      </c>
      <c r="X12" s="210">
        <v>3503</v>
      </c>
      <c r="Y12" s="19">
        <v>853</v>
      </c>
      <c r="Z12" s="19">
        <v>775</v>
      </c>
      <c r="AA12" s="19">
        <v>919</v>
      </c>
      <c r="AB12" s="62">
        <v>908</v>
      </c>
      <c r="AC12" s="210">
        <v>3455</v>
      </c>
      <c r="AD12" s="19">
        <v>1001</v>
      </c>
      <c r="AE12" s="19">
        <v>709</v>
      </c>
      <c r="AF12" s="19">
        <v>907</v>
      </c>
      <c r="AG12" s="62">
        <v>829</v>
      </c>
      <c r="AH12" s="210">
        <v>3446</v>
      </c>
      <c r="AI12" s="19">
        <v>831</v>
      </c>
      <c r="AJ12" s="19">
        <v>733</v>
      </c>
      <c r="AK12" s="137">
        <v>1564</v>
      </c>
      <c r="AL12" s="19">
        <v>866</v>
      </c>
      <c r="AM12" s="276">
        <v>2430</v>
      </c>
      <c r="AN12" s="62">
        <v>832</v>
      </c>
      <c r="AO12" s="210">
        <v>3262</v>
      </c>
    </row>
    <row r="13" spans="2:41" ht="13.9" customHeight="1">
      <c r="B13" s="20" t="s">
        <v>5</v>
      </c>
      <c r="C13" s="211"/>
      <c r="D13" s="211"/>
      <c r="E13" s="357"/>
      <c r="F13" s="357">
        <v>-0.18431372549019609</v>
      </c>
      <c r="G13" s="357">
        <v>0.26121794871794868</v>
      </c>
      <c r="H13" s="357">
        <v>-4.955527318932651E-2</v>
      </c>
      <c r="I13" s="211"/>
      <c r="J13" s="357">
        <v>0.17513368983957212</v>
      </c>
      <c r="K13" s="357">
        <v>-0.36177474402730381</v>
      </c>
      <c r="L13" s="357">
        <v>0.47950089126559714</v>
      </c>
      <c r="M13" s="357">
        <v>0.14457831325301207</v>
      </c>
      <c r="N13" s="211"/>
      <c r="O13" s="357">
        <v>-0.26315789473684215</v>
      </c>
      <c r="P13" s="357">
        <v>-0.15142857142857147</v>
      </c>
      <c r="Q13" s="357">
        <v>0.53872053872053871</v>
      </c>
      <c r="R13" s="357">
        <v>-0.30962800875273522</v>
      </c>
      <c r="S13" s="211"/>
      <c r="T13" s="21">
        <v>0.73692551505546744</v>
      </c>
      <c r="U13" s="21">
        <v>-0.20437956204379559</v>
      </c>
      <c r="V13" s="21">
        <v>-0.26490825688073394</v>
      </c>
      <c r="W13" s="21">
        <v>0.39469578783151316</v>
      </c>
      <c r="X13" s="211"/>
      <c r="Y13" s="21">
        <v>-4.5861297539149914E-2</v>
      </c>
      <c r="Z13" s="21">
        <v>-9.1441969519343469E-2</v>
      </c>
      <c r="AA13" s="21">
        <v>0.18580645161290321</v>
      </c>
      <c r="AB13" s="21">
        <v>-1.196953210010876E-2</v>
      </c>
      <c r="AC13" s="211"/>
      <c r="AD13" s="21">
        <v>0.10242290748898686</v>
      </c>
      <c r="AE13" s="21">
        <v>-0.29170829170829171</v>
      </c>
      <c r="AF13" s="21">
        <v>0.27926657263751764</v>
      </c>
      <c r="AG13" s="21">
        <v>-8.5997794928335147E-2</v>
      </c>
      <c r="AH13" s="211"/>
      <c r="AI13" s="21">
        <v>2.4125452352230514E-3</v>
      </c>
      <c r="AJ13" s="21">
        <v>-0.1179302045728039</v>
      </c>
      <c r="AK13" s="138"/>
      <c r="AL13" s="21">
        <v>0.18144611186903137</v>
      </c>
      <c r="AM13" s="277"/>
      <c r="AN13" s="21">
        <v>-3.9260969976905313E-2</v>
      </c>
      <c r="AO13" s="211"/>
    </row>
    <row r="14" spans="2:41" ht="13.9" customHeight="1">
      <c r="B14" s="20" t="s">
        <v>6</v>
      </c>
      <c r="C14" s="211"/>
      <c r="D14" s="211">
        <v>-3.6879432624113972E-3</v>
      </c>
      <c r="E14" s="66"/>
      <c r="F14" s="66"/>
      <c r="G14" s="66"/>
      <c r="H14" s="66"/>
      <c r="I14" s="211">
        <v>-0.16742596810933941</v>
      </c>
      <c r="J14" s="66">
        <v>0.14901960784313717</v>
      </c>
      <c r="K14" s="66">
        <v>-0.10096153846153844</v>
      </c>
      <c r="L14" s="66">
        <v>5.4637865311308875E-2</v>
      </c>
      <c r="M14" s="66">
        <v>0.27005347593582885</v>
      </c>
      <c r="N14" s="211">
        <v>0.10123119015047877</v>
      </c>
      <c r="O14" s="66">
        <v>-0.20364050056882821</v>
      </c>
      <c r="P14" s="66">
        <v>5.8823529411764719E-2</v>
      </c>
      <c r="Q14" s="66">
        <v>0.10120481927710845</v>
      </c>
      <c r="R14" s="66">
        <v>-0.33578947368421053</v>
      </c>
      <c r="S14" s="211">
        <v>-0.11832298136645958</v>
      </c>
      <c r="T14" s="22">
        <v>0.56571428571428561</v>
      </c>
      <c r="U14" s="22">
        <v>0.46801346801346799</v>
      </c>
      <c r="V14" s="22">
        <v>-0.29868708971553615</v>
      </c>
      <c r="W14" s="22">
        <v>0.41679873217115682</v>
      </c>
      <c r="X14" s="211">
        <v>0.23388517083480109</v>
      </c>
      <c r="Y14" s="22">
        <v>-0.22171532846715325</v>
      </c>
      <c r="Z14" s="22">
        <v>-0.11123853211009171</v>
      </c>
      <c r="AA14" s="22">
        <v>0.43369734789391567</v>
      </c>
      <c r="AB14" s="22">
        <v>1.5659955257270708E-2</v>
      </c>
      <c r="AC14" s="211">
        <v>-1.3702540679417674E-2</v>
      </c>
      <c r="AD14" s="22">
        <v>0.17350527549824157</v>
      </c>
      <c r="AE14" s="22">
        <v>-8.5161290322580685E-2</v>
      </c>
      <c r="AF14" s="22">
        <v>-1.3057671381936919E-2</v>
      </c>
      <c r="AG14" s="22">
        <v>-8.7004405286343567E-2</v>
      </c>
      <c r="AH14" s="211">
        <v>-2.6049204052098762E-3</v>
      </c>
      <c r="AI14" s="22">
        <v>-0.16983016983016985</v>
      </c>
      <c r="AJ14" s="22">
        <v>3.3850493653032387E-2</v>
      </c>
      <c r="AK14" s="139"/>
      <c r="AL14" s="22">
        <v>-4.5203969128996713E-2</v>
      </c>
      <c r="AM14" s="278"/>
      <c r="AN14" s="22">
        <v>3.6188178528346882E-3</v>
      </c>
      <c r="AO14" s="211">
        <v>-5.3395240858966964E-2</v>
      </c>
    </row>
    <row r="15" spans="2:41" ht="13.9" customHeight="1">
      <c r="B15" s="12" t="s">
        <v>383</v>
      </c>
      <c r="C15" s="210">
        <v>1530</v>
      </c>
      <c r="D15" s="210">
        <v>1727</v>
      </c>
      <c r="E15" s="355">
        <v>373</v>
      </c>
      <c r="F15" s="355">
        <v>525</v>
      </c>
      <c r="G15" s="355">
        <v>329</v>
      </c>
      <c r="H15" s="355">
        <v>324</v>
      </c>
      <c r="I15" s="210">
        <v>1551</v>
      </c>
      <c r="J15" s="355">
        <v>338</v>
      </c>
      <c r="K15" s="355">
        <v>351</v>
      </c>
      <c r="L15" s="355">
        <v>442</v>
      </c>
      <c r="M15" s="355">
        <v>368</v>
      </c>
      <c r="N15" s="210">
        <v>1499</v>
      </c>
      <c r="O15" s="355">
        <v>458</v>
      </c>
      <c r="P15" s="355">
        <v>418</v>
      </c>
      <c r="Q15" s="355">
        <v>445</v>
      </c>
      <c r="R15" s="355">
        <v>370</v>
      </c>
      <c r="S15" s="210">
        <v>1691</v>
      </c>
      <c r="T15" s="19">
        <v>430</v>
      </c>
      <c r="U15" s="19">
        <v>427</v>
      </c>
      <c r="V15" s="19">
        <v>515</v>
      </c>
      <c r="W15" s="19">
        <v>341</v>
      </c>
      <c r="X15" s="210">
        <v>1713</v>
      </c>
      <c r="Y15" s="19">
        <v>416</v>
      </c>
      <c r="Z15" s="19">
        <v>441</v>
      </c>
      <c r="AA15" s="19">
        <v>406</v>
      </c>
      <c r="AB15" s="62">
        <v>445</v>
      </c>
      <c r="AC15" s="210">
        <v>1708</v>
      </c>
      <c r="AD15" s="19">
        <v>410</v>
      </c>
      <c r="AE15" s="19">
        <v>431</v>
      </c>
      <c r="AF15" s="19">
        <v>436</v>
      </c>
      <c r="AG15" s="62">
        <v>465</v>
      </c>
      <c r="AH15" s="210">
        <v>1742</v>
      </c>
      <c r="AI15" s="19">
        <v>419</v>
      </c>
      <c r="AJ15" s="19">
        <v>431</v>
      </c>
      <c r="AK15" s="137">
        <v>850</v>
      </c>
      <c r="AL15" s="19">
        <v>422</v>
      </c>
      <c r="AM15" s="276">
        <v>1272</v>
      </c>
      <c r="AN15" s="62">
        <v>406</v>
      </c>
      <c r="AO15" s="210">
        <v>1678</v>
      </c>
    </row>
    <row r="16" spans="2:41" ht="13.9" customHeight="1">
      <c r="B16" s="20" t="s">
        <v>5</v>
      </c>
      <c r="C16" s="211"/>
      <c r="D16" s="211"/>
      <c r="E16" s="357"/>
      <c r="F16" s="357">
        <v>0.40750670241286868</v>
      </c>
      <c r="G16" s="357">
        <v>-0.37333333333333329</v>
      </c>
      <c r="H16" s="357">
        <v>-1.5197568389057725E-2</v>
      </c>
      <c r="I16" s="211"/>
      <c r="J16" s="357">
        <v>4.3209876543209846E-2</v>
      </c>
      <c r="K16" s="357">
        <v>3.8461538461538547E-2</v>
      </c>
      <c r="L16" s="357">
        <v>0.2592592592592593</v>
      </c>
      <c r="M16" s="357">
        <v>-0.16742081447963797</v>
      </c>
      <c r="N16" s="211"/>
      <c r="O16" s="357">
        <v>0.24456521739130443</v>
      </c>
      <c r="P16" s="357">
        <v>-8.7336244541484698E-2</v>
      </c>
      <c r="Q16" s="357">
        <v>6.4593301435406758E-2</v>
      </c>
      <c r="R16" s="357">
        <v>-0.1685393258426966</v>
      </c>
      <c r="S16" s="211"/>
      <c r="T16" s="21">
        <v>0.16216216216216206</v>
      </c>
      <c r="U16" s="21">
        <v>-6.9767441860465462E-3</v>
      </c>
      <c r="V16" s="21">
        <v>0.20608899297423888</v>
      </c>
      <c r="W16" s="21">
        <v>-0.3378640776699029</v>
      </c>
      <c r="X16" s="211"/>
      <c r="Y16" s="21">
        <v>0.21994134897360706</v>
      </c>
      <c r="Z16" s="21">
        <v>6.0096153846153744E-2</v>
      </c>
      <c r="AA16" s="21">
        <v>-7.9365079365079416E-2</v>
      </c>
      <c r="AB16" s="21">
        <v>9.605911330049266E-2</v>
      </c>
      <c r="AC16" s="211"/>
      <c r="AD16" s="21">
        <v>-7.8651685393258397E-2</v>
      </c>
      <c r="AE16" s="21">
        <v>5.1219512195121997E-2</v>
      </c>
      <c r="AF16" s="21">
        <v>1.1600928074245953E-2</v>
      </c>
      <c r="AG16" s="21">
        <v>6.6513761467889898E-2</v>
      </c>
      <c r="AH16" s="211"/>
      <c r="AI16" s="21">
        <v>-9.8924731182795655E-2</v>
      </c>
      <c r="AJ16" s="21">
        <v>2.8639618138424749E-2</v>
      </c>
      <c r="AK16" s="138"/>
      <c r="AL16" s="21">
        <v>-2.0881670533642649E-2</v>
      </c>
      <c r="AM16" s="277"/>
      <c r="AN16" s="21">
        <v>-3.7914691943127909E-2</v>
      </c>
      <c r="AO16" s="211"/>
    </row>
    <row r="17" spans="2:204" ht="13.9" customHeight="1">
      <c r="B17" s="20" t="s">
        <v>6</v>
      </c>
      <c r="C17" s="211"/>
      <c r="D17" s="211">
        <v>0.12875816993464051</v>
      </c>
      <c r="E17" s="66"/>
      <c r="F17" s="66"/>
      <c r="G17" s="66"/>
      <c r="H17" s="66"/>
      <c r="I17" s="211">
        <v>-0.10191082802547768</v>
      </c>
      <c r="J17" s="66">
        <v>-9.383378016085786E-2</v>
      </c>
      <c r="K17" s="66">
        <v>-0.33142857142857141</v>
      </c>
      <c r="L17" s="66">
        <v>0.34346504559270508</v>
      </c>
      <c r="M17" s="66">
        <v>0.13580246913580241</v>
      </c>
      <c r="N17" s="211">
        <v>-3.3526756931012258E-2</v>
      </c>
      <c r="O17" s="66">
        <v>0.3550295857988166</v>
      </c>
      <c r="P17" s="66">
        <v>0.19088319088319095</v>
      </c>
      <c r="Q17" s="66">
        <v>6.7873303167420573E-3</v>
      </c>
      <c r="R17" s="66">
        <v>5.4347826086955653E-3</v>
      </c>
      <c r="S17" s="211">
        <v>0.12808539026017352</v>
      </c>
      <c r="T17" s="22">
        <v>-6.1135371179039333E-2</v>
      </c>
      <c r="U17" s="22">
        <v>2.1531100478468845E-2</v>
      </c>
      <c r="V17" s="22">
        <v>0.15730337078651679</v>
      </c>
      <c r="W17" s="22">
        <v>-7.8378378378378355E-2</v>
      </c>
      <c r="X17" s="211">
        <v>1.3010053222944906E-2</v>
      </c>
      <c r="Y17" s="22">
        <v>-3.2558139534883734E-2</v>
      </c>
      <c r="Z17" s="22">
        <v>3.2786885245901676E-2</v>
      </c>
      <c r="AA17" s="22">
        <v>-0.21165048543689324</v>
      </c>
      <c r="AB17" s="22">
        <v>0.30498533724340171</v>
      </c>
      <c r="AC17" s="211">
        <v>-2.9188558085230243E-3</v>
      </c>
      <c r="AD17" s="22">
        <v>-1.4423076923076872E-2</v>
      </c>
      <c r="AE17" s="22">
        <v>-2.2675736961451198E-2</v>
      </c>
      <c r="AF17" s="22">
        <v>7.3891625615763568E-2</v>
      </c>
      <c r="AG17" s="22">
        <v>4.4943820224719211E-2</v>
      </c>
      <c r="AH17" s="211">
        <v>1.9906323185011621E-2</v>
      </c>
      <c r="AI17" s="22">
        <v>2.1951219512195141E-2</v>
      </c>
      <c r="AJ17" s="22">
        <v>0</v>
      </c>
      <c r="AK17" s="139"/>
      <c r="AL17" s="22">
        <v>-3.2110091743119296E-2</v>
      </c>
      <c r="AM17" s="278"/>
      <c r="AN17" s="22">
        <v>-0.12688172043010748</v>
      </c>
      <c r="AO17" s="211">
        <v>-3.6739380022962065E-2</v>
      </c>
    </row>
    <row r="18" spans="2:204" s="2" customFormat="1" ht="13.9" customHeight="1">
      <c r="B18" s="12" t="s">
        <v>393</v>
      </c>
      <c r="C18" s="219">
        <v>0.15629788538155073</v>
      </c>
      <c r="D18" s="219">
        <v>0.18528054929728571</v>
      </c>
      <c r="E18" s="164">
        <v>0.16533687943262412</v>
      </c>
      <c r="F18" s="164">
        <v>0.23606115107913669</v>
      </c>
      <c r="G18" s="164">
        <v>0.14641744548286603</v>
      </c>
      <c r="H18" s="164">
        <v>0.14713896457765668</v>
      </c>
      <c r="I18" s="219">
        <v>0.17370366222421324</v>
      </c>
      <c r="J18" s="164">
        <v>0.1545496113397348</v>
      </c>
      <c r="K18" s="164">
        <v>0.16287703016241301</v>
      </c>
      <c r="L18" s="164">
        <v>0.20293847566574838</v>
      </c>
      <c r="M18" s="164">
        <v>0.16704493871992737</v>
      </c>
      <c r="N18" s="219">
        <v>0.17184454889372922</v>
      </c>
      <c r="O18" s="164">
        <v>0.20621341737955876</v>
      </c>
      <c r="P18" s="164">
        <v>0.19</v>
      </c>
      <c r="Q18" s="164">
        <v>0.207749766573296</v>
      </c>
      <c r="R18" s="164">
        <v>0.16386182462356066</v>
      </c>
      <c r="S18" s="219">
        <v>0.191701621131391</v>
      </c>
      <c r="T18" s="155">
        <v>0.19068736141906872</v>
      </c>
      <c r="U18" s="155">
        <v>0.19191011235955055</v>
      </c>
      <c r="V18" s="155">
        <v>0.22767462422634838</v>
      </c>
      <c r="W18" s="155">
        <v>0.15196078431372548</v>
      </c>
      <c r="X18" s="219">
        <v>0.19062986868462051</v>
      </c>
      <c r="Y18" s="155">
        <v>0.18024263431542462</v>
      </c>
      <c r="Z18" s="155">
        <v>0.1918225315354502</v>
      </c>
      <c r="AA18" s="155">
        <v>0.17924944812362031</v>
      </c>
      <c r="AB18" s="155">
        <v>0.19946212460779919</v>
      </c>
      <c r="AC18" s="219">
        <v>0.18763045149950566</v>
      </c>
      <c r="AD18" s="155">
        <v>0.18181818181818182</v>
      </c>
      <c r="AE18" s="155">
        <v>0.19662408759124086</v>
      </c>
      <c r="AF18" s="155">
        <v>0.19516562220232767</v>
      </c>
      <c r="AG18" s="155">
        <v>0.21107580571947346</v>
      </c>
      <c r="AH18" s="219">
        <v>0.19608284556506078</v>
      </c>
      <c r="AI18" s="155">
        <v>0.18747203579418345</v>
      </c>
      <c r="AJ18" s="155">
        <v>0.20177902621722846</v>
      </c>
      <c r="AK18" s="156">
        <v>0.19446350949439486</v>
      </c>
      <c r="AL18" s="155">
        <v>0.19673659673659674</v>
      </c>
      <c r="AM18" s="286">
        <v>0.19521178637200737</v>
      </c>
      <c r="AN18" s="155">
        <v>0.18572735590118938</v>
      </c>
      <c r="AO18" s="219">
        <v>0.19282923465869914</v>
      </c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</row>
    <row r="19" spans="2:204" s="2" customFormat="1" ht="13.9" customHeight="1">
      <c r="B19" s="12"/>
      <c r="C19" s="219"/>
      <c r="D19" s="219"/>
      <c r="E19" s="164"/>
      <c r="F19" s="164"/>
      <c r="G19" s="164"/>
      <c r="H19" s="164"/>
      <c r="I19" s="219"/>
      <c r="J19" s="164"/>
      <c r="K19" s="164"/>
      <c r="L19" s="164"/>
      <c r="M19" s="164"/>
      <c r="N19" s="219"/>
      <c r="O19" s="164"/>
      <c r="P19" s="164"/>
      <c r="Q19" s="164"/>
      <c r="R19" s="164"/>
      <c r="S19" s="219"/>
      <c r="T19" s="155"/>
      <c r="U19" s="155"/>
      <c r="V19" s="155"/>
      <c r="W19" s="155"/>
      <c r="X19" s="219"/>
      <c r="Y19" s="155"/>
      <c r="Z19" s="155"/>
      <c r="AA19" s="155"/>
      <c r="AB19" s="155"/>
      <c r="AC19" s="219"/>
      <c r="AD19" s="155"/>
      <c r="AE19" s="155"/>
      <c r="AF19" s="155"/>
      <c r="AG19" s="155"/>
      <c r="AH19" s="219"/>
      <c r="AI19" s="155"/>
      <c r="AJ19" s="155"/>
      <c r="AK19" s="156"/>
      <c r="AL19" s="155"/>
      <c r="AM19" s="286"/>
      <c r="AN19" s="155"/>
      <c r="AO19" s="2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</row>
    <row r="20" spans="2:204" ht="13.9" customHeight="1">
      <c r="B20" s="12" t="s">
        <v>149</v>
      </c>
      <c r="C20" s="210">
        <v>98</v>
      </c>
      <c r="D20" s="210">
        <v>235</v>
      </c>
      <c r="E20" s="355">
        <v>41</v>
      </c>
      <c r="F20" s="355">
        <v>341</v>
      </c>
      <c r="G20" s="355">
        <v>15</v>
      </c>
      <c r="H20" s="355">
        <v>12</v>
      </c>
      <c r="I20" s="210">
        <v>409</v>
      </c>
      <c r="J20" s="355">
        <v>8</v>
      </c>
      <c r="K20" s="355">
        <v>20</v>
      </c>
      <c r="L20" s="355">
        <v>3</v>
      </c>
      <c r="M20" s="355">
        <v>117</v>
      </c>
      <c r="N20" s="210">
        <v>148</v>
      </c>
      <c r="O20" s="355">
        <v>183</v>
      </c>
      <c r="P20" s="355">
        <v>1</v>
      </c>
      <c r="Q20" s="355">
        <v>5</v>
      </c>
      <c r="R20" s="355">
        <v>89</v>
      </c>
      <c r="S20" s="210">
        <v>278</v>
      </c>
      <c r="T20" s="19">
        <v>15</v>
      </c>
      <c r="U20" s="19">
        <v>6</v>
      </c>
      <c r="V20" s="19">
        <v>10</v>
      </c>
      <c r="W20" s="19">
        <v>9</v>
      </c>
      <c r="X20" s="210">
        <v>40</v>
      </c>
      <c r="Y20" s="19">
        <v>33</v>
      </c>
      <c r="Z20" s="19">
        <v>2</v>
      </c>
      <c r="AA20" s="19">
        <v>1</v>
      </c>
      <c r="AB20" s="62">
        <v>3</v>
      </c>
      <c r="AC20" s="210">
        <v>39</v>
      </c>
      <c r="AD20" s="19">
        <v>3</v>
      </c>
      <c r="AE20" s="19">
        <v>4</v>
      </c>
      <c r="AF20" s="19">
        <v>7</v>
      </c>
      <c r="AG20" s="62">
        <v>2</v>
      </c>
      <c r="AH20" s="210">
        <v>16</v>
      </c>
      <c r="AI20" s="19">
        <v>3</v>
      </c>
      <c r="AJ20" s="19">
        <v>32</v>
      </c>
      <c r="AK20" s="137">
        <v>35</v>
      </c>
      <c r="AL20" s="19">
        <v>4</v>
      </c>
      <c r="AM20" s="276">
        <v>39</v>
      </c>
      <c r="AN20" s="62">
        <v>1</v>
      </c>
      <c r="AO20" s="210">
        <v>40</v>
      </c>
    </row>
    <row r="21" spans="2:204" ht="13.9" customHeight="1">
      <c r="B21" s="20" t="s">
        <v>5</v>
      </c>
      <c r="C21" s="211"/>
      <c r="D21" s="211"/>
      <c r="E21" s="357"/>
      <c r="F21" s="357">
        <v>7.3170731707317067</v>
      </c>
      <c r="G21" s="357">
        <v>-0.95601173020527863</v>
      </c>
      <c r="H21" s="357">
        <v>-0.19999999999999996</v>
      </c>
      <c r="I21" s="211"/>
      <c r="J21" s="357">
        <v>-0.33333333333333337</v>
      </c>
      <c r="K21" s="357">
        <v>1.5</v>
      </c>
      <c r="L21" s="357">
        <v>-0.85</v>
      </c>
      <c r="M21" s="357">
        <v>38</v>
      </c>
      <c r="N21" s="211"/>
      <c r="O21" s="357">
        <v>0.5641025641025641</v>
      </c>
      <c r="P21" s="357">
        <v>-0.99453551912568305</v>
      </c>
      <c r="Q21" s="357">
        <v>4</v>
      </c>
      <c r="R21" s="357">
        <v>16.8</v>
      </c>
      <c r="S21" s="211"/>
      <c r="T21" s="21">
        <v>-0.8314606741573034</v>
      </c>
      <c r="U21" s="21">
        <v>-0.6</v>
      </c>
      <c r="V21" s="21">
        <v>0.66666666666666674</v>
      </c>
      <c r="W21" s="21">
        <v>-9.9999999999999978E-2</v>
      </c>
      <c r="X21" s="211"/>
      <c r="Y21" s="21">
        <v>2.6666666666666665</v>
      </c>
      <c r="Z21" s="21">
        <v>-0.93939393939393945</v>
      </c>
      <c r="AA21" s="21">
        <v>-0.5</v>
      </c>
      <c r="AB21" s="21">
        <v>2</v>
      </c>
      <c r="AC21" s="211"/>
      <c r="AD21" s="21">
        <v>0</v>
      </c>
      <c r="AE21" s="21">
        <v>0.33333333333333326</v>
      </c>
      <c r="AF21" s="21">
        <v>0.75</v>
      </c>
      <c r="AG21" s="21">
        <v>-0.7142857142857143</v>
      </c>
      <c r="AH21" s="211"/>
      <c r="AI21" s="21">
        <v>0.5</v>
      </c>
      <c r="AJ21" s="21">
        <v>9.6666666666666661</v>
      </c>
      <c r="AK21" s="138"/>
      <c r="AL21" s="21">
        <v>-0.875</v>
      </c>
      <c r="AM21" s="277"/>
      <c r="AN21" s="21">
        <v>-0.75</v>
      </c>
      <c r="AO21" s="211"/>
    </row>
    <row r="22" spans="2:204" ht="13.9" customHeight="1">
      <c r="B22" s="20" t="s">
        <v>6</v>
      </c>
      <c r="C22" s="211"/>
      <c r="D22" s="211">
        <v>1.3979591836734695</v>
      </c>
      <c r="E22" s="66"/>
      <c r="F22" s="66"/>
      <c r="G22" s="66"/>
      <c r="H22" s="66"/>
      <c r="I22" s="211">
        <v>0.74042553191489358</v>
      </c>
      <c r="J22" s="66">
        <v>-0.80487804878048785</v>
      </c>
      <c r="K22" s="66">
        <v>-0.94134897360703818</v>
      </c>
      <c r="L22" s="66">
        <v>-0.8</v>
      </c>
      <c r="M22" s="66">
        <v>8.75</v>
      </c>
      <c r="N22" s="211">
        <v>-0.63814180929095354</v>
      </c>
      <c r="O22" s="66">
        <v>21.875</v>
      </c>
      <c r="P22" s="66">
        <v>-0.95</v>
      </c>
      <c r="Q22" s="66">
        <v>0.66666666666666674</v>
      </c>
      <c r="R22" s="66">
        <v>-0.23931623931623935</v>
      </c>
      <c r="S22" s="211">
        <v>0.87837837837837829</v>
      </c>
      <c r="T22" s="22">
        <v>-0.91803278688524592</v>
      </c>
      <c r="U22" s="22">
        <v>5</v>
      </c>
      <c r="V22" s="22">
        <v>1</v>
      </c>
      <c r="W22" s="22">
        <v>-0.898876404494382</v>
      </c>
      <c r="X22" s="211">
        <v>-0.85611510791366907</v>
      </c>
      <c r="Y22" s="22">
        <v>1.2000000000000002</v>
      </c>
      <c r="Z22" s="22">
        <v>-0.66666666666666674</v>
      </c>
      <c r="AA22" s="22">
        <v>-0.9</v>
      </c>
      <c r="AB22" s="22">
        <v>-0.66666666666666674</v>
      </c>
      <c r="AC22" s="211">
        <v>-2.5000000000000022E-2</v>
      </c>
      <c r="AD22" s="22">
        <v>-0.90909090909090906</v>
      </c>
      <c r="AE22" s="22">
        <v>1</v>
      </c>
      <c r="AF22" s="22">
        <v>6</v>
      </c>
      <c r="AG22" s="22">
        <v>-0.33333333333333337</v>
      </c>
      <c r="AH22" s="211">
        <v>-0.58974358974358976</v>
      </c>
      <c r="AI22" s="22">
        <v>0</v>
      </c>
      <c r="AJ22" s="22">
        <v>7</v>
      </c>
      <c r="AK22" s="139"/>
      <c r="AL22" s="22">
        <v>-0.4285714285714286</v>
      </c>
      <c r="AM22" s="278"/>
      <c r="AN22" s="22">
        <v>-0.5</v>
      </c>
      <c r="AO22" s="211">
        <v>1.5</v>
      </c>
    </row>
    <row r="23" spans="2:204" ht="13.9" customHeight="1">
      <c r="B23" s="12" t="s">
        <v>384</v>
      </c>
      <c r="C23" s="210">
        <v>1432</v>
      </c>
      <c r="D23" s="210">
        <v>1492</v>
      </c>
      <c r="E23" s="355">
        <v>332</v>
      </c>
      <c r="F23" s="355">
        <v>184</v>
      </c>
      <c r="G23" s="355">
        <v>314</v>
      </c>
      <c r="H23" s="355">
        <v>312</v>
      </c>
      <c r="I23" s="210">
        <v>1142</v>
      </c>
      <c r="J23" s="355">
        <v>330</v>
      </c>
      <c r="K23" s="355">
        <v>331</v>
      </c>
      <c r="L23" s="355">
        <v>439</v>
      </c>
      <c r="M23" s="355">
        <v>251</v>
      </c>
      <c r="N23" s="210">
        <v>1351</v>
      </c>
      <c r="O23" s="355">
        <v>275</v>
      </c>
      <c r="P23" s="355">
        <v>417</v>
      </c>
      <c r="Q23" s="355">
        <v>440</v>
      </c>
      <c r="R23" s="355">
        <v>281</v>
      </c>
      <c r="S23" s="210">
        <v>1413</v>
      </c>
      <c r="T23" s="19">
        <v>415</v>
      </c>
      <c r="U23" s="19">
        <v>421</v>
      </c>
      <c r="V23" s="19">
        <v>505</v>
      </c>
      <c r="W23" s="19">
        <v>332</v>
      </c>
      <c r="X23" s="210">
        <v>1673</v>
      </c>
      <c r="Y23" s="19">
        <v>383</v>
      </c>
      <c r="Z23" s="19">
        <v>439</v>
      </c>
      <c r="AA23" s="19">
        <v>405</v>
      </c>
      <c r="AB23" s="62">
        <v>442</v>
      </c>
      <c r="AC23" s="210">
        <v>1669</v>
      </c>
      <c r="AD23" s="19">
        <v>407</v>
      </c>
      <c r="AE23" s="19">
        <v>427</v>
      </c>
      <c r="AF23" s="19">
        <v>429</v>
      </c>
      <c r="AG23" s="62">
        <v>463</v>
      </c>
      <c r="AH23" s="210">
        <v>1726</v>
      </c>
      <c r="AI23" s="19">
        <v>416</v>
      </c>
      <c r="AJ23" s="19">
        <v>399</v>
      </c>
      <c r="AK23" s="137">
        <v>815</v>
      </c>
      <c r="AL23" s="19">
        <v>418</v>
      </c>
      <c r="AM23" s="276">
        <v>1233</v>
      </c>
      <c r="AN23" s="62">
        <v>405</v>
      </c>
      <c r="AO23" s="210">
        <v>1638</v>
      </c>
    </row>
    <row r="24" spans="2:204" ht="13.9" customHeight="1">
      <c r="B24" s="20" t="s">
        <v>5</v>
      </c>
      <c r="C24" s="211"/>
      <c r="D24" s="211"/>
      <c r="E24" s="357"/>
      <c r="F24" s="357">
        <v>-0.44578313253012047</v>
      </c>
      <c r="G24" s="357">
        <v>0.70652173913043481</v>
      </c>
      <c r="H24" s="357">
        <v>-6.3694267515923553E-3</v>
      </c>
      <c r="I24" s="211"/>
      <c r="J24" s="357">
        <v>5.7692307692307709E-2</v>
      </c>
      <c r="K24" s="357">
        <v>3.0303030303029388E-3</v>
      </c>
      <c r="L24" s="357">
        <v>0.3262839879154078</v>
      </c>
      <c r="M24" s="357">
        <v>-0.42824601366742598</v>
      </c>
      <c r="N24" s="211"/>
      <c r="O24" s="357">
        <v>9.5617529880478003E-2</v>
      </c>
      <c r="P24" s="357">
        <v>0.51636363636363636</v>
      </c>
      <c r="Q24" s="357">
        <v>5.5155875299760293E-2</v>
      </c>
      <c r="R24" s="357">
        <v>-0.36136363636363633</v>
      </c>
      <c r="S24" s="211"/>
      <c r="T24" s="21">
        <v>0.47686832740213525</v>
      </c>
      <c r="U24" s="21">
        <v>1.4457831325301207E-2</v>
      </c>
      <c r="V24" s="21">
        <v>0.1995249406175772</v>
      </c>
      <c r="W24" s="21">
        <v>-0.34257425742574255</v>
      </c>
      <c r="X24" s="211"/>
      <c r="Y24" s="21">
        <v>0.15361445783132521</v>
      </c>
      <c r="Z24" s="21">
        <v>0.14621409921671025</v>
      </c>
      <c r="AA24" s="21">
        <v>-7.7448747152619624E-2</v>
      </c>
      <c r="AB24" s="21">
        <v>9.135802469135812E-2</v>
      </c>
      <c r="AC24" s="211"/>
      <c r="AD24" s="21">
        <v>-7.9185520361991002E-2</v>
      </c>
      <c r="AE24" s="21">
        <v>4.9140049140049102E-2</v>
      </c>
      <c r="AF24" s="21">
        <v>4.6838407494145251E-3</v>
      </c>
      <c r="AG24" s="21">
        <v>7.9254079254079235E-2</v>
      </c>
      <c r="AH24" s="211"/>
      <c r="AI24" s="21">
        <v>-0.10151187904967607</v>
      </c>
      <c r="AJ24" s="21">
        <v>-4.0865384615384581E-2</v>
      </c>
      <c r="AK24" s="138"/>
      <c r="AL24" s="21">
        <v>4.7619047619047672E-2</v>
      </c>
      <c r="AM24" s="277"/>
      <c r="AN24" s="21">
        <v>-3.1100478468899517E-2</v>
      </c>
      <c r="AO24" s="211"/>
    </row>
    <row r="25" spans="2:204" ht="13.9" customHeight="1">
      <c r="B25" s="20" t="s">
        <v>6</v>
      </c>
      <c r="C25" s="211"/>
      <c r="D25" s="211">
        <v>4.1899441340782051E-2</v>
      </c>
      <c r="E25" s="66"/>
      <c r="F25" s="66"/>
      <c r="G25" s="66"/>
      <c r="H25" s="66"/>
      <c r="I25" s="211">
        <v>-0.23458445040214482</v>
      </c>
      <c r="J25" s="66">
        <v>-6.0240963855421326E-3</v>
      </c>
      <c r="K25" s="66">
        <v>0.79891304347826098</v>
      </c>
      <c r="L25" s="66">
        <v>0.39808917197452232</v>
      </c>
      <c r="M25" s="66">
        <v>-0.19551282051282048</v>
      </c>
      <c r="N25" s="211">
        <v>0.1830122591943959</v>
      </c>
      <c r="O25" s="66">
        <v>-0.16666666666666663</v>
      </c>
      <c r="P25" s="66">
        <v>0.25981873111782483</v>
      </c>
      <c r="Q25" s="66">
        <v>2.277904328018332E-3</v>
      </c>
      <c r="R25" s="66">
        <v>0.1195219123505975</v>
      </c>
      <c r="S25" s="211">
        <v>4.5891931902294569E-2</v>
      </c>
      <c r="T25" s="22">
        <v>0.50909090909090904</v>
      </c>
      <c r="U25" s="22">
        <v>9.5923261390886694E-3</v>
      </c>
      <c r="V25" s="22">
        <v>0.14772727272727271</v>
      </c>
      <c r="W25" s="22">
        <v>0.18149466192170816</v>
      </c>
      <c r="X25" s="211">
        <v>0.18400566171266819</v>
      </c>
      <c r="Y25" s="22">
        <v>-7.7108433734939807E-2</v>
      </c>
      <c r="Z25" s="22">
        <v>4.2755344418052177E-2</v>
      </c>
      <c r="AA25" s="22">
        <v>-0.19801980198019797</v>
      </c>
      <c r="AB25" s="22">
        <v>0.33132530120481918</v>
      </c>
      <c r="AC25" s="211">
        <v>-2.3909145248057762E-3</v>
      </c>
      <c r="AD25" s="22">
        <v>6.2663185378590169E-2</v>
      </c>
      <c r="AE25" s="22">
        <v>-2.7334851936218652E-2</v>
      </c>
      <c r="AF25" s="22">
        <v>5.9259259259259345E-2</v>
      </c>
      <c r="AG25" s="22">
        <v>4.7511312217194623E-2</v>
      </c>
      <c r="AH25" s="211">
        <v>3.4152186938286366E-2</v>
      </c>
      <c r="AI25" s="22">
        <v>2.2113022113022129E-2</v>
      </c>
      <c r="AJ25" s="22">
        <v>-6.557377049180324E-2</v>
      </c>
      <c r="AK25" s="139"/>
      <c r="AL25" s="22">
        <v>-2.5641025641025661E-2</v>
      </c>
      <c r="AM25" s="278"/>
      <c r="AN25" s="22">
        <v>-0.12526997840172782</v>
      </c>
      <c r="AO25" s="211">
        <v>-5.0984936268829717E-2</v>
      </c>
    </row>
    <row r="26" spans="2:204" ht="13.9" customHeight="1">
      <c r="B26" s="12" t="s">
        <v>160</v>
      </c>
      <c r="C26" s="227" t="s">
        <v>24</v>
      </c>
      <c r="D26" s="210">
        <v>422</v>
      </c>
      <c r="E26" s="355">
        <v>117</v>
      </c>
      <c r="F26" s="355">
        <v>90</v>
      </c>
      <c r="G26" s="355">
        <v>115</v>
      </c>
      <c r="H26" s="355">
        <v>92</v>
      </c>
      <c r="I26" s="210">
        <v>414</v>
      </c>
      <c r="J26" s="355">
        <v>113</v>
      </c>
      <c r="K26" s="355">
        <v>86</v>
      </c>
      <c r="L26" s="355">
        <v>106</v>
      </c>
      <c r="M26" s="355">
        <v>86</v>
      </c>
      <c r="N26" s="210">
        <v>391</v>
      </c>
      <c r="O26" s="355">
        <v>102</v>
      </c>
      <c r="P26" s="355">
        <v>92</v>
      </c>
      <c r="Q26" s="355">
        <v>97</v>
      </c>
      <c r="R26" s="355">
        <v>96</v>
      </c>
      <c r="S26" s="210">
        <v>387</v>
      </c>
      <c r="T26" s="59">
        <v>111</v>
      </c>
      <c r="U26" s="59">
        <v>92</v>
      </c>
      <c r="V26" s="59">
        <v>106</v>
      </c>
      <c r="W26" s="19">
        <v>111</v>
      </c>
      <c r="X26" s="210">
        <v>420</v>
      </c>
      <c r="Y26" s="59">
        <v>125</v>
      </c>
      <c r="Z26" s="59">
        <v>98</v>
      </c>
      <c r="AA26" s="59">
        <v>108</v>
      </c>
      <c r="AB26" s="62">
        <v>153</v>
      </c>
      <c r="AC26" s="210">
        <v>484</v>
      </c>
      <c r="AD26" s="59">
        <v>126</v>
      </c>
      <c r="AE26" s="59">
        <v>104</v>
      </c>
      <c r="AF26" s="59">
        <v>113</v>
      </c>
      <c r="AG26" s="62">
        <v>106</v>
      </c>
      <c r="AH26" s="210">
        <v>449</v>
      </c>
      <c r="AI26" s="59">
        <v>153</v>
      </c>
      <c r="AJ26" s="59">
        <v>104</v>
      </c>
      <c r="AK26" s="137">
        <v>257</v>
      </c>
      <c r="AL26" s="59">
        <v>117</v>
      </c>
      <c r="AM26" s="276">
        <v>374</v>
      </c>
      <c r="AN26" s="62">
        <v>117</v>
      </c>
      <c r="AO26" s="210">
        <v>491</v>
      </c>
    </row>
    <row r="27" spans="2:204" ht="13.9" customHeight="1">
      <c r="B27" s="12"/>
      <c r="C27" s="211"/>
      <c r="D27" s="210"/>
      <c r="E27" s="355"/>
      <c r="F27" s="355"/>
      <c r="G27" s="355"/>
      <c r="H27" s="355"/>
      <c r="I27" s="210"/>
      <c r="J27" s="355"/>
      <c r="K27" s="355"/>
      <c r="L27" s="355"/>
      <c r="M27" s="355"/>
      <c r="N27" s="210"/>
      <c r="O27" s="355"/>
      <c r="P27" s="355"/>
      <c r="Q27" s="355"/>
      <c r="R27" s="355"/>
      <c r="S27" s="210"/>
      <c r="T27" s="59"/>
      <c r="U27" s="59"/>
      <c r="V27" s="59"/>
      <c r="W27" s="19"/>
      <c r="X27" s="210"/>
      <c r="Y27" s="59"/>
      <c r="Z27" s="59"/>
      <c r="AA27" s="59"/>
      <c r="AB27" s="62"/>
      <c r="AC27" s="210"/>
      <c r="AD27" s="59"/>
      <c r="AE27" s="59"/>
      <c r="AF27" s="59"/>
      <c r="AG27" s="62"/>
      <c r="AH27" s="210"/>
      <c r="AI27" s="59"/>
      <c r="AJ27" s="59"/>
      <c r="AK27" s="137"/>
      <c r="AL27" s="59"/>
      <c r="AM27" s="276"/>
      <c r="AN27" s="62"/>
      <c r="AO27" s="210"/>
    </row>
    <row r="28" spans="2:204" ht="13.9" customHeight="1">
      <c r="B28" s="12" t="s">
        <v>318</v>
      </c>
      <c r="C28" s="210">
        <v>2093</v>
      </c>
      <c r="D28" s="210">
        <v>1598</v>
      </c>
      <c r="E28" s="106">
        <v>316</v>
      </c>
      <c r="F28" s="106">
        <v>350</v>
      </c>
      <c r="G28" s="106">
        <v>358</v>
      </c>
      <c r="H28" s="355">
        <v>344</v>
      </c>
      <c r="I28" s="210">
        <v>1368</v>
      </c>
      <c r="J28" s="106">
        <v>436</v>
      </c>
      <c r="K28" s="106">
        <v>144</v>
      </c>
      <c r="L28" s="106">
        <v>285</v>
      </c>
      <c r="M28" s="355">
        <v>613</v>
      </c>
      <c r="N28" s="210">
        <v>1478</v>
      </c>
      <c r="O28" s="106">
        <v>323</v>
      </c>
      <c r="P28" s="106">
        <v>85</v>
      </c>
      <c r="Q28" s="106">
        <v>377</v>
      </c>
      <c r="R28" s="355">
        <v>254</v>
      </c>
      <c r="S28" s="210">
        <v>1039</v>
      </c>
      <c r="T28" s="25">
        <v>570</v>
      </c>
      <c r="U28" s="25">
        <v>359</v>
      </c>
      <c r="V28" s="25">
        <v>30</v>
      </c>
      <c r="W28" s="19">
        <v>451</v>
      </c>
      <c r="X28" s="210">
        <v>1410</v>
      </c>
      <c r="Y28" s="25">
        <v>345</v>
      </c>
      <c r="Z28" s="25">
        <v>238</v>
      </c>
      <c r="AA28" s="25">
        <v>406</v>
      </c>
      <c r="AB28" s="62">
        <v>313</v>
      </c>
      <c r="AC28" s="210">
        <v>1302</v>
      </c>
      <c r="AD28" s="25">
        <v>468</v>
      </c>
      <c r="AE28" s="25">
        <v>178</v>
      </c>
      <c r="AF28" s="25">
        <v>365</v>
      </c>
      <c r="AG28" s="62">
        <v>260</v>
      </c>
      <c r="AH28" s="210">
        <v>1271</v>
      </c>
      <c r="AI28" s="25">
        <v>262</v>
      </c>
      <c r="AJ28" s="25">
        <v>230</v>
      </c>
      <c r="AK28" s="137">
        <v>492</v>
      </c>
      <c r="AL28" s="25">
        <v>331</v>
      </c>
      <c r="AM28" s="276">
        <v>823</v>
      </c>
      <c r="AN28" s="62">
        <v>310</v>
      </c>
      <c r="AO28" s="210">
        <v>1133</v>
      </c>
    </row>
    <row r="29" spans="2:204" ht="13.9" customHeight="1">
      <c r="B29" s="20" t="s">
        <v>5</v>
      </c>
      <c r="C29" s="211"/>
      <c r="D29" s="211"/>
      <c r="E29" s="357"/>
      <c r="F29" s="357">
        <v>0.10759493670886067</v>
      </c>
      <c r="G29" s="357">
        <v>2.2857142857142909E-2</v>
      </c>
      <c r="H29" s="357">
        <v>-3.9106145251396662E-2</v>
      </c>
      <c r="I29" s="211"/>
      <c r="J29" s="357">
        <v>0.26744186046511631</v>
      </c>
      <c r="K29" s="357">
        <v>-0.66972477064220182</v>
      </c>
      <c r="L29" s="357">
        <v>0.97916666666666674</v>
      </c>
      <c r="M29" s="357">
        <v>1.1508771929824562</v>
      </c>
      <c r="N29" s="211"/>
      <c r="O29" s="357">
        <v>-0.4730831973898858</v>
      </c>
      <c r="P29" s="357">
        <v>-0.73684210526315796</v>
      </c>
      <c r="Q29" s="357">
        <v>3.4352941176470591</v>
      </c>
      <c r="R29" s="357">
        <v>-0.32625994694960214</v>
      </c>
      <c r="S29" s="211"/>
      <c r="T29" s="21">
        <v>1.2440944881889764</v>
      </c>
      <c r="U29" s="21">
        <v>-0.37017543859649127</v>
      </c>
      <c r="V29" s="21">
        <v>-0.91643454038997219</v>
      </c>
      <c r="W29" s="21">
        <v>14.033333333333333</v>
      </c>
      <c r="X29" s="211"/>
      <c r="Y29" s="21">
        <v>-0.23503325942350328</v>
      </c>
      <c r="Z29" s="21">
        <v>-0.31014492753623191</v>
      </c>
      <c r="AA29" s="21">
        <v>0.70588235294117641</v>
      </c>
      <c r="AB29" s="21">
        <v>-0.22906403940886699</v>
      </c>
      <c r="AC29" s="211"/>
      <c r="AD29" s="21">
        <v>0.4952076677316295</v>
      </c>
      <c r="AE29" s="21">
        <v>-0.61965811965811968</v>
      </c>
      <c r="AF29" s="21">
        <v>1.0505617977528088</v>
      </c>
      <c r="AG29" s="21">
        <v>-0.28767123287671237</v>
      </c>
      <c r="AH29" s="211"/>
      <c r="AI29" s="21">
        <v>7.692307692307665E-3</v>
      </c>
      <c r="AJ29" s="21">
        <v>-0.12213740458015265</v>
      </c>
      <c r="AK29" s="138"/>
      <c r="AL29" s="21">
        <v>0.4391304347826086</v>
      </c>
      <c r="AM29" s="277"/>
      <c r="AN29" s="21">
        <v>-6.3444108761329332E-2</v>
      </c>
      <c r="AO29" s="211"/>
    </row>
    <row r="30" spans="2:204" ht="13.9" customHeight="1">
      <c r="B30" s="20" t="s">
        <v>6</v>
      </c>
      <c r="C30" s="211"/>
      <c r="D30" s="211">
        <v>-0.23650262780697562</v>
      </c>
      <c r="E30" s="66"/>
      <c r="F30" s="66"/>
      <c r="G30" s="66"/>
      <c r="H30" s="66"/>
      <c r="I30" s="211">
        <v>-0.14392991239048814</v>
      </c>
      <c r="J30" s="66">
        <v>0.379746835443038</v>
      </c>
      <c r="K30" s="66">
        <v>-0.58857142857142852</v>
      </c>
      <c r="L30" s="66">
        <v>-0.2039106145251397</v>
      </c>
      <c r="M30" s="66">
        <v>0.78197674418604657</v>
      </c>
      <c r="N30" s="211">
        <v>8.0409356725146264E-2</v>
      </c>
      <c r="O30" s="66">
        <v>-0.25917431192660545</v>
      </c>
      <c r="P30" s="66">
        <v>-0.40972222222222221</v>
      </c>
      <c r="Q30" s="66">
        <v>0.32280701754385954</v>
      </c>
      <c r="R30" s="66">
        <v>-0.5856443719412725</v>
      </c>
      <c r="S30" s="211">
        <v>-0.29702300405953996</v>
      </c>
      <c r="T30" s="22">
        <v>0.76470588235294112</v>
      </c>
      <c r="U30" s="22">
        <v>3.223529411764706</v>
      </c>
      <c r="V30" s="22">
        <v>-0.92042440318302388</v>
      </c>
      <c r="W30" s="22">
        <v>0.77559055118110232</v>
      </c>
      <c r="X30" s="211">
        <v>0.35707410972088538</v>
      </c>
      <c r="Y30" s="22">
        <v>-0.39473684210526316</v>
      </c>
      <c r="Z30" s="22">
        <v>-0.3370473537604457</v>
      </c>
      <c r="AA30" s="29" t="s">
        <v>439</v>
      </c>
      <c r="AB30" s="22">
        <v>-0.30598669623059871</v>
      </c>
      <c r="AC30" s="211">
        <v>-7.6595744680851063E-2</v>
      </c>
      <c r="AD30" s="22">
        <v>0.35652173913043472</v>
      </c>
      <c r="AE30" s="22">
        <v>-0.25210084033613445</v>
      </c>
      <c r="AF30" s="22">
        <v>-0.10098522167487689</v>
      </c>
      <c r="AG30" s="22">
        <v>-0.16932907348242809</v>
      </c>
      <c r="AH30" s="211">
        <v>-2.3809523809523836E-2</v>
      </c>
      <c r="AI30" s="22">
        <v>-0.44017094017094016</v>
      </c>
      <c r="AJ30" s="22">
        <v>0.2921348314606742</v>
      </c>
      <c r="AK30" s="139"/>
      <c r="AL30" s="22">
        <v>-9.31506849315068E-2</v>
      </c>
      <c r="AM30" s="278"/>
      <c r="AN30" s="22">
        <v>0.19230769230769229</v>
      </c>
      <c r="AO30" s="211">
        <v>-0.10857592446892206</v>
      </c>
    </row>
    <row r="31" spans="2:204" ht="13.9" customHeight="1">
      <c r="B31" s="201" t="s">
        <v>148</v>
      </c>
      <c r="C31" s="122"/>
      <c r="D31" s="122"/>
      <c r="E31" s="209"/>
      <c r="F31" s="209"/>
      <c r="G31" s="209"/>
      <c r="H31" s="209"/>
      <c r="I31" s="122"/>
      <c r="J31" s="209"/>
      <c r="K31" s="209"/>
      <c r="L31" s="209"/>
      <c r="M31" s="209"/>
      <c r="N31" s="122"/>
      <c r="O31" s="209"/>
      <c r="P31" s="209"/>
      <c r="Q31" s="209"/>
      <c r="R31" s="209"/>
      <c r="S31" s="122"/>
      <c r="T31" s="209"/>
      <c r="U31" s="209"/>
      <c r="V31" s="209"/>
      <c r="W31" s="209"/>
      <c r="X31" s="122"/>
      <c r="Y31" s="209"/>
      <c r="Z31" s="209"/>
      <c r="AA31" s="209"/>
      <c r="AB31" s="209"/>
      <c r="AC31" s="122"/>
      <c r="AD31" s="209"/>
      <c r="AE31" s="209"/>
      <c r="AF31" s="209"/>
      <c r="AG31" s="209"/>
      <c r="AH31" s="122"/>
      <c r="AI31" s="209"/>
      <c r="AJ31" s="209"/>
      <c r="AK31" s="209"/>
      <c r="AL31" s="209"/>
      <c r="AM31" s="209"/>
      <c r="AN31" s="209"/>
      <c r="AO31" s="122"/>
    </row>
    <row r="32" spans="2:204" ht="13.9" customHeight="1">
      <c r="B32" s="12" t="s">
        <v>101</v>
      </c>
      <c r="C32" s="223">
        <v>206</v>
      </c>
      <c r="D32" s="223">
        <v>269</v>
      </c>
      <c r="E32" s="62">
        <v>-18</v>
      </c>
      <c r="F32" s="62">
        <v>45</v>
      </c>
      <c r="G32" s="62">
        <v>20</v>
      </c>
      <c r="H32" s="355">
        <v>56</v>
      </c>
      <c r="I32" s="223">
        <v>103</v>
      </c>
      <c r="J32" s="62">
        <v>-44</v>
      </c>
      <c r="K32" s="355">
        <v>0</v>
      </c>
      <c r="L32" s="62">
        <v>26</v>
      </c>
      <c r="M32" s="62">
        <v>75</v>
      </c>
      <c r="N32" s="223">
        <v>57</v>
      </c>
      <c r="O32" s="62">
        <v>-59</v>
      </c>
      <c r="P32" s="355">
        <v>12</v>
      </c>
      <c r="Q32" s="62">
        <v>17</v>
      </c>
      <c r="R32" s="62">
        <v>-199</v>
      </c>
      <c r="S32" s="223">
        <v>-229</v>
      </c>
      <c r="T32" s="62">
        <v>218</v>
      </c>
      <c r="U32" s="62">
        <v>126</v>
      </c>
      <c r="V32" s="62">
        <v>11</v>
      </c>
      <c r="W32" s="62">
        <v>-13</v>
      </c>
      <c r="X32" s="223">
        <v>342</v>
      </c>
      <c r="Y32" s="62">
        <v>-104</v>
      </c>
      <c r="Z32" s="62">
        <v>-12</v>
      </c>
      <c r="AA32" s="62">
        <v>-30</v>
      </c>
      <c r="AB32" s="62">
        <v>139</v>
      </c>
      <c r="AC32" s="223">
        <v>-7</v>
      </c>
      <c r="AD32" s="62">
        <v>-65</v>
      </c>
      <c r="AE32" s="62">
        <v>36</v>
      </c>
      <c r="AF32" s="62">
        <v>30</v>
      </c>
      <c r="AG32" s="62">
        <v>66</v>
      </c>
      <c r="AH32" s="223">
        <v>67</v>
      </c>
      <c r="AI32" s="62">
        <v>-85</v>
      </c>
      <c r="AJ32" s="62">
        <v>55</v>
      </c>
      <c r="AK32" s="148">
        <v>-30</v>
      </c>
      <c r="AL32" s="62">
        <v>-25</v>
      </c>
      <c r="AM32" s="285">
        <v>-55</v>
      </c>
      <c r="AN32" s="62">
        <v>16</v>
      </c>
      <c r="AO32" s="223">
        <v>-39</v>
      </c>
    </row>
    <row r="33" spans="2:41" ht="13.9" customHeight="1">
      <c r="C33" s="210"/>
      <c r="D33" s="210"/>
      <c r="E33" s="355"/>
      <c r="F33" s="355"/>
      <c r="G33" s="355"/>
      <c r="H33" s="355"/>
      <c r="I33" s="210"/>
      <c r="J33" s="355"/>
      <c r="K33" s="355"/>
      <c r="L33" s="355"/>
      <c r="M33" s="355"/>
      <c r="N33" s="223"/>
      <c r="O33" s="355"/>
      <c r="P33" s="355"/>
      <c r="Q33" s="355"/>
      <c r="R33" s="355"/>
      <c r="S33" s="223"/>
      <c r="T33" s="19"/>
      <c r="U33" s="62"/>
      <c r="V33" s="19"/>
      <c r="W33" s="19"/>
      <c r="X33" s="223"/>
      <c r="Y33" s="19"/>
      <c r="Z33" s="62"/>
      <c r="AA33" s="19"/>
      <c r="AB33" s="19"/>
      <c r="AC33" s="223"/>
      <c r="AD33" s="19"/>
      <c r="AE33" s="62"/>
      <c r="AF33" s="19"/>
      <c r="AG33" s="19"/>
      <c r="AH33" s="223"/>
      <c r="AI33" s="19"/>
      <c r="AJ33" s="62"/>
      <c r="AK33" s="148"/>
      <c r="AL33" s="19"/>
      <c r="AM33" s="276"/>
      <c r="AN33" s="19"/>
      <c r="AO33" s="223"/>
    </row>
    <row r="34" spans="2:41" ht="13.9" customHeight="1">
      <c r="B34" s="12" t="s">
        <v>102</v>
      </c>
      <c r="C34" s="223">
        <v>-35</v>
      </c>
      <c r="D34" s="223">
        <v>-5</v>
      </c>
      <c r="E34" s="62">
        <v>-9</v>
      </c>
      <c r="F34" s="355">
        <v>0</v>
      </c>
      <c r="G34" s="62">
        <v>4</v>
      </c>
      <c r="H34" s="62">
        <v>-14</v>
      </c>
      <c r="I34" s="223">
        <v>-19</v>
      </c>
      <c r="J34" s="62">
        <v>-17</v>
      </c>
      <c r="K34" s="62">
        <v>-3</v>
      </c>
      <c r="L34" s="62">
        <v>10</v>
      </c>
      <c r="M34" s="62">
        <v>23</v>
      </c>
      <c r="N34" s="223">
        <v>13</v>
      </c>
      <c r="O34" s="62">
        <v>-18</v>
      </c>
      <c r="P34" s="62">
        <v>3</v>
      </c>
      <c r="Q34" s="62">
        <v>1</v>
      </c>
      <c r="R34" s="62">
        <v>-5</v>
      </c>
      <c r="S34" s="223">
        <v>-19</v>
      </c>
      <c r="T34" s="62">
        <v>-37</v>
      </c>
      <c r="U34" s="62">
        <v>8</v>
      </c>
      <c r="V34" s="62">
        <v>-8</v>
      </c>
      <c r="W34" s="62">
        <v>16</v>
      </c>
      <c r="X34" s="223">
        <v>-21</v>
      </c>
      <c r="Y34" s="62">
        <v>-56</v>
      </c>
      <c r="Z34" s="62">
        <v>11</v>
      </c>
      <c r="AA34" s="62">
        <v>22</v>
      </c>
      <c r="AB34" s="62">
        <v>8</v>
      </c>
      <c r="AC34" s="223">
        <v>-15</v>
      </c>
      <c r="AD34" s="62">
        <v>-44</v>
      </c>
      <c r="AE34" s="62">
        <v>6</v>
      </c>
      <c r="AF34" s="24">
        <v>0</v>
      </c>
      <c r="AG34" s="62">
        <v>-71</v>
      </c>
      <c r="AH34" s="223">
        <v>-109</v>
      </c>
      <c r="AI34" s="62">
        <v>15</v>
      </c>
      <c r="AJ34" s="62">
        <v>27</v>
      </c>
      <c r="AK34" s="148">
        <v>42</v>
      </c>
      <c r="AL34" s="24">
        <v>10</v>
      </c>
      <c r="AM34" s="285">
        <v>52</v>
      </c>
      <c r="AN34" s="62">
        <v>2</v>
      </c>
      <c r="AO34" s="223">
        <v>54</v>
      </c>
    </row>
    <row r="35" spans="2:41" ht="13.9" customHeight="1">
      <c r="B35" s="20"/>
      <c r="C35" s="223"/>
      <c r="D35" s="223"/>
      <c r="E35" s="62"/>
      <c r="F35" s="62"/>
      <c r="G35" s="62"/>
      <c r="H35" s="62"/>
      <c r="I35" s="223"/>
      <c r="J35" s="62"/>
      <c r="K35" s="62"/>
      <c r="L35" s="62"/>
      <c r="M35" s="62"/>
      <c r="N35" s="223"/>
      <c r="O35" s="62"/>
      <c r="P35" s="62"/>
      <c r="Q35" s="62"/>
      <c r="R35" s="62"/>
      <c r="S35" s="223"/>
      <c r="T35" s="62"/>
      <c r="U35" s="62"/>
      <c r="V35" s="62"/>
      <c r="W35" s="62"/>
      <c r="X35" s="223"/>
      <c r="Y35" s="62"/>
      <c r="Z35" s="62"/>
      <c r="AA35" s="62"/>
      <c r="AB35" s="62"/>
      <c r="AC35" s="223"/>
      <c r="AD35" s="62"/>
      <c r="AE35" s="62"/>
      <c r="AF35" s="62"/>
      <c r="AG35" s="62"/>
      <c r="AH35" s="223"/>
      <c r="AI35" s="62"/>
      <c r="AJ35" s="62"/>
      <c r="AK35" s="148"/>
      <c r="AL35" s="62"/>
      <c r="AM35" s="285"/>
      <c r="AN35" s="62"/>
      <c r="AO35" s="223"/>
    </row>
    <row r="36" spans="2:41" ht="13.9" customHeight="1">
      <c r="B36" s="12" t="s">
        <v>103</v>
      </c>
      <c r="C36" s="223">
        <v>9</v>
      </c>
      <c r="D36" s="223">
        <v>-132</v>
      </c>
      <c r="E36" s="62">
        <v>6</v>
      </c>
      <c r="F36" s="62">
        <v>-176</v>
      </c>
      <c r="G36" s="62">
        <v>50</v>
      </c>
      <c r="H36" s="355">
        <v>43</v>
      </c>
      <c r="I36" s="223">
        <v>-77</v>
      </c>
      <c r="J36" s="62">
        <v>98</v>
      </c>
      <c r="K36" s="62">
        <v>-223</v>
      </c>
      <c r="L36" s="62">
        <v>34</v>
      </c>
      <c r="M36" s="62">
        <v>108</v>
      </c>
      <c r="N36" s="223">
        <v>17</v>
      </c>
      <c r="O36" s="62">
        <v>26</v>
      </c>
      <c r="P36" s="62">
        <v>-184</v>
      </c>
      <c r="Q36" s="62">
        <v>60</v>
      </c>
      <c r="R36" s="62">
        <v>57</v>
      </c>
      <c r="S36" s="223">
        <v>-41</v>
      </c>
      <c r="T36" s="62">
        <v>89</v>
      </c>
      <c r="U36" s="62">
        <v>-108</v>
      </c>
      <c r="V36" s="62">
        <v>-98</v>
      </c>
      <c r="W36" s="62">
        <v>76</v>
      </c>
      <c r="X36" s="223">
        <v>-41</v>
      </c>
      <c r="Y36" s="62">
        <v>173</v>
      </c>
      <c r="Z36" s="62">
        <v>-128</v>
      </c>
      <c r="AA36" s="62">
        <v>71</v>
      </c>
      <c r="AB36" s="62">
        <v>-53</v>
      </c>
      <c r="AC36" s="223">
        <v>63</v>
      </c>
      <c r="AD36" s="62">
        <v>176</v>
      </c>
      <c r="AE36" s="62">
        <v>-107</v>
      </c>
      <c r="AF36" s="62">
        <v>48</v>
      </c>
      <c r="AG36" s="62">
        <v>30</v>
      </c>
      <c r="AH36" s="223">
        <v>147</v>
      </c>
      <c r="AI36" s="62">
        <v>163</v>
      </c>
      <c r="AJ36" s="62">
        <v>-139</v>
      </c>
      <c r="AK36" s="148">
        <v>24</v>
      </c>
      <c r="AL36" s="62">
        <v>73</v>
      </c>
      <c r="AM36" s="285">
        <v>97</v>
      </c>
      <c r="AN36" s="62">
        <v>32</v>
      </c>
      <c r="AO36" s="223">
        <v>129</v>
      </c>
    </row>
    <row r="37" spans="2:41" ht="13.9" customHeight="1">
      <c r="B37" s="20"/>
      <c r="C37" s="223"/>
      <c r="D37" s="223"/>
      <c r="E37" s="62"/>
      <c r="F37" s="62"/>
      <c r="G37" s="62"/>
      <c r="H37" s="62"/>
      <c r="I37" s="223"/>
      <c r="J37" s="62"/>
      <c r="K37" s="62"/>
      <c r="L37" s="62"/>
      <c r="M37" s="62"/>
      <c r="N37" s="223"/>
      <c r="O37" s="62"/>
      <c r="P37" s="62"/>
      <c r="Q37" s="62"/>
      <c r="R37" s="62"/>
      <c r="S37" s="223"/>
      <c r="T37" s="62"/>
      <c r="U37" s="62"/>
      <c r="V37" s="62"/>
      <c r="W37" s="62"/>
      <c r="X37" s="223"/>
      <c r="Y37" s="62"/>
      <c r="Z37" s="62"/>
      <c r="AA37" s="62"/>
      <c r="AB37" s="62"/>
      <c r="AC37" s="223"/>
      <c r="AD37" s="62"/>
      <c r="AE37" s="62"/>
      <c r="AF37" s="62"/>
      <c r="AG37" s="62"/>
      <c r="AH37" s="223"/>
      <c r="AI37" s="62"/>
      <c r="AJ37" s="62"/>
      <c r="AK37" s="148"/>
      <c r="AL37" s="62"/>
      <c r="AM37" s="285"/>
      <c r="AN37" s="62"/>
      <c r="AO37" s="223"/>
    </row>
    <row r="38" spans="2:41" ht="13.9" customHeight="1">
      <c r="B38" s="12" t="s">
        <v>104</v>
      </c>
      <c r="C38" s="223">
        <v>15</v>
      </c>
      <c r="D38" s="223">
        <v>81</v>
      </c>
      <c r="E38" s="61">
        <v>-30</v>
      </c>
      <c r="F38" s="61">
        <v>3</v>
      </c>
      <c r="G38" s="61">
        <v>-5</v>
      </c>
      <c r="H38" s="62">
        <v>-17</v>
      </c>
      <c r="I38" s="223">
        <v>-49</v>
      </c>
      <c r="J38" s="355">
        <v>0</v>
      </c>
      <c r="K38" s="61">
        <v>-3</v>
      </c>
      <c r="L38" s="61">
        <v>-8</v>
      </c>
      <c r="M38" s="62">
        <v>3</v>
      </c>
      <c r="N38" s="223">
        <v>-8</v>
      </c>
      <c r="O38" s="62">
        <v>-29</v>
      </c>
      <c r="P38" s="61">
        <v>-3</v>
      </c>
      <c r="Q38" s="61">
        <v>-2</v>
      </c>
      <c r="R38" s="62">
        <v>-13</v>
      </c>
      <c r="S38" s="223">
        <v>-47</v>
      </c>
      <c r="T38" s="62">
        <v>43</v>
      </c>
      <c r="U38" s="62">
        <v>-15</v>
      </c>
      <c r="V38" s="61">
        <v>2</v>
      </c>
      <c r="W38" s="62">
        <v>-6</v>
      </c>
      <c r="X38" s="223">
        <v>24</v>
      </c>
      <c r="Y38" s="62">
        <v>4</v>
      </c>
      <c r="Z38" s="62">
        <v>-2</v>
      </c>
      <c r="AA38" s="61">
        <v>-5</v>
      </c>
      <c r="AB38" s="62">
        <v>1</v>
      </c>
      <c r="AC38" s="223">
        <v>-2</v>
      </c>
      <c r="AD38" s="62">
        <v>-2</v>
      </c>
      <c r="AE38" s="62">
        <v>2</v>
      </c>
      <c r="AF38" s="61">
        <v>10</v>
      </c>
      <c r="AG38" s="62">
        <v>-15</v>
      </c>
      <c r="AH38" s="223">
        <v>-5</v>
      </c>
      <c r="AI38" s="62">
        <v>6</v>
      </c>
      <c r="AJ38" s="62">
        <v>-7</v>
      </c>
      <c r="AK38" s="148">
        <v>-1</v>
      </c>
      <c r="AL38" s="61">
        <v>12</v>
      </c>
      <c r="AM38" s="285">
        <v>11</v>
      </c>
      <c r="AN38" s="62">
        <v>11</v>
      </c>
      <c r="AO38" s="223">
        <v>22</v>
      </c>
    </row>
    <row r="39" spans="2:41" ht="13.9" customHeight="1">
      <c r="B39" s="12"/>
      <c r="C39" s="223"/>
      <c r="D39" s="223"/>
      <c r="E39" s="62"/>
      <c r="F39" s="62"/>
      <c r="G39" s="62"/>
      <c r="H39" s="62"/>
      <c r="I39" s="223"/>
      <c r="J39" s="62"/>
      <c r="K39" s="62"/>
      <c r="L39" s="62"/>
      <c r="M39" s="62"/>
      <c r="N39" s="223"/>
      <c r="O39" s="62"/>
      <c r="P39" s="62"/>
      <c r="Q39" s="62"/>
      <c r="R39" s="62"/>
      <c r="S39" s="223"/>
      <c r="T39" s="62"/>
      <c r="U39" s="62"/>
      <c r="V39" s="62"/>
      <c r="W39" s="62"/>
      <c r="X39" s="223"/>
      <c r="Y39" s="62"/>
      <c r="Z39" s="62"/>
      <c r="AA39" s="62"/>
      <c r="AB39" s="62"/>
      <c r="AC39" s="223"/>
      <c r="AD39" s="62"/>
      <c r="AE39" s="62"/>
      <c r="AF39" s="62"/>
      <c r="AG39" s="62"/>
      <c r="AH39" s="223"/>
      <c r="AI39" s="62"/>
      <c r="AJ39" s="62"/>
      <c r="AK39" s="148"/>
      <c r="AL39" s="62"/>
      <c r="AM39" s="285"/>
      <c r="AN39" s="62"/>
      <c r="AO39" s="223"/>
    </row>
    <row r="40" spans="2:41" ht="13.9" customHeight="1">
      <c r="B40" s="12" t="s">
        <v>105</v>
      </c>
      <c r="C40" s="223">
        <v>-33</v>
      </c>
      <c r="D40" s="223">
        <v>489</v>
      </c>
      <c r="E40" s="62">
        <v>-46</v>
      </c>
      <c r="F40" s="62">
        <v>-52</v>
      </c>
      <c r="G40" s="62">
        <v>-58</v>
      </c>
      <c r="H40" s="355">
        <v>106</v>
      </c>
      <c r="I40" s="223">
        <v>-50</v>
      </c>
      <c r="J40" s="62">
        <v>-88</v>
      </c>
      <c r="K40" s="62">
        <v>-78</v>
      </c>
      <c r="L40" s="62">
        <v>-66</v>
      </c>
      <c r="M40" s="62">
        <v>40</v>
      </c>
      <c r="N40" s="223">
        <v>-192</v>
      </c>
      <c r="O40" s="62">
        <v>-37</v>
      </c>
      <c r="P40" s="62">
        <v>-93</v>
      </c>
      <c r="Q40" s="62">
        <v>-20</v>
      </c>
      <c r="R40" s="62">
        <v>85</v>
      </c>
      <c r="S40" s="223">
        <v>-65</v>
      </c>
      <c r="T40" s="62">
        <v>-83</v>
      </c>
      <c r="U40" s="62">
        <v>-29</v>
      </c>
      <c r="V40" s="62">
        <v>-118</v>
      </c>
      <c r="W40" s="62">
        <v>139</v>
      </c>
      <c r="X40" s="223">
        <v>-91</v>
      </c>
      <c r="Y40" s="62">
        <v>-31</v>
      </c>
      <c r="Z40" s="62">
        <v>-56</v>
      </c>
      <c r="AA40" s="62">
        <v>49</v>
      </c>
      <c r="AB40" s="62">
        <v>35</v>
      </c>
      <c r="AC40" s="223">
        <v>-3</v>
      </c>
      <c r="AD40" s="62">
        <v>11</v>
      </c>
      <c r="AE40" s="62">
        <v>-45</v>
      </c>
      <c r="AF40" s="62">
        <v>-7</v>
      </c>
      <c r="AG40" s="62">
        <v>156</v>
      </c>
      <c r="AH40" s="223">
        <v>115</v>
      </c>
      <c r="AI40" s="62">
        <v>-1</v>
      </c>
      <c r="AJ40" s="62">
        <v>-50</v>
      </c>
      <c r="AK40" s="148">
        <v>-51</v>
      </c>
      <c r="AL40" s="62">
        <v>-17</v>
      </c>
      <c r="AM40" s="285">
        <v>-68</v>
      </c>
      <c r="AN40" s="62">
        <v>180</v>
      </c>
      <c r="AO40" s="223">
        <v>112</v>
      </c>
    </row>
    <row r="41" spans="2:41" ht="13.9" customHeight="1">
      <c r="B41" s="12"/>
      <c r="C41" s="223"/>
      <c r="D41" s="223"/>
      <c r="E41" s="62"/>
      <c r="F41" s="62"/>
      <c r="G41" s="62"/>
      <c r="H41" s="62"/>
      <c r="I41" s="223"/>
      <c r="J41" s="62"/>
      <c r="K41" s="62"/>
      <c r="L41" s="62"/>
      <c r="M41" s="62"/>
      <c r="N41" s="223"/>
      <c r="O41" s="62"/>
      <c r="P41" s="62"/>
      <c r="Q41" s="62"/>
      <c r="R41" s="62"/>
      <c r="S41" s="223"/>
      <c r="T41" s="62"/>
      <c r="U41" s="62"/>
      <c r="V41" s="62"/>
      <c r="W41" s="62"/>
      <c r="X41" s="223"/>
      <c r="Y41" s="62"/>
      <c r="Z41" s="62"/>
      <c r="AA41" s="62"/>
      <c r="AB41" s="62"/>
      <c r="AC41" s="223"/>
      <c r="AD41" s="62"/>
      <c r="AE41" s="62"/>
      <c r="AF41" s="62"/>
      <c r="AG41" s="62"/>
      <c r="AH41" s="223"/>
      <c r="AI41" s="62"/>
      <c r="AJ41" s="62"/>
      <c r="AK41" s="148"/>
      <c r="AL41" s="62"/>
      <c r="AM41" s="285"/>
      <c r="AN41" s="62"/>
      <c r="AO41" s="223"/>
    </row>
    <row r="42" spans="2:41" ht="13.9" customHeight="1">
      <c r="B42" s="34" t="s">
        <v>242</v>
      </c>
      <c r="C42" s="223">
        <v>-34</v>
      </c>
      <c r="D42" s="215">
        <v>0</v>
      </c>
      <c r="E42" s="62">
        <v>-12</v>
      </c>
      <c r="F42" s="62">
        <v>6</v>
      </c>
      <c r="G42" s="62">
        <v>-11</v>
      </c>
      <c r="H42" s="355">
        <v>9</v>
      </c>
      <c r="I42" s="223">
        <v>-8</v>
      </c>
      <c r="J42" s="62">
        <v>-7</v>
      </c>
      <c r="K42" s="355">
        <v>0</v>
      </c>
      <c r="L42" s="62">
        <v>-5</v>
      </c>
      <c r="M42" s="62">
        <v>18</v>
      </c>
      <c r="N42" s="223">
        <v>-1</v>
      </c>
      <c r="O42" s="62">
        <v>2</v>
      </c>
      <c r="P42" s="355">
        <v>1</v>
      </c>
      <c r="Q42" s="62">
        <v>3</v>
      </c>
      <c r="R42" s="62">
        <v>18</v>
      </c>
      <c r="S42" s="223">
        <v>-5</v>
      </c>
      <c r="T42" s="62">
        <v>-2</v>
      </c>
      <c r="U42" s="62">
        <v>-6</v>
      </c>
      <c r="V42" s="62">
        <v>6</v>
      </c>
      <c r="W42" s="62">
        <v>18</v>
      </c>
      <c r="X42" s="223">
        <v>3</v>
      </c>
      <c r="Y42" s="24">
        <v>0</v>
      </c>
      <c r="Z42" s="62">
        <v>3</v>
      </c>
      <c r="AA42" s="62">
        <v>-1</v>
      </c>
      <c r="AB42" s="62">
        <v>18</v>
      </c>
      <c r="AC42" s="223">
        <v>20</v>
      </c>
      <c r="AD42" s="62">
        <v>0</v>
      </c>
      <c r="AE42" s="62">
        <v>3</v>
      </c>
      <c r="AF42" s="62">
        <v>-2</v>
      </c>
      <c r="AG42" s="62">
        <v>-54</v>
      </c>
      <c r="AH42" s="223">
        <v>-53</v>
      </c>
      <c r="AI42" s="62">
        <v>1</v>
      </c>
      <c r="AJ42" s="62">
        <v>-95</v>
      </c>
      <c r="AK42" s="148">
        <v>-94</v>
      </c>
      <c r="AL42" s="62">
        <v>-110</v>
      </c>
      <c r="AM42" s="285">
        <v>-204</v>
      </c>
      <c r="AN42" s="62">
        <v>-95</v>
      </c>
      <c r="AO42" s="223">
        <v>-299</v>
      </c>
    </row>
    <row r="43" spans="2:41" ht="13.9" customHeight="1">
      <c r="B43" s="34"/>
      <c r="C43" s="223"/>
      <c r="D43" s="215"/>
      <c r="E43" s="62"/>
      <c r="F43" s="62"/>
      <c r="G43" s="62"/>
      <c r="H43" s="355"/>
      <c r="I43" s="223"/>
      <c r="J43" s="62"/>
      <c r="K43" s="355"/>
      <c r="L43" s="62"/>
      <c r="M43" s="62"/>
      <c r="N43" s="223"/>
      <c r="O43" s="62"/>
      <c r="P43" s="355"/>
      <c r="Q43" s="62"/>
      <c r="R43" s="62"/>
      <c r="S43" s="223"/>
      <c r="T43" s="62"/>
      <c r="U43" s="62"/>
      <c r="V43" s="62"/>
      <c r="W43" s="62"/>
      <c r="X43" s="223"/>
      <c r="Y43" s="24"/>
      <c r="Z43" s="62"/>
      <c r="AA43" s="62"/>
      <c r="AB43" s="62"/>
      <c r="AC43" s="223"/>
      <c r="AD43" s="62"/>
      <c r="AE43" s="62"/>
      <c r="AF43" s="62"/>
      <c r="AG43" s="62"/>
      <c r="AH43" s="223"/>
      <c r="AI43" s="62"/>
      <c r="AJ43" s="62"/>
      <c r="AK43" s="148"/>
      <c r="AL43" s="62"/>
      <c r="AM43" s="285"/>
      <c r="AN43" s="62"/>
      <c r="AO43" s="223"/>
    </row>
    <row r="44" spans="2:41" ht="13.9" customHeight="1">
      <c r="B44" s="12" t="s">
        <v>382</v>
      </c>
      <c r="C44" s="223">
        <v>-446</v>
      </c>
      <c r="D44" s="223">
        <v>-467</v>
      </c>
      <c r="E44" s="62">
        <v>-49</v>
      </c>
      <c r="F44" s="62">
        <v>-104</v>
      </c>
      <c r="G44" s="62">
        <v>-89</v>
      </c>
      <c r="H44" s="62">
        <v>-83</v>
      </c>
      <c r="I44" s="223">
        <v>-325</v>
      </c>
      <c r="J44" s="355">
        <v>0</v>
      </c>
      <c r="K44" s="62">
        <v>-86</v>
      </c>
      <c r="L44" s="62">
        <v>-78</v>
      </c>
      <c r="M44" s="62">
        <v>-79</v>
      </c>
      <c r="N44" s="223">
        <v>-243</v>
      </c>
      <c r="O44" s="62">
        <v>-135</v>
      </c>
      <c r="P44" s="62">
        <v>-83</v>
      </c>
      <c r="Q44" s="62">
        <v>-84</v>
      </c>
      <c r="R44" s="62">
        <v>-83</v>
      </c>
      <c r="S44" s="223">
        <v>-385</v>
      </c>
      <c r="T44" s="19">
        <v>-67</v>
      </c>
      <c r="U44" s="62">
        <v>-35</v>
      </c>
      <c r="V44" s="62">
        <v>-100</v>
      </c>
      <c r="W44" s="62">
        <v>-69</v>
      </c>
      <c r="X44" s="223">
        <v>-271</v>
      </c>
      <c r="Y44" s="62">
        <v>-65</v>
      </c>
      <c r="Z44" s="62">
        <v>-28</v>
      </c>
      <c r="AA44" s="62">
        <v>-89</v>
      </c>
      <c r="AB44" s="62">
        <v>-87</v>
      </c>
      <c r="AC44" s="223">
        <v>-269</v>
      </c>
      <c r="AD44" s="62">
        <v>8</v>
      </c>
      <c r="AE44" s="62">
        <v>-88</v>
      </c>
      <c r="AF44" s="62">
        <v>-79</v>
      </c>
      <c r="AG44" s="62">
        <v>-85</v>
      </c>
      <c r="AH44" s="223">
        <v>-244</v>
      </c>
      <c r="AI44" s="62">
        <v>-178</v>
      </c>
      <c r="AJ44" s="62">
        <v>-84</v>
      </c>
      <c r="AK44" s="148">
        <v>-262</v>
      </c>
      <c r="AL44" s="62">
        <v>-86</v>
      </c>
      <c r="AM44" s="285">
        <v>-348</v>
      </c>
      <c r="AN44" s="62">
        <v>-89</v>
      </c>
      <c r="AO44" s="223">
        <v>-437</v>
      </c>
    </row>
    <row r="45" spans="2:41" ht="13.9" customHeight="1">
      <c r="B45" s="34"/>
      <c r="C45" s="223"/>
      <c r="D45" s="215"/>
      <c r="E45" s="62"/>
      <c r="F45" s="62"/>
      <c r="G45" s="62"/>
      <c r="H45" s="355"/>
      <c r="I45" s="223"/>
      <c r="J45" s="62"/>
      <c r="K45" s="355"/>
      <c r="L45" s="62"/>
      <c r="M45" s="62"/>
      <c r="N45" s="223"/>
      <c r="O45" s="62"/>
      <c r="P45" s="355"/>
      <c r="Q45" s="62"/>
      <c r="R45" s="62"/>
      <c r="S45" s="223"/>
      <c r="T45" s="62"/>
      <c r="U45" s="62"/>
      <c r="V45" s="62"/>
      <c r="W45" s="62"/>
      <c r="X45" s="223"/>
      <c r="Y45" s="24"/>
      <c r="Z45" s="62"/>
      <c r="AA45" s="62"/>
      <c r="AB45" s="62"/>
      <c r="AC45" s="223"/>
      <c r="AD45" s="62"/>
      <c r="AE45" s="62"/>
      <c r="AF45" s="62"/>
      <c r="AG45" s="62"/>
      <c r="AH45" s="223"/>
      <c r="AI45" s="62"/>
      <c r="AJ45" s="62"/>
      <c r="AK45" s="148"/>
      <c r="AL45" s="62"/>
      <c r="AM45" s="285"/>
      <c r="AN45" s="62"/>
      <c r="AO45" s="223"/>
    </row>
    <row r="46" spans="2:41" ht="13.9" customHeight="1">
      <c r="B46" s="201" t="s">
        <v>431</v>
      </c>
      <c r="C46" s="284">
        <v>-318</v>
      </c>
      <c r="D46" s="284">
        <v>235</v>
      </c>
      <c r="E46" s="284">
        <v>-158</v>
      </c>
      <c r="F46" s="284">
        <v>-278</v>
      </c>
      <c r="G46" s="284">
        <v>-89</v>
      </c>
      <c r="H46" s="284">
        <v>100</v>
      </c>
      <c r="I46" s="284">
        <v>-425</v>
      </c>
      <c r="J46" s="284">
        <v>-58</v>
      </c>
      <c r="K46" s="284">
        <v>-393</v>
      </c>
      <c r="L46" s="284">
        <v>-87</v>
      </c>
      <c r="M46" s="284">
        <v>181</v>
      </c>
      <c r="N46" s="284">
        <v>-357</v>
      </c>
      <c r="O46" s="284">
        <v>-250</v>
      </c>
      <c r="P46" s="284">
        <v>-347</v>
      </c>
      <c r="Q46" s="284">
        <v>-25</v>
      </c>
      <c r="R46" s="284">
        <v>-169</v>
      </c>
      <c r="S46" s="284">
        <v>-791</v>
      </c>
      <c r="T46" s="284">
        <v>161</v>
      </c>
      <c r="U46" s="284">
        <v>-59</v>
      </c>
      <c r="V46" s="284">
        <v>-305</v>
      </c>
      <c r="W46" s="284">
        <v>148</v>
      </c>
      <c r="X46" s="284">
        <v>-55</v>
      </c>
      <c r="Y46" s="284">
        <v>-79</v>
      </c>
      <c r="Z46" s="284">
        <v>-212</v>
      </c>
      <c r="AA46" s="284">
        <v>17</v>
      </c>
      <c r="AB46" s="284">
        <v>61</v>
      </c>
      <c r="AC46" s="284">
        <v>-213</v>
      </c>
      <c r="AD46" s="284">
        <v>84</v>
      </c>
      <c r="AE46" s="284">
        <v>-193</v>
      </c>
      <c r="AF46" s="284">
        <v>0</v>
      </c>
      <c r="AG46" s="284">
        <v>27</v>
      </c>
      <c r="AH46" s="284">
        <v>-82</v>
      </c>
      <c r="AI46" s="284">
        <v>-79</v>
      </c>
      <c r="AJ46" s="284">
        <v>-293</v>
      </c>
      <c r="AK46" s="284">
        <v>-372</v>
      </c>
      <c r="AL46" s="284">
        <v>-143</v>
      </c>
      <c r="AM46" s="284">
        <v>-515</v>
      </c>
      <c r="AN46" s="284">
        <v>57</v>
      </c>
      <c r="AO46" s="284">
        <v>-458</v>
      </c>
    </row>
    <row r="47" spans="2:41" ht="13.9" customHeight="1">
      <c r="B47" s="12"/>
      <c r="C47" s="223"/>
      <c r="D47" s="223"/>
      <c r="E47" s="62"/>
      <c r="F47" s="62"/>
      <c r="G47" s="62"/>
      <c r="H47" s="62"/>
      <c r="I47" s="223"/>
      <c r="J47" s="62"/>
      <c r="K47" s="62"/>
      <c r="L47" s="62"/>
      <c r="M47" s="62"/>
      <c r="N47" s="223"/>
      <c r="O47" s="62"/>
      <c r="P47" s="62"/>
      <c r="Q47" s="62"/>
      <c r="R47" s="62"/>
      <c r="S47" s="223"/>
      <c r="T47" s="62"/>
      <c r="U47" s="62"/>
      <c r="V47" s="62"/>
      <c r="W47" s="62"/>
      <c r="X47" s="223"/>
      <c r="Y47" s="62"/>
      <c r="Z47" s="62"/>
      <c r="AA47" s="62"/>
      <c r="AB47" s="62"/>
      <c r="AC47" s="223"/>
      <c r="AD47" s="62"/>
      <c r="AE47" s="62"/>
      <c r="AF47" s="62"/>
      <c r="AG47" s="62"/>
      <c r="AH47" s="223"/>
      <c r="AI47" s="62"/>
      <c r="AJ47" s="62"/>
      <c r="AK47" s="138"/>
      <c r="AL47" s="62"/>
      <c r="AM47" s="285"/>
      <c r="AN47" s="62"/>
      <c r="AO47" s="223"/>
    </row>
    <row r="48" spans="2:41" ht="13.9" customHeight="1">
      <c r="B48" s="12" t="s">
        <v>106</v>
      </c>
      <c r="C48" s="223">
        <v>415</v>
      </c>
      <c r="D48" s="223">
        <v>421</v>
      </c>
      <c r="E48" s="62">
        <v>5</v>
      </c>
      <c r="F48" s="62">
        <v>185</v>
      </c>
      <c r="G48" s="62">
        <v>21</v>
      </c>
      <c r="H48" s="355">
        <v>181</v>
      </c>
      <c r="I48" s="223">
        <v>392</v>
      </c>
      <c r="J48" s="62">
        <v>5</v>
      </c>
      <c r="K48" s="62">
        <v>154</v>
      </c>
      <c r="L48" s="62">
        <v>5</v>
      </c>
      <c r="M48" s="62">
        <v>150</v>
      </c>
      <c r="N48" s="223">
        <v>314</v>
      </c>
      <c r="O48" s="62">
        <v>5</v>
      </c>
      <c r="P48" s="62">
        <v>123</v>
      </c>
      <c r="Q48" s="62">
        <v>7</v>
      </c>
      <c r="R48" s="62">
        <v>119</v>
      </c>
      <c r="S48" s="223">
        <v>254</v>
      </c>
      <c r="T48" s="19">
        <v>9</v>
      </c>
      <c r="U48" s="62">
        <v>103</v>
      </c>
      <c r="V48" s="62">
        <v>9</v>
      </c>
      <c r="W48" s="62">
        <v>111</v>
      </c>
      <c r="X48" s="223">
        <v>232</v>
      </c>
      <c r="Y48" s="62">
        <v>14</v>
      </c>
      <c r="Z48" s="62">
        <v>102</v>
      </c>
      <c r="AA48" s="62">
        <v>18</v>
      </c>
      <c r="AB48" s="62">
        <v>102</v>
      </c>
      <c r="AC48" s="223">
        <v>236</v>
      </c>
      <c r="AD48" s="62">
        <v>19</v>
      </c>
      <c r="AE48" s="62">
        <v>104</v>
      </c>
      <c r="AF48" s="62">
        <v>25</v>
      </c>
      <c r="AG48" s="62">
        <v>101</v>
      </c>
      <c r="AH48" s="223">
        <v>249</v>
      </c>
      <c r="AI48" s="62">
        <v>25</v>
      </c>
      <c r="AJ48" s="62">
        <v>96</v>
      </c>
      <c r="AK48" s="137">
        <v>121</v>
      </c>
      <c r="AL48" s="62">
        <v>25</v>
      </c>
      <c r="AM48" s="276">
        <v>146</v>
      </c>
      <c r="AN48" s="62">
        <v>92</v>
      </c>
      <c r="AO48" s="223">
        <v>238</v>
      </c>
    </row>
    <row r="49" spans="2:41" ht="13.9" customHeight="1">
      <c r="B49" s="12"/>
      <c r="C49" s="223"/>
      <c r="D49" s="223"/>
      <c r="E49" s="62"/>
      <c r="F49" s="62"/>
      <c r="G49" s="62"/>
      <c r="H49" s="355"/>
      <c r="I49" s="223"/>
      <c r="J49" s="62"/>
      <c r="K49" s="62"/>
      <c r="L49" s="62"/>
      <c r="M49" s="62"/>
      <c r="N49" s="223"/>
      <c r="O49" s="62"/>
      <c r="P49" s="62"/>
      <c r="Q49" s="62"/>
      <c r="R49" s="62"/>
      <c r="S49" s="223"/>
      <c r="T49" s="19"/>
      <c r="U49" s="62"/>
      <c r="V49" s="62"/>
      <c r="W49" s="62"/>
      <c r="X49" s="223"/>
      <c r="Y49" s="62"/>
      <c r="Z49" s="62"/>
      <c r="AA49" s="62"/>
      <c r="AB49" s="62"/>
      <c r="AC49" s="223"/>
      <c r="AD49" s="62"/>
      <c r="AE49" s="62"/>
      <c r="AF49" s="62"/>
      <c r="AG49" s="62"/>
      <c r="AH49" s="223"/>
      <c r="AI49" s="62"/>
      <c r="AJ49" s="62"/>
      <c r="AK49" s="137"/>
      <c r="AL49" s="62"/>
      <c r="AM49" s="276"/>
      <c r="AN49" s="62"/>
      <c r="AO49" s="223"/>
    </row>
    <row r="50" spans="2:41" ht="13.9" customHeight="1">
      <c r="B50" s="12" t="s">
        <v>429</v>
      </c>
      <c r="C50" s="227" t="s">
        <v>24</v>
      </c>
      <c r="D50" s="227" t="s">
        <v>24</v>
      </c>
      <c r="E50" s="62"/>
      <c r="F50" s="62"/>
      <c r="G50" s="62"/>
      <c r="H50" s="355"/>
      <c r="I50" s="227" t="s">
        <v>24</v>
      </c>
      <c r="J50" s="62"/>
      <c r="K50" s="62"/>
      <c r="L50" s="62"/>
      <c r="M50" s="62"/>
      <c r="N50" s="227" t="s">
        <v>24</v>
      </c>
      <c r="O50" s="62"/>
      <c r="P50" s="62"/>
      <c r="Q50" s="62"/>
      <c r="R50" s="62"/>
      <c r="S50" s="227" t="s">
        <v>24</v>
      </c>
      <c r="T50" s="19"/>
      <c r="U50" s="62"/>
      <c r="V50" s="62"/>
      <c r="W50" s="62"/>
      <c r="X50" s="223">
        <v>-23</v>
      </c>
      <c r="Y50" s="62">
        <v>-7</v>
      </c>
      <c r="Z50" s="62">
        <v>-21</v>
      </c>
      <c r="AA50" s="62">
        <v>-14</v>
      </c>
      <c r="AB50" s="62">
        <v>-30</v>
      </c>
      <c r="AC50" s="223">
        <v>-72</v>
      </c>
      <c r="AD50" s="62">
        <v>-23</v>
      </c>
      <c r="AE50" s="62">
        <v>-18</v>
      </c>
      <c r="AF50" s="62">
        <v>-10</v>
      </c>
      <c r="AG50" s="62">
        <v>-39</v>
      </c>
      <c r="AH50" s="223">
        <v>-90</v>
      </c>
      <c r="AI50" s="62">
        <v>-17</v>
      </c>
      <c r="AJ50" s="62">
        <v>-15</v>
      </c>
      <c r="AK50" s="137">
        <v>-32</v>
      </c>
      <c r="AL50" s="62">
        <v>-8</v>
      </c>
      <c r="AM50" s="285">
        <v>-40</v>
      </c>
      <c r="AN50" s="62">
        <v>-40</v>
      </c>
      <c r="AO50" s="223">
        <v>-80</v>
      </c>
    </row>
    <row r="51" spans="2:41" ht="13.9" customHeight="1">
      <c r="B51" s="12"/>
      <c r="C51" s="223"/>
      <c r="D51" s="223"/>
      <c r="E51" s="62"/>
      <c r="F51" s="62"/>
      <c r="G51" s="62"/>
      <c r="H51" s="355"/>
      <c r="I51" s="223"/>
      <c r="J51" s="62"/>
      <c r="K51" s="62"/>
      <c r="L51" s="62"/>
      <c r="M51" s="62"/>
      <c r="N51" s="223"/>
      <c r="O51" s="62"/>
      <c r="P51" s="62"/>
      <c r="Q51" s="62"/>
      <c r="R51" s="62"/>
      <c r="S51" s="223"/>
      <c r="T51" s="19"/>
      <c r="U51" s="62"/>
      <c r="V51" s="62"/>
      <c r="W51" s="62"/>
      <c r="X51" s="223"/>
      <c r="Y51" s="62"/>
      <c r="Z51" s="62"/>
      <c r="AA51" s="62"/>
      <c r="AB51" s="62"/>
      <c r="AC51" s="223"/>
      <c r="AD51" s="62"/>
      <c r="AE51" s="62"/>
      <c r="AF51" s="62"/>
      <c r="AG51" s="62"/>
      <c r="AH51" s="223"/>
      <c r="AI51" s="62"/>
      <c r="AJ51" s="62"/>
      <c r="AK51" s="137"/>
      <c r="AL51" s="62"/>
      <c r="AM51" s="276"/>
      <c r="AN51" s="62"/>
      <c r="AO51" s="223"/>
    </row>
    <row r="52" spans="2:41" ht="13.9" customHeight="1">
      <c r="B52" s="12" t="s">
        <v>415</v>
      </c>
      <c r="C52" s="223">
        <v>1286</v>
      </c>
      <c r="D52" s="223">
        <v>686</v>
      </c>
      <c r="E52" s="62"/>
      <c r="F52" s="62"/>
      <c r="G52" s="62"/>
      <c r="H52" s="355"/>
      <c r="I52" s="215">
        <v>0</v>
      </c>
      <c r="J52" s="62"/>
      <c r="K52" s="62"/>
      <c r="L52" s="62"/>
      <c r="M52" s="62"/>
      <c r="N52" s="215">
        <v>0</v>
      </c>
      <c r="O52" s="62"/>
      <c r="P52" s="62"/>
      <c r="Q52" s="62"/>
      <c r="R52" s="62"/>
      <c r="S52" s="215">
        <v>0</v>
      </c>
      <c r="T52" s="19"/>
      <c r="U52" s="62"/>
      <c r="V52" s="62"/>
      <c r="W52" s="62"/>
      <c r="X52" s="223">
        <v>534</v>
      </c>
      <c r="Y52" s="24">
        <v>0</v>
      </c>
      <c r="Z52" s="62">
        <v>246</v>
      </c>
      <c r="AA52" s="24">
        <v>0</v>
      </c>
      <c r="AB52" s="62">
        <v>392</v>
      </c>
      <c r="AC52" s="223">
        <v>638</v>
      </c>
      <c r="AD52" s="24">
        <v>0</v>
      </c>
      <c r="AE52" s="62">
        <v>374</v>
      </c>
      <c r="AF52" s="24">
        <v>0</v>
      </c>
      <c r="AG52" s="62">
        <v>407</v>
      </c>
      <c r="AH52" s="223">
        <v>781</v>
      </c>
      <c r="AI52" s="24">
        <v>0</v>
      </c>
      <c r="AJ52" s="62">
        <v>392</v>
      </c>
      <c r="AK52" s="137">
        <v>392</v>
      </c>
      <c r="AL52" s="24">
        <v>0</v>
      </c>
      <c r="AM52" s="276">
        <v>392</v>
      </c>
      <c r="AN52" s="62">
        <v>583</v>
      </c>
      <c r="AO52" s="223">
        <v>975</v>
      </c>
    </row>
    <row r="53" spans="2:41" ht="13.9" customHeight="1">
      <c r="B53" s="20" t="s">
        <v>6</v>
      </c>
      <c r="C53" s="223"/>
      <c r="D53" s="223"/>
      <c r="E53" s="62"/>
      <c r="F53" s="62"/>
      <c r="G53" s="62"/>
      <c r="H53" s="355"/>
      <c r="I53" s="215"/>
      <c r="J53" s="62"/>
      <c r="K53" s="62"/>
      <c r="L53" s="62"/>
      <c r="M53" s="62"/>
      <c r="N53" s="215"/>
      <c r="O53" s="62"/>
      <c r="P53" s="62"/>
      <c r="Q53" s="62"/>
      <c r="R53" s="62"/>
      <c r="S53" s="215"/>
      <c r="T53" s="19"/>
      <c r="U53" s="62"/>
      <c r="V53" s="62"/>
      <c r="W53" s="62"/>
      <c r="X53" s="223"/>
      <c r="Y53" s="24"/>
      <c r="Z53" s="62"/>
      <c r="AA53" s="24"/>
      <c r="AB53" s="62"/>
      <c r="AC53" s="211">
        <v>0.19475655430711614</v>
      </c>
      <c r="AD53" s="24"/>
      <c r="AE53" s="62"/>
      <c r="AF53" s="24"/>
      <c r="AG53" s="62"/>
      <c r="AH53" s="211">
        <v>0.22413793103448265</v>
      </c>
      <c r="AI53" s="24"/>
      <c r="AJ53" s="62"/>
      <c r="AK53" s="137"/>
      <c r="AL53" s="24"/>
      <c r="AM53" s="276"/>
      <c r="AN53" s="62"/>
      <c r="AO53" s="211">
        <v>0.24839948783610755</v>
      </c>
    </row>
    <row r="54" spans="2:41" ht="6" customHeight="1">
      <c r="B54" s="172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</row>
    <row r="57" spans="2:41">
      <c r="AD57" s="97"/>
      <c r="AI57" s="97"/>
    </row>
  </sheetData>
  <pageMargins left="0.39370078740157483" right="0.39370078740157483" top="0.39370078740157483" bottom="0.74803149606299213" header="0.31496062992125984" footer="0.31496062992125984"/>
  <pageSetup paperSize="9" scale="65" orientation="landscape" r:id="rId1"/>
  <headerFooter>
    <oddHeader>&amp;CBezeq - The Israeli Telecommunications Corp.,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C8C5-0F2E-4C0C-9CBC-84059804E97A}">
  <sheetPr>
    <tabColor theme="3" tint="-0.49992370372631001"/>
  </sheetPr>
  <dimension ref="A2:AF53"/>
  <sheetViews>
    <sheetView showGridLines="0" tabSelected="1" topLeftCell="A2" zoomScale="90" zoomScaleNormal="90" workbookViewId="0">
      <pane xSplit="2" ySplit="6" topLeftCell="K8" activePane="bottomRight" state="frozen"/>
      <selection activeCell="AI81" sqref="AI81"/>
      <selection pane="topRight" activeCell="AI81" sqref="AI81"/>
      <selection pane="bottomLeft" activeCell="AI81" sqref="AI81"/>
      <selection pane="bottomRight" activeCell="AI81" sqref="AI81"/>
    </sheetView>
  </sheetViews>
  <sheetFormatPr defaultColWidth="9.28515625" defaultRowHeight="12.75"/>
  <cols>
    <col min="1" max="1" width="1.7109375" customWidth="1"/>
    <col min="2" max="2" width="52.7109375" customWidth="1"/>
    <col min="3" max="3" width="9.28515625" customWidth="1"/>
    <col min="4" max="6" width="9.28515625" hidden="1" customWidth="1"/>
    <col min="7" max="7" width="9.28515625" customWidth="1"/>
    <col min="8" max="10" width="9.28515625" hidden="1" customWidth="1"/>
    <col min="11" max="11" width="9.28515625" customWidth="1"/>
    <col min="12" max="14" width="0" hidden="1" customWidth="1"/>
    <col min="15" max="15" width="9.28515625" customWidth="1"/>
    <col min="16" max="18" width="9.28515625" hidden="1" customWidth="1"/>
    <col min="19" max="19" width="9.28515625" customWidth="1"/>
    <col min="20" max="22" width="9.28515625" hidden="1" customWidth="1"/>
  </cols>
  <sheetData>
    <row r="2" spans="1:31" ht="13.9" customHeight="1">
      <c r="B2" s="6"/>
    </row>
    <row r="3" spans="1:31" ht="13.9" customHeight="1">
      <c r="B3" s="6"/>
    </row>
    <row r="4" spans="1:31" ht="13.9" customHeight="1">
      <c r="B4" s="7"/>
      <c r="C4" s="114">
        <v>11658</v>
      </c>
      <c r="D4" s="114">
        <v>11383</v>
      </c>
      <c r="E4" s="114">
        <v>11110</v>
      </c>
      <c r="F4" s="7" t="s">
        <v>313</v>
      </c>
      <c r="G4" s="114">
        <v>11658</v>
      </c>
      <c r="H4" s="114">
        <v>11383</v>
      </c>
      <c r="I4" s="114">
        <v>11110</v>
      </c>
      <c r="J4" s="7" t="s">
        <v>313</v>
      </c>
      <c r="K4" s="114">
        <v>11658</v>
      </c>
      <c r="L4" s="114">
        <v>11383</v>
      </c>
      <c r="M4" s="114">
        <v>11110</v>
      </c>
      <c r="N4" s="114" t="s">
        <v>313</v>
      </c>
      <c r="O4" s="114">
        <v>11658</v>
      </c>
      <c r="P4" s="114">
        <v>11383</v>
      </c>
      <c r="Q4" s="114">
        <v>11110</v>
      </c>
      <c r="R4" s="114">
        <v>11202</v>
      </c>
      <c r="S4" s="114">
        <v>11658</v>
      </c>
      <c r="T4" s="114">
        <v>11383</v>
      </c>
      <c r="U4" s="114">
        <v>11110</v>
      </c>
      <c r="V4" s="114">
        <v>11202</v>
      </c>
      <c r="W4" s="114">
        <v>11658</v>
      </c>
      <c r="X4" s="114">
        <v>11383</v>
      </c>
      <c r="Y4" s="114">
        <v>11110</v>
      </c>
      <c r="Z4" s="114">
        <v>11202</v>
      </c>
      <c r="AA4" s="114">
        <v>11658</v>
      </c>
      <c r="AB4" s="114">
        <v>11383</v>
      </c>
      <c r="AC4" s="114">
        <v>11110</v>
      </c>
      <c r="AD4" s="114">
        <v>11202</v>
      </c>
      <c r="AE4" s="114">
        <v>11658</v>
      </c>
    </row>
    <row r="5" spans="1:31" ht="13.9" customHeight="1">
      <c r="B5" s="15" t="s">
        <v>210</v>
      </c>
      <c r="C5" s="7">
        <v>2018</v>
      </c>
      <c r="D5" s="7">
        <v>2019</v>
      </c>
      <c r="E5" s="7">
        <v>2019</v>
      </c>
      <c r="F5" s="7">
        <v>2019</v>
      </c>
      <c r="G5" s="7">
        <v>2019</v>
      </c>
      <c r="H5" s="7">
        <v>2020</v>
      </c>
      <c r="I5" s="7">
        <v>2020</v>
      </c>
      <c r="J5" s="7">
        <v>2020</v>
      </c>
      <c r="K5" s="7">
        <v>2020</v>
      </c>
      <c r="L5" s="7">
        <v>2021</v>
      </c>
      <c r="M5" s="7">
        <v>2021</v>
      </c>
      <c r="N5" s="7">
        <v>2021</v>
      </c>
      <c r="O5" s="7">
        <v>2021</v>
      </c>
      <c r="P5" s="7">
        <v>2022</v>
      </c>
      <c r="Q5" s="7">
        <v>2022</v>
      </c>
      <c r="R5" s="7">
        <v>2022</v>
      </c>
      <c r="S5" s="7">
        <v>2022</v>
      </c>
      <c r="T5" s="7">
        <v>2023</v>
      </c>
      <c r="U5" s="7">
        <v>2023</v>
      </c>
      <c r="V5" s="7">
        <v>2023</v>
      </c>
      <c r="W5" s="7">
        <v>2023</v>
      </c>
      <c r="X5" s="7">
        <v>2024</v>
      </c>
      <c r="Y5" s="7">
        <v>2024</v>
      </c>
      <c r="Z5" s="7">
        <v>2024</v>
      </c>
      <c r="AA5" s="7">
        <v>2024</v>
      </c>
      <c r="AB5" s="7">
        <v>2025</v>
      </c>
      <c r="AC5" s="7">
        <v>2025</v>
      </c>
      <c r="AD5" s="7">
        <v>2025</v>
      </c>
      <c r="AE5" s="7">
        <v>2025</v>
      </c>
    </row>
    <row r="6" spans="1:31" ht="3.75" customHeight="1">
      <c r="A6" s="374" t="b">
        <f t="shared" ref="A6:N6" si="0">IF(MONTH(A4)=12,"Q4"&amp;"/"&amp;A5,IF(MONTH(A4)=9,"Q3"&amp;"/"&amp;A5,IF(MONTH(A4)=6,"Q2"&amp;"/"&amp;A5,IF(MONTH(A4)=3,"Q1"&amp;"/"&amp;A5))))</f>
        <v>0</v>
      </c>
      <c r="B6" s="374"/>
      <c r="C6" s="374" t="str">
        <f t="shared" si="0"/>
        <v>Q4/2018</v>
      </c>
      <c r="D6" s="374" t="str">
        <f t="shared" si="0"/>
        <v>Q1/2019</v>
      </c>
      <c r="E6" s="374" t="str">
        <f t="shared" si="0"/>
        <v>Q2/2019</v>
      </c>
      <c r="F6" s="374" t="e">
        <f t="shared" si="0"/>
        <v>#VALUE!</v>
      </c>
      <c r="G6" s="374" t="str">
        <f t="shared" si="0"/>
        <v>Q4/2019</v>
      </c>
      <c r="H6" s="374" t="str">
        <f t="shared" si="0"/>
        <v>Q1/2020</v>
      </c>
      <c r="I6" s="374" t="str">
        <f t="shared" si="0"/>
        <v>Q2/2020</v>
      </c>
      <c r="J6" s="374" t="e">
        <f t="shared" si="0"/>
        <v>#VALUE!</v>
      </c>
      <c r="K6" s="374" t="str">
        <f t="shared" si="0"/>
        <v>Q4/2020</v>
      </c>
      <c r="L6" s="374" t="str">
        <f t="shared" si="0"/>
        <v>Q1/2021</v>
      </c>
      <c r="M6" s="374" t="str">
        <f t="shared" si="0"/>
        <v>Q2/2021</v>
      </c>
      <c r="N6" s="374" t="e">
        <f t="shared" si="0"/>
        <v>#VALUE!</v>
      </c>
      <c r="O6" s="374" t="str">
        <f t="shared" ref="O6:AA6" si="1">IF(MONTH(O4)=12,"Q4"&amp;"/"&amp;O5,IF(MONTH(O4)=9,"Q3"&amp;"/"&amp;O5,IF(MONTH(O4)=6,"Q2"&amp;"/"&amp;O5,IF(MONTH(O4)=3,"Q1"&amp;"/"&amp;O5))))</f>
        <v>Q4/2021</v>
      </c>
      <c r="P6" s="374" t="str">
        <f t="shared" si="1"/>
        <v>Q1/2022</v>
      </c>
      <c r="Q6" s="374" t="str">
        <f t="shared" si="1"/>
        <v>Q2/2022</v>
      </c>
      <c r="R6" s="374" t="str">
        <f t="shared" si="1"/>
        <v>Q3/2022</v>
      </c>
      <c r="S6" s="374" t="str">
        <f t="shared" si="1"/>
        <v>Q4/2022</v>
      </c>
      <c r="T6" s="374" t="str">
        <f t="shared" si="1"/>
        <v>Q1/2023</v>
      </c>
      <c r="U6" s="374" t="str">
        <f t="shared" si="1"/>
        <v>Q2/2023</v>
      </c>
      <c r="V6" s="374" t="str">
        <f t="shared" si="1"/>
        <v>Q3/2023</v>
      </c>
      <c r="W6" s="374" t="str">
        <f t="shared" si="1"/>
        <v>Q4/2023</v>
      </c>
      <c r="X6" s="374" t="str">
        <f t="shared" si="1"/>
        <v>Q1/2024</v>
      </c>
      <c r="Y6" s="374" t="str">
        <f t="shared" si="1"/>
        <v>Q2/2024</v>
      </c>
      <c r="Z6" s="374" t="str">
        <f t="shared" si="1"/>
        <v>Q3/2024</v>
      </c>
      <c r="AA6" s="374" t="str">
        <f t="shared" si="1"/>
        <v>Q4/2024</v>
      </c>
      <c r="AB6" s="374" t="str">
        <f t="shared" ref="AB6:AE6" si="2">IF(MONTH(AB4)=12,"Q4"&amp;"/"&amp;AB5,IF(MONTH(AB4)=9,"Q3"&amp;"/"&amp;AB5,IF(MONTH(AB4)=6,"Q2"&amp;"/"&amp;AB5,IF(MONTH(AB4)=3,"Q1"&amp;"/"&amp;AB5))))</f>
        <v>Q1/2025</v>
      </c>
      <c r="AC6" s="374" t="str">
        <f t="shared" si="2"/>
        <v>Q2/2025</v>
      </c>
      <c r="AD6" s="374" t="str">
        <f t="shared" si="2"/>
        <v>Q3/2025</v>
      </c>
      <c r="AE6" s="374" t="str">
        <f t="shared" si="2"/>
        <v>Q4/2025</v>
      </c>
    </row>
    <row r="7" spans="1:31" ht="25.35" customHeight="1">
      <c r="B7" s="177" t="s">
        <v>211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</row>
    <row r="8" spans="1:31" ht="13.9" customHeight="1">
      <c r="B8" s="123" t="s">
        <v>236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</row>
    <row r="9" spans="1:31" ht="13.9" customHeight="1">
      <c r="B9" s="12" t="s">
        <v>123</v>
      </c>
      <c r="C9" s="223">
        <v>890</v>
      </c>
      <c r="D9" s="223">
        <v>1265</v>
      </c>
      <c r="E9" s="223">
        <v>971</v>
      </c>
      <c r="F9" s="223">
        <v>639</v>
      </c>
      <c r="G9" s="223">
        <v>400</v>
      </c>
      <c r="H9" s="223">
        <v>927</v>
      </c>
      <c r="I9" s="223">
        <v>708</v>
      </c>
      <c r="J9" s="223">
        <v>897</v>
      </c>
      <c r="K9" s="223">
        <v>840</v>
      </c>
      <c r="L9" s="223">
        <v>1124</v>
      </c>
      <c r="M9" s="223">
        <v>907</v>
      </c>
      <c r="N9" s="223">
        <v>1019</v>
      </c>
      <c r="O9" s="223">
        <v>973</v>
      </c>
      <c r="P9" s="62">
        <v>1226</v>
      </c>
      <c r="Q9" s="62">
        <v>994</v>
      </c>
      <c r="R9" s="62">
        <v>869</v>
      </c>
      <c r="S9" s="223">
        <v>741</v>
      </c>
      <c r="T9" s="62">
        <v>1065</v>
      </c>
      <c r="U9" s="62">
        <v>752</v>
      </c>
      <c r="V9" s="62">
        <v>1153</v>
      </c>
      <c r="W9" s="223">
        <v>563</v>
      </c>
      <c r="X9" s="62">
        <v>1097</v>
      </c>
      <c r="Y9" s="62">
        <v>916</v>
      </c>
      <c r="Z9" s="62">
        <v>1242</v>
      </c>
      <c r="AA9" s="223">
        <v>784</v>
      </c>
      <c r="AB9" s="62">
        <v>724</v>
      </c>
      <c r="AC9" s="62">
        <v>789</v>
      </c>
      <c r="AD9" s="62">
        <v>923</v>
      </c>
      <c r="AE9" s="223">
        <v>643</v>
      </c>
    </row>
    <row r="10" spans="1:31" ht="13.9" customHeight="1">
      <c r="B10" s="12" t="s">
        <v>124</v>
      </c>
      <c r="C10" s="223">
        <v>1404</v>
      </c>
      <c r="D10" s="223">
        <v>1347</v>
      </c>
      <c r="E10" s="223">
        <v>1944</v>
      </c>
      <c r="F10" s="223">
        <v>1750</v>
      </c>
      <c r="G10" s="223">
        <v>1195</v>
      </c>
      <c r="H10" s="223">
        <v>1114</v>
      </c>
      <c r="I10" s="223">
        <v>1221</v>
      </c>
      <c r="J10" s="223">
        <v>1306</v>
      </c>
      <c r="K10" s="223">
        <v>724</v>
      </c>
      <c r="L10" s="223">
        <v>663</v>
      </c>
      <c r="M10" s="223">
        <v>739</v>
      </c>
      <c r="N10" s="223">
        <v>771</v>
      </c>
      <c r="O10" s="223">
        <v>954</v>
      </c>
      <c r="P10" s="62">
        <v>865</v>
      </c>
      <c r="Q10" s="62">
        <v>1383</v>
      </c>
      <c r="R10" s="62">
        <v>1528</v>
      </c>
      <c r="S10" s="223">
        <v>910</v>
      </c>
      <c r="T10" s="62">
        <v>1346</v>
      </c>
      <c r="U10" s="62">
        <v>1524</v>
      </c>
      <c r="V10" s="62">
        <v>1541</v>
      </c>
      <c r="W10" s="223">
        <v>1205</v>
      </c>
      <c r="X10" s="62">
        <v>2243</v>
      </c>
      <c r="Y10" s="62">
        <v>1948</v>
      </c>
      <c r="Z10" s="62">
        <v>1954</v>
      </c>
      <c r="AA10" s="223">
        <v>1917</v>
      </c>
      <c r="AB10" s="62">
        <v>2250</v>
      </c>
      <c r="AC10" s="62">
        <v>1792</v>
      </c>
      <c r="AD10" s="62">
        <v>1963</v>
      </c>
      <c r="AE10" s="223">
        <v>2187</v>
      </c>
    </row>
    <row r="11" spans="1:31" ht="13.9" customHeight="1">
      <c r="B11" s="12" t="s">
        <v>125</v>
      </c>
      <c r="C11" s="223">
        <v>1775</v>
      </c>
      <c r="D11" s="223">
        <v>1752</v>
      </c>
      <c r="E11" s="223">
        <v>1737</v>
      </c>
      <c r="F11" s="223">
        <v>1727</v>
      </c>
      <c r="G11" s="223">
        <v>1677</v>
      </c>
      <c r="H11" s="223">
        <v>1674</v>
      </c>
      <c r="I11" s="223">
        <v>1698</v>
      </c>
      <c r="J11" s="223">
        <v>1692</v>
      </c>
      <c r="K11" s="223">
        <v>1621</v>
      </c>
      <c r="L11" s="223">
        <v>1648</v>
      </c>
      <c r="M11" s="223">
        <v>1661</v>
      </c>
      <c r="N11" s="223">
        <v>1672</v>
      </c>
      <c r="O11" s="223">
        <v>1859</v>
      </c>
      <c r="P11" s="62">
        <v>1593</v>
      </c>
      <c r="Q11" s="62">
        <v>1461</v>
      </c>
      <c r="R11" s="62">
        <v>1461</v>
      </c>
      <c r="S11" s="223">
        <v>1440</v>
      </c>
      <c r="T11" s="62">
        <v>1510</v>
      </c>
      <c r="U11" s="62">
        <v>1501</v>
      </c>
      <c r="V11" s="62">
        <v>1539</v>
      </c>
      <c r="W11" s="223">
        <v>1477</v>
      </c>
      <c r="X11" s="62">
        <v>1494</v>
      </c>
      <c r="Y11" s="62">
        <v>1475</v>
      </c>
      <c r="Z11" s="62">
        <v>1409</v>
      </c>
      <c r="AA11" s="223">
        <v>1395</v>
      </c>
      <c r="AB11" s="62">
        <v>1427</v>
      </c>
      <c r="AC11" s="62">
        <v>1393</v>
      </c>
      <c r="AD11" s="62">
        <v>1437</v>
      </c>
      <c r="AE11" s="223">
        <v>1443</v>
      </c>
    </row>
    <row r="12" spans="1:31" ht="13.9" customHeight="1">
      <c r="B12" s="12" t="s">
        <v>126</v>
      </c>
      <c r="C12" s="223">
        <v>284</v>
      </c>
      <c r="D12" s="223">
        <v>298</v>
      </c>
      <c r="E12" s="223">
        <v>308</v>
      </c>
      <c r="F12" s="223">
        <v>341</v>
      </c>
      <c r="G12" s="223">
        <v>342</v>
      </c>
      <c r="H12" s="223">
        <v>357</v>
      </c>
      <c r="I12" s="223">
        <v>340</v>
      </c>
      <c r="J12" s="223">
        <v>332</v>
      </c>
      <c r="K12" s="223">
        <v>178</v>
      </c>
      <c r="L12" s="223">
        <v>209</v>
      </c>
      <c r="M12" s="223">
        <v>195</v>
      </c>
      <c r="N12" s="223">
        <v>192</v>
      </c>
      <c r="O12" s="223">
        <v>279</v>
      </c>
      <c r="P12" s="62">
        <v>400</v>
      </c>
      <c r="Q12" s="62">
        <v>365</v>
      </c>
      <c r="R12" s="62">
        <v>350</v>
      </c>
      <c r="S12" s="223">
        <v>288</v>
      </c>
      <c r="T12" s="62">
        <v>207</v>
      </c>
      <c r="U12" s="62">
        <v>274</v>
      </c>
      <c r="V12" s="62">
        <v>245</v>
      </c>
      <c r="W12" s="223">
        <v>162</v>
      </c>
      <c r="X12" s="62">
        <v>216</v>
      </c>
      <c r="Y12" s="62">
        <v>221</v>
      </c>
      <c r="Z12" s="62">
        <v>214</v>
      </c>
      <c r="AA12" s="223">
        <v>172</v>
      </c>
      <c r="AB12" s="62">
        <v>220</v>
      </c>
      <c r="AC12" s="62">
        <v>186</v>
      </c>
      <c r="AD12" s="62">
        <v>246</v>
      </c>
      <c r="AE12" s="223">
        <v>211</v>
      </c>
    </row>
    <row r="13" spans="1:31" ht="13.9" customHeight="1">
      <c r="B13" s="12" t="s">
        <v>127</v>
      </c>
      <c r="C13" s="223">
        <v>97</v>
      </c>
      <c r="D13" s="223">
        <v>102</v>
      </c>
      <c r="E13" s="223">
        <v>100</v>
      </c>
      <c r="F13" s="223">
        <v>94</v>
      </c>
      <c r="G13" s="223">
        <v>96</v>
      </c>
      <c r="H13" s="223">
        <v>109</v>
      </c>
      <c r="I13" s="223">
        <v>110</v>
      </c>
      <c r="J13" s="223">
        <v>96</v>
      </c>
      <c r="K13" s="223">
        <v>73</v>
      </c>
      <c r="L13" s="223">
        <v>87</v>
      </c>
      <c r="M13" s="223">
        <v>82</v>
      </c>
      <c r="N13" s="223">
        <v>70</v>
      </c>
      <c r="O13" s="223">
        <v>74</v>
      </c>
      <c r="P13" s="62">
        <v>108</v>
      </c>
      <c r="Q13" s="62">
        <v>92</v>
      </c>
      <c r="R13" s="62">
        <v>98</v>
      </c>
      <c r="S13" s="223">
        <v>85</v>
      </c>
      <c r="T13" s="62">
        <v>141</v>
      </c>
      <c r="U13" s="62">
        <v>125</v>
      </c>
      <c r="V13" s="62">
        <v>94</v>
      </c>
      <c r="W13" s="223">
        <v>82</v>
      </c>
      <c r="X13" s="62">
        <v>118</v>
      </c>
      <c r="Y13" s="62">
        <v>107</v>
      </c>
      <c r="Z13" s="62">
        <v>93</v>
      </c>
      <c r="AA13" s="223">
        <v>162</v>
      </c>
      <c r="AB13" s="62">
        <v>141</v>
      </c>
      <c r="AC13" s="62">
        <v>112</v>
      </c>
      <c r="AD13" s="62">
        <v>101</v>
      </c>
      <c r="AE13" s="223">
        <v>98</v>
      </c>
    </row>
    <row r="14" spans="1:31" ht="13.9" customHeight="1">
      <c r="B14" s="12" t="s">
        <v>452</v>
      </c>
      <c r="C14" s="214" t="s">
        <v>92</v>
      </c>
      <c r="D14" s="214" t="s">
        <v>92</v>
      </c>
      <c r="E14" s="214" t="s">
        <v>92</v>
      </c>
      <c r="F14" s="214" t="s">
        <v>92</v>
      </c>
      <c r="G14" s="214">
        <v>43</v>
      </c>
      <c r="H14" s="214">
        <v>45</v>
      </c>
      <c r="I14" s="214">
        <v>46</v>
      </c>
      <c r="J14" s="214">
        <v>46</v>
      </c>
      <c r="K14" s="214">
        <v>10</v>
      </c>
      <c r="L14" s="214">
        <v>2</v>
      </c>
      <c r="M14" s="214" t="s">
        <v>92</v>
      </c>
      <c r="N14" s="214">
        <v>36</v>
      </c>
      <c r="O14" s="215">
        <v>0</v>
      </c>
      <c r="P14" s="61" t="s">
        <v>92</v>
      </c>
      <c r="Q14" s="61" t="s">
        <v>92</v>
      </c>
      <c r="R14" s="61" t="s">
        <v>92</v>
      </c>
      <c r="S14" s="215">
        <v>0</v>
      </c>
      <c r="T14" s="61" t="s">
        <v>92</v>
      </c>
      <c r="U14" s="61" t="s">
        <v>92</v>
      </c>
      <c r="V14" s="61" t="s">
        <v>92</v>
      </c>
      <c r="W14" s="215">
        <v>0</v>
      </c>
      <c r="X14" s="61" t="s">
        <v>92</v>
      </c>
      <c r="Y14" s="61" t="s">
        <v>92</v>
      </c>
      <c r="Z14" s="61">
        <v>81</v>
      </c>
      <c r="AA14" s="215">
        <v>83</v>
      </c>
      <c r="AB14" s="61">
        <v>83</v>
      </c>
      <c r="AC14" s="61" t="s">
        <v>92</v>
      </c>
      <c r="AD14" s="61" t="s">
        <v>92</v>
      </c>
      <c r="AE14" s="215">
        <v>0</v>
      </c>
    </row>
    <row r="15" spans="1:31" ht="13.9" customHeight="1">
      <c r="B15" s="201" t="s">
        <v>128</v>
      </c>
      <c r="C15" s="284">
        <f>SUM(C9:C13)</f>
        <v>4450</v>
      </c>
      <c r="D15" s="284">
        <f>SUM(D9:D13)</f>
        <v>4764</v>
      </c>
      <c r="E15" s="284">
        <f>SUM(E9:E13)</f>
        <v>5060</v>
      </c>
      <c r="F15" s="284">
        <f>SUM(F9:F13)</f>
        <v>4551</v>
      </c>
      <c r="G15" s="284">
        <f t="shared" ref="G15:L15" si="3">SUM(G9:G14)</f>
        <v>3753</v>
      </c>
      <c r="H15" s="284">
        <f t="shared" si="3"/>
        <v>4226</v>
      </c>
      <c r="I15" s="284">
        <f t="shared" si="3"/>
        <v>4123</v>
      </c>
      <c r="J15" s="284">
        <f t="shared" si="3"/>
        <v>4369</v>
      </c>
      <c r="K15" s="284">
        <f t="shared" si="3"/>
        <v>3446</v>
      </c>
      <c r="L15" s="284">
        <f t="shared" si="3"/>
        <v>3733</v>
      </c>
      <c r="M15" s="284">
        <f t="shared" ref="M15:V15" si="4">SUM(M9:M14)</f>
        <v>3584</v>
      </c>
      <c r="N15" s="284">
        <f t="shared" si="4"/>
        <v>3760</v>
      </c>
      <c r="O15" s="284">
        <f t="shared" si="4"/>
        <v>4139</v>
      </c>
      <c r="P15" s="284">
        <f t="shared" si="4"/>
        <v>4192</v>
      </c>
      <c r="Q15" s="284">
        <f t="shared" si="4"/>
        <v>4295</v>
      </c>
      <c r="R15" s="284">
        <f t="shared" si="4"/>
        <v>4306</v>
      </c>
      <c r="S15" s="284">
        <f t="shared" si="4"/>
        <v>3464</v>
      </c>
      <c r="T15" s="284">
        <f t="shared" si="4"/>
        <v>4269</v>
      </c>
      <c r="U15" s="284">
        <f t="shared" si="4"/>
        <v>4176</v>
      </c>
      <c r="V15" s="284">
        <f t="shared" si="4"/>
        <v>4572</v>
      </c>
      <c r="W15" s="284">
        <f t="shared" ref="W15:X15" si="5">SUM(W9:W14)</f>
        <v>3489</v>
      </c>
      <c r="X15" s="284">
        <f t="shared" si="5"/>
        <v>5168</v>
      </c>
      <c r="Y15" s="284">
        <f t="shared" ref="Y15:AB15" si="6">SUM(Y9:Y14)</f>
        <v>4667</v>
      </c>
      <c r="Z15" s="284">
        <f t="shared" si="6"/>
        <v>4993</v>
      </c>
      <c r="AA15" s="284">
        <f t="shared" si="6"/>
        <v>4513</v>
      </c>
      <c r="AB15" s="284">
        <f t="shared" si="6"/>
        <v>4845</v>
      </c>
      <c r="AC15" s="284">
        <f t="shared" ref="AC15:AE15" si="7">SUM(AC9:AC14)</f>
        <v>4272</v>
      </c>
      <c r="AD15" s="284">
        <f t="shared" si="7"/>
        <v>4670</v>
      </c>
      <c r="AE15" s="284">
        <f t="shared" si="7"/>
        <v>4582</v>
      </c>
    </row>
    <row r="16" spans="1:31" ht="13.9" customHeight="1"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62"/>
      <c r="Q16" s="62"/>
      <c r="R16" s="62"/>
      <c r="S16" s="223"/>
      <c r="W16" s="223"/>
      <c r="AA16" s="223"/>
      <c r="AE16" s="223"/>
    </row>
    <row r="17" spans="2:31" ht="13.9" customHeight="1">
      <c r="B17" s="12" t="s">
        <v>129</v>
      </c>
      <c r="C17" s="223">
        <v>470</v>
      </c>
      <c r="D17" s="223">
        <v>511</v>
      </c>
      <c r="E17" s="223">
        <v>535</v>
      </c>
      <c r="F17" s="223">
        <v>442</v>
      </c>
      <c r="G17" s="223">
        <v>477</v>
      </c>
      <c r="H17" s="223">
        <v>476</v>
      </c>
      <c r="I17" s="223">
        <v>454</v>
      </c>
      <c r="J17" s="223">
        <v>525</v>
      </c>
      <c r="K17" s="223">
        <v>514</v>
      </c>
      <c r="L17" s="223">
        <v>512</v>
      </c>
      <c r="M17" s="223">
        <v>513</v>
      </c>
      <c r="N17" s="223">
        <v>496</v>
      </c>
      <c r="O17" s="223">
        <v>433</v>
      </c>
      <c r="P17" s="62">
        <v>431</v>
      </c>
      <c r="Q17" s="62">
        <v>436</v>
      </c>
      <c r="R17" s="62">
        <v>445</v>
      </c>
      <c r="S17" s="223">
        <v>460</v>
      </c>
      <c r="T17" s="62">
        <v>458</v>
      </c>
      <c r="U17" s="62">
        <v>411</v>
      </c>
      <c r="V17" s="62">
        <v>438</v>
      </c>
      <c r="W17" s="223">
        <v>446</v>
      </c>
      <c r="X17" s="62">
        <v>448</v>
      </c>
      <c r="Y17" s="62">
        <v>435</v>
      </c>
      <c r="Z17" s="62">
        <v>424</v>
      </c>
      <c r="AA17" s="223">
        <v>410</v>
      </c>
      <c r="AB17" s="62">
        <v>408</v>
      </c>
      <c r="AC17" s="62">
        <v>397</v>
      </c>
      <c r="AD17" s="62">
        <v>393</v>
      </c>
      <c r="AE17" s="223">
        <v>398</v>
      </c>
    </row>
    <row r="18" spans="2:31" ht="13.9" customHeight="1">
      <c r="B18" s="12" t="s">
        <v>130</v>
      </c>
      <c r="C18" s="223">
        <v>60</v>
      </c>
      <c r="D18" s="223">
        <v>69</v>
      </c>
      <c r="E18" s="223">
        <v>59</v>
      </c>
      <c r="F18" s="223">
        <v>63</v>
      </c>
      <c r="G18" s="223">
        <v>59</v>
      </c>
      <c r="H18" s="223">
        <v>65</v>
      </c>
      <c r="I18" s="223">
        <v>65</v>
      </c>
      <c r="J18" s="223">
        <v>67</v>
      </c>
      <c r="K18" s="223">
        <v>67</v>
      </c>
      <c r="L18" s="223">
        <v>62</v>
      </c>
      <c r="M18" s="223">
        <v>60</v>
      </c>
      <c r="N18" s="223">
        <v>57</v>
      </c>
      <c r="O18" s="223">
        <v>60</v>
      </c>
      <c r="P18" s="62">
        <v>62</v>
      </c>
      <c r="Q18" s="62">
        <v>62</v>
      </c>
      <c r="R18" s="62">
        <v>63</v>
      </c>
      <c r="S18" s="223">
        <v>57</v>
      </c>
      <c r="T18" s="62">
        <v>53</v>
      </c>
      <c r="U18" s="62">
        <v>53</v>
      </c>
      <c r="V18" s="62">
        <v>54</v>
      </c>
      <c r="W18" s="215">
        <v>174</v>
      </c>
      <c r="X18" s="61">
        <v>169</v>
      </c>
      <c r="Y18" s="61">
        <v>164</v>
      </c>
      <c r="Z18" s="61">
        <v>158</v>
      </c>
      <c r="AA18" s="215">
        <v>116</v>
      </c>
      <c r="AB18" s="61">
        <v>148</v>
      </c>
      <c r="AC18" s="61">
        <v>142</v>
      </c>
      <c r="AD18" s="61">
        <v>137</v>
      </c>
      <c r="AE18" s="223">
        <v>400</v>
      </c>
    </row>
    <row r="19" spans="2:31" ht="13.9" customHeight="1">
      <c r="B19" s="12" t="s">
        <v>158</v>
      </c>
      <c r="C19" s="223">
        <v>1504</v>
      </c>
      <c r="D19" s="223">
        <v>1444</v>
      </c>
      <c r="E19" s="223">
        <v>1394</v>
      </c>
      <c r="F19" s="223">
        <v>1361</v>
      </c>
      <c r="G19" s="223">
        <v>1308</v>
      </c>
      <c r="H19" s="223">
        <v>1394</v>
      </c>
      <c r="I19" s="223">
        <v>1329</v>
      </c>
      <c r="J19" s="223">
        <v>1276</v>
      </c>
      <c r="K19" s="223">
        <v>1804</v>
      </c>
      <c r="L19" s="223">
        <v>1735</v>
      </c>
      <c r="M19" s="223">
        <v>1786</v>
      </c>
      <c r="N19" s="223">
        <v>1763</v>
      </c>
      <c r="O19" s="223">
        <v>1828</v>
      </c>
      <c r="P19" s="62">
        <v>1816</v>
      </c>
      <c r="Q19" s="62">
        <v>1797</v>
      </c>
      <c r="R19" s="62">
        <v>1779</v>
      </c>
      <c r="S19" s="223">
        <v>1746</v>
      </c>
      <c r="T19" s="62">
        <v>1719</v>
      </c>
      <c r="U19" s="62">
        <v>1924</v>
      </c>
      <c r="V19" s="62">
        <v>1902</v>
      </c>
      <c r="W19" s="223">
        <v>1870</v>
      </c>
      <c r="X19" s="62">
        <v>1761</v>
      </c>
      <c r="Y19" s="62">
        <v>1765</v>
      </c>
      <c r="Z19" s="62">
        <v>1761</v>
      </c>
      <c r="AA19" s="223">
        <v>1762</v>
      </c>
      <c r="AB19" s="62">
        <v>1774</v>
      </c>
      <c r="AC19" s="62">
        <v>1761</v>
      </c>
      <c r="AD19" s="62">
        <v>1751</v>
      </c>
      <c r="AE19" s="223">
        <v>1754</v>
      </c>
    </row>
    <row r="20" spans="2:31" ht="13.9" customHeight="1">
      <c r="B20" s="12" t="s">
        <v>131</v>
      </c>
      <c r="C20" s="223">
        <v>6214</v>
      </c>
      <c r="D20" s="223">
        <v>6215</v>
      </c>
      <c r="E20" s="223">
        <v>6245</v>
      </c>
      <c r="F20" s="223">
        <v>6217</v>
      </c>
      <c r="G20" s="223">
        <v>6039</v>
      </c>
      <c r="H20" s="223">
        <v>6072</v>
      </c>
      <c r="I20" s="223">
        <v>6076</v>
      </c>
      <c r="J20" s="223">
        <v>6069</v>
      </c>
      <c r="K20" s="223">
        <v>6131</v>
      </c>
      <c r="L20" s="223">
        <v>6182</v>
      </c>
      <c r="M20" s="223">
        <v>6267</v>
      </c>
      <c r="N20" s="223">
        <v>6266</v>
      </c>
      <c r="O20" s="223">
        <v>6312</v>
      </c>
      <c r="P20" s="62">
        <v>6400</v>
      </c>
      <c r="Q20" s="62">
        <v>6459</v>
      </c>
      <c r="R20" s="62">
        <v>6532</v>
      </c>
      <c r="S20" s="223">
        <v>6542</v>
      </c>
      <c r="T20" s="62">
        <v>6629</v>
      </c>
      <c r="U20" s="62">
        <v>6725</v>
      </c>
      <c r="V20" s="62">
        <v>6772</v>
      </c>
      <c r="W20" s="223">
        <v>6828</v>
      </c>
      <c r="X20" s="62">
        <v>6928</v>
      </c>
      <c r="Y20" s="62">
        <v>6977</v>
      </c>
      <c r="Z20" s="62">
        <v>7036</v>
      </c>
      <c r="AA20" s="223">
        <v>7160</v>
      </c>
      <c r="AB20" s="62">
        <v>7241</v>
      </c>
      <c r="AC20" s="62">
        <v>7349</v>
      </c>
      <c r="AD20" s="62">
        <v>7371</v>
      </c>
      <c r="AE20" s="223">
        <v>7469</v>
      </c>
    </row>
    <row r="21" spans="2:31" ht="13.9" customHeight="1">
      <c r="B21" s="12" t="s">
        <v>132</v>
      </c>
      <c r="C21" s="223">
        <v>1919</v>
      </c>
      <c r="D21" s="223">
        <v>1923</v>
      </c>
      <c r="E21" s="223">
        <v>977</v>
      </c>
      <c r="F21" s="223">
        <v>968</v>
      </c>
      <c r="G21" s="223">
        <v>916</v>
      </c>
      <c r="H21" s="223">
        <v>916</v>
      </c>
      <c r="I21" s="223">
        <v>935</v>
      </c>
      <c r="J21" s="223">
        <v>952</v>
      </c>
      <c r="K21" s="223">
        <v>929</v>
      </c>
      <c r="L21" s="223">
        <v>937</v>
      </c>
      <c r="M21" s="223">
        <v>938</v>
      </c>
      <c r="N21" s="223">
        <v>927</v>
      </c>
      <c r="O21" s="223">
        <v>912</v>
      </c>
      <c r="P21" s="62">
        <v>931</v>
      </c>
      <c r="Q21" s="62">
        <v>923</v>
      </c>
      <c r="R21" s="62">
        <v>922</v>
      </c>
      <c r="S21" s="223">
        <v>912</v>
      </c>
      <c r="T21" s="62">
        <v>910</v>
      </c>
      <c r="U21" s="62">
        <v>909</v>
      </c>
      <c r="V21" s="62">
        <v>900</v>
      </c>
      <c r="W21" s="223">
        <v>941</v>
      </c>
      <c r="X21" s="62">
        <v>939</v>
      </c>
      <c r="Y21" s="62">
        <v>934</v>
      </c>
      <c r="Z21" s="62">
        <v>934</v>
      </c>
      <c r="AA21" s="223">
        <v>948</v>
      </c>
      <c r="AB21" s="62">
        <v>945</v>
      </c>
      <c r="AC21" s="62">
        <v>980</v>
      </c>
      <c r="AD21" s="62">
        <v>1052</v>
      </c>
      <c r="AE21" s="223">
        <v>1084</v>
      </c>
    </row>
    <row r="22" spans="2:31" ht="13.9" customHeight="1">
      <c r="B22" s="12" t="s">
        <v>133</v>
      </c>
      <c r="C22" s="223">
        <v>1205</v>
      </c>
      <c r="D22" s="223">
        <v>1193</v>
      </c>
      <c r="E22" s="223">
        <v>12</v>
      </c>
      <c r="F22" s="223">
        <v>18</v>
      </c>
      <c r="G22" s="223">
        <v>81</v>
      </c>
      <c r="H22" s="223">
        <v>61</v>
      </c>
      <c r="I22" s="223">
        <v>57</v>
      </c>
      <c r="J22" s="223">
        <v>53</v>
      </c>
      <c r="K22" s="223">
        <v>108</v>
      </c>
      <c r="L22" s="223">
        <v>57</v>
      </c>
      <c r="M22" s="223">
        <v>42</v>
      </c>
      <c r="N22" s="223">
        <v>37</v>
      </c>
      <c r="O22" s="223">
        <v>24</v>
      </c>
      <c r="P22" s="61" t="s">
        <v>92</v>
      </c>
      <c r="Q22" s="61" t="s">
        <v>92</v>
      </c>
      <c r="R22" s="61" t="s">
        <v>92</v>
      </c>
      <c r="S22" s="223"/>
      <c r="T22" s="61" t="s">
        <v>92</v>
      </c>
      <c r="U22" s="61" t="s">
        <v>92</v>
      </c>
      <c r="V22" s="61" t="s">
        <v>92</v>
      </c>
      <c r="W22" s="223"/>
      <c r="X22" s="61" t="s">
        <v>92</v>
      </c>
      <c r="Y22" s="61" t="s">
        <v>92</v>
      </c>
      <c r="Z22" s="61" t="s">
        <v>92</v>
      </c>
      <c r="AA22" s="223"/>
      <c r="AB22" s="61" t="s">
        <v>92</v>
      </c>
      <c r="AC22" s="61" t="s">
        <v>92</v>
      </c>
      <c r="AD22" s="61" t="s">
        <v>92</v>
      </c>
      <c r="AE22" s="214" t="s">
        <v>92</v>
      </c>
    </row>
    <row r="23" spans="2:31" ht="13.9" customHeight="1">
      <c r="B23" s="12" t="s">
        <v>134</v>
      </c>
      <c r="C23" s="223">
        <v>468</v>
      </c>
      <c r="D23" s="223">
        <v>472</v>
      </c>
      <c r="E23" s="223">
        <v>474</v>
      </c>
      <c r="F23" s="223">
        <v>477</v>
      </c>
      <c r="G23" s="223">
        <v>358</v>
      </c>
      <c r="H23" s="223">
        <v>364</v>
      </c>
      <c r="I23" s="223">
        <v>361</v>
      </c>
      <c r="J23" s="223">
        <v>233</v>
      </c>
      <c r="K23" s="223">
        <v>242</v>
      </c>
      <c r="L23" s="223">
        <v>330</v>
      </c>
      <c r="M23" s="223">
        <v>323</v>
      </c>
      <c r="N23" s="223">
        <v>226</v>
      </c>
      <c r="O23" s="223">
        <v>226</v>
      </c>
      <c r="P23" s="62">
        <v>235</v>
      </c>
      <c r="Q23" s="62">
        <v>231</v>
      </c>
      <c r="R23" s="62">
        <v>235</v>
      </c>
      <c r="S23" s="223">
        <v>231</v>
      </c>
      <c r="T23" s="62">
        <v>245</v>
      </c>
      <c r="U23" s="62">
        <v>246</v>
      </c>
      <c r="V23" s="62">
        <v>251</v>
      </c>
      <c r="W23" s="223">
        <f>304-W18</f>
        <v>130</v>
      </c>
      <c r="X23" s="62">
        <f>305-X18</f>
        <v>136</v>
      </c>
      <c r="Y23" s="62">
        <f>324-Y18</f>
        <v>160</v>
      </c>
      <c r="Z23" s="62">
        <f>328-Z18</f>
        <v>170</v>
      </c>
      <c r="AA23" s="223">
        <f>368-AA18</f>
        <v>252</v>
      </c>
      <c r="AB23" s="62">
        <f>366-AB18</f>
        <v>218</v>
      </c>
      <c r="AC23" s="62">
        <f>459-AC18</f>
        <v>317</v>
      </c>
      <c r="AD23" s="62">
        <f>548-AD18</f>
        <v>411</v>
      </c>
      <c r="AE23" s="223">
        <v>251</v>
      </c>
    </row>
    <row r="24" spans="2:31" ht="13.9" customHeight="1">
      <c r="B24" s="12" t="s">
        <v>162</v>
      </c>
      <c r="C24" s="223">
        <v>58</v>
      </c>
      <c r="D24" s="223">
        <v>58</v>
      </c>
      <c r="E24" s="214" t="s">
        <v>92</v>
      </c>
      <c r="F24" s="214" t="s">
        <v>92</v>
      </c>
      <c r="G24" s="214" t="s">
        <v>92</v>
      </c>
      <c r="H24" s="214" t="s">
        <v>92</v>
      </c>
      <c r="I24" s="214" t="s">
        <v>92</v>
      </c>
      <c r="J24" s="214" t="s">
        <v>92</v>
      </c>
      <c r="K24" s="214" t="s">
        <v>92</v>
      </c>
      <c r="L24" s="214" t="s">
        <v>92</v>
      </c>
      <c r="M24" s="214" t="s">
        <v>92</v>
      </c>
      <c r="N24" s="214" t="s">
        <v>92</v>
      </c>
      <c r="O24" s="214" t="s">
        <v>92</v>
      </c>
      <c r="P24" s="61" t="s">
        <v>92</v>
      </c>
      <c r="Q24" s="61" t="s">
        <v>92</v>
      </c>
      <c r="R24" s="61" t="s">
        <v>92</v>
      </c>
      <c r="S24" s="214" t="s">
        <v>92</v>
      </c>
      <c r="T24" s="61" t="s">
        <v>92</v>
      </c>
      <c r="U24" s="61" t="s">
        <v>92</v>
      </c>
      <c r="V24" s="61" t="s">
        <v>92</v>
      </c>
      <c r="W24" s="214" t="s">
        <v>92</v>
      </c>
      <c r="X24" s="61" t="s">
        <v>92</v>
      </c>
      <c r="Y24" s="61" t="s">
        <v>92</v>
      </c>
      <c r="Z24" s="61" t="s">
        <v>92</v>
      </c>
      <c r="AA24" s="214" t="s">
        <v>92</v>
      </c>
      <c r="AB24" s="61" t="s">
        <v>92</v>
      </c>
      <c r="AC24" s="61" t="s">
        <v>92</v>
      </c>
      <c r="AD24" s="61" t="s">
        <v>92</v>
      </c>
      <c r="AE24" s="214" t="s">
        <v>92</v>
      </c>
    </row>
    <row r="25" spans="2:31" ht="13.9" customHeight="1">
      <c r="B25" s="287" t="s">
        <v>135</v>
      </c>
      <c r="C25" s="288">
        <f t="shared" ref="C25:O25" si="8">SUM(C17:C24)</f>
        <v>11898</v>
      </c>
      <c r="D25" s="288">
        <f t="shared" si="8"/>
        <v>11885</v>
      </c>
      <c r="E25" s="288">
        <f t="shared" si="8"/>
        <v>9696</v>
      </c>
      <c r="F25" s="288">
        <f t="shared" si="8"/>
        <v>9546</v>
      </c>
      <c r="G25" s="288">
        <f t="shared" si="8"/>
        <v>9238</v>
      </c>
      <c r="H25" s="288">
        <f t="shared" si="8"/>
        <v>9348</v>
      </c>
      <c r="I25" s="288">
        <f t="shared" si="8"/>
        <v>9277</v>
      </c>
      <c r="J25" s="288">
        <f t="shared" si="8"/>
        <v>9175</v>
      </c>
      <c r="K25" s="288">
        <f t="shared" si="8"/>
        <v>9795</v>
      </c>
      <c r="L25" s="288">
        <f t="shared" si="8"/>
        <v>9815</v>
      </c>
      <c r="M25" s="288">
        <f t="shared" si="8"/>
        <v>9929</v>
      </c>
      <c r="N25" s="288">
        <f t="shared" si="8"/>
        <v>9772</v>
      </c>
      <c r="O25" s="288">
        <f t="shared" si="8"/>
        <v>9795</v>
      </c>
      <c r="P25" s="288">
        <f t="shared" ref="P25:V25" si="9">SUM(P17:P24)</f>
        <v>9875</v>
      </c>
      <c r="Q25" s="288">
        <f t="shared" si="9"/>
        <v>9908</v>
      </c>
      <c r="R25" s="288">
        <f t="shared" si="9"/>
        <v>9976</v>
      </c>
      <c r="S25" s="288">
        <f t="shared" si="9"/>
        <v>9948</v>
      </c>
      <c r="T25" s="288">
        <f t="shared" si="9"/>
        <v>10014</v>
      </c>
      <c r="U25" s="288">
        <f t="shared" si="9"/>
        <v>10268</v>
      </c>
      <c r="V25" s="288">
        <f t="shared" si="9"/>
        <v>10317</v>
      </c>
      <c r="W25" s="288">
        <f t="shared" ref="W25:X25" si="10">SUM(W17:W24)</f>
        <v>10389</v>
      </c>
      <c r="X25" s="288">
        <f t="shared" si="10"/>
        <v>10381</v>
      </c>
      <c r="Y25" s="288">
        <f t="shared" ref="Y25:AB25" si="11">SUM(Y17:Y24)</f>
        <v>10435</v>
      </c>
      <c r="Z25" s="288">
        <f t="shared" si="11"/>
        <v>10483</v>
      </c>
      <c r="AA25" s="288">
        <f t="shared" si="11"/>
        <v>10648</v>
      </c>
      <c r="AB25" s="288">
        <f t="shared" si="11"/>
        <v>10734</v>
      </c>
      <c r="AC25" s="288">
        <f t="shared" ref="AC25:AE25" si="12">SUM(AC17:AC24)</f>
        <v>10946</v>
      </c>
      <c r="AD25" s="288">
        <f t="shared" si="12"/>
        <v>11115</v>
      </c>
      <c r="AE25" s="288">
        <f t="shared" si="12"/>
        <v>11356</v>
      </c>
    </row>
    <row r="26" spans="2:31" ht="13.9" customHeight="1">
      <c r="B26" s="201" t="s">
        <v>136</v>
      </c>
      <c r="C26" s="284">
        <f t="shared" ref="C26:O26" si="13">C25+C15</f>
        <v>16348</v>
      </c>
      <c r="D26" s="284">
        <f t="shared" si="13"/>
        <v>16649</v>
      </c>
      <c r="E26" s="284">
        <f t="shared" si="13"/>
        <v>14756</v>
      </c>
      <c r="F26" s="284">
        <f t="shared" si="13"/>
        <v>14097</v>
      </c>
      <c r="G26" s="284">
        <f t="shared" si="13"/>
        <v>12991</v>
      </c>
      <c r="H26" s="284">
        <f t="shared" si="13"/>
        <v>13574</v>
      </c>
      <c r="I26" s="284">
        <f t="shared" si="13"/>
        <v>13400</v>
      </c>
      <c r="J26" s="284">
        <f t="shared" si="13"/>
        <v>13544</v>
      </c>
      <c r="K26" s="284">
        <f t="shared" si="13"/>
        <v>13241</v>
      </c>
      <c r="L26" s="284">
        <f t="shared" si="13"/>
        <v>13548</v>
      </c>
      <c r="M26" s="284">
        <f t="shared" si="13"/>
        <v>13513</v>
      </c>
      <c r="N26" s="284">
        <f t="shared" si="13"/>
        <v>13532</v>
      </c>
      <c r="O26" s="284">
        <f t="shared" si="13"/>
        <v>13934</v>
      </c>
      <c r="P26" s="284">
        <f t="shared" ref="P26:V26" si="14">P25+P15</f>
        <v>14067</v>
      </c>
      <c r="Q26" s="284">
        <f t="shared" si="14"/>
        <v>14203</v>
      </c>
      <c r="R26" s="284">
        <f t="shared" si="14"/>
        <v>14282</v>
      </c>
      <c r="S26" s="284">
        <f t="shared" si="14"/>
        <v>13412</v>
      </c>
      <c r="T26" s="284">
        <f t="shared" si="14"/>
        <v>14283</v>
      </c>
      <c r="U26" s="284">
        <f t="shared" si="14"/>
        <v>14444</v>
      </c>
      <c r="V26" s="284">
        <f t="shared" si="14"/>
        <v>14889</v>
      </c>
      <c r="W26" s="284">
        <f t="shared" ref="W26:X26" si="15">W25+W15</f>
        <v>13878</v>
      </c>
      <c r="X26" s="284">
        <f t="shared" si="15"/>
        <v>15549</v>
      </c>
      <c r="Y26" s="284">
        <f t="shared" ref="Y26:AB26" si="16">Y25+Y15</f>
        <v>15102</v>
      </c>
      <c r="Z26" s="284">
        <f t="shared" si="16"/>
        <v>15476</v>
      </c>
      <c r="AA26" s="284">
        <f t="shared" si="16"/>
        <v>15161</v>
      </c>
      <c r="AB26" s="284">
        <f t="shared" si="16"/>
        <v>15579</v>
      </c>
      <c r="AC26" s="284">
        <f t="shared" ref="AC26:AE26" si="17">AC25+AC15</f>
        <v>15218</v>
      </c>
      <c r="AD26" s="284">
        <f t="shared" si="17"/>
        <v>15785</v>
      </c>
      <c r="AE26" s="284">
        <f t="shared" si="17"/>
        <v>15938</v>
      </c>
    </row>
    <row r="27" spans="2:31" ht="13.9" customHeight="1"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62"/>
      <c r="Q27" s="62"/>
      <c r="R27" s="62"/>
      <c r="S27" s="223"/>
      <c r="W27" s="223"/>
      <c r="AA27" s="223"/>
      <c r="AE27" s="223"/>
    </row>
    <row r="28" spans="2:31" ht="13.9" customHeight="1">
      <c r="B28" s="12" t="s">
        <v>137</v>
      </c>
      <c r="C28" s="223">
        <v>1542</v>
      </c>
      <c r="D28" s="223">
        <v>1538</v>
      </c>
      <c r="E28" s="223">
        <v>1625</v>
      </c>
      <c r="F28" s="223">
        <v>1126</v>
      </c>
      <c r="G28" s="223">
        <v>1007</v>
      </c>
      <c r="H28" s="223">
        <v>1002</v>
      </c>
      <c r="I28" s="223">
        <v>955</v>
      </c>
      <c r="J28" s="223">
        <v>957</v>
      </c>
      <c r="K28" s="223">
        <v>786</v>
      </c>
      <c r="L28" s="223">
        <v>785</v>
      </c>
      <c r="M28" s="223">
        <v>743</v>
      </c>
      <c r="N28" s="223">
        <v>745</v>
      </c>
      <c r="O28" s="223">
        <v>980</v>
      </c>
      <c r="P28" s="62">
        <v>949</v>
      </c>
      <c r="Q28" s="62">
        <v>959</v>
      </c>
      <c r="R28" s="62">
        <v>964</v>
      </c>
      <c r="S28" s="223">
        <v>921</v>
      </c>
      <c r="T28" s="62">
        <v>923</v>
      </c>
      <c r="U28" s="62">
        <v>1088</v>
      </c>
      <c r="V28" s="62">
        <v>1092</v>
      </c>
      <c r="W28" s="223">
        <v>1074</v>
      </c>
      <c r="X28" s="62">
        <v>1074</v>
      </c>
      <c r="Y28" s="62">
        <v>1064</v>
      </c>
      <c r="Z28" s="62">
        <v>1065</v>
      </c>
      <c r="AA28" s="223">
        <v>1123</v>
      </c>
      <c r="AB28" s="62">
        <v>1124</v>
      </c>
      <c r="AC28" s="62">
        <v>1681</v>
      </c>
      <c r="AD28" s="62">
        <v>1822</v>
      </c>
      <c r="AE28" s="223">
        <v>992</v>
      </c>
    </row>
    <row r="29" spans="2:31" ht="13.9" customHeight="1">
      <c r="B29" s="12" t="s">
        <v>157</v>
      </c>
      <c r="C29" s="223">
        <v>445</v>
      </c>
      <c r="D29" s="223">
        <v>422</v>
      </c>
      <c r="E29" s="223">
        <v>434</v>
      </c>
      <c r="F29" s="223">
        <v>427</v>
      </c>
      <c r="G29" s="223">
        <v>416</v>
      </c>
      <c r="H29" s="223">
        <v>415</v>
      </c>
      <c r="I29" s="223">
        <v>399</v>
      </c>
      <c r="J29" s="223">
        <v>387</v>
      </c>
      <c r="K29" s="223">
        <v>415</v>
      </c>
      <c r="L29" s="223">
        <v>402</v>
      </c>
      <c r="M29" s="223">
        <v>432</v>
      </c>
      <c r="N29" s="223">
        <v>440</v>
      </c>
      <c r="O29" s="223">
        <v>466</v>
      </c>
      <c r="P29" s="62">
        <v>449</v>
      </c>
      <c r="Q29" s="62">
        <v>466</v>
      </c>
      <c r="R29" s="62">
        <v>471</v>
      </c>
      <c r="S29" s="223">
        <v>456</v>
      </c>
      <c r="T29" s="62">
        <v>443</v>
      </c>
      <c r="U29" s="62">
        <v>447</v>
      </c>
      <c r="V29" s="62">
        <v>459</v>
      </c>
      <c r="W29" s="223">
        <v>433</v>
      </c>
      <c r="X29" s="62">
        <v>418</v>
      </c>
      <c r="Y29" s="62">
        <v>426</v>
      </c>
      <c r="Z29" s="62">
        <v>428</v>
      </c>
      <c r="AA29" s="223">
        <v>438</v>
      </c>
      <c r="AB29" s="62">
        <v>417</v>
      </c>
      <c r="AC29" s="62">
        <v>426</v>
      </c>
      <c r="AD29" s="62">
        <v>424</v>
      </c>
      <c r="AE29" s="223">
        <v>425</v>
      </c>
    </row>
    <row r="30" spans="2:31" ht="13.9" customHeight="1">
      <c r="B30" s="12" t="s">
        <v>138</v>
      </c>
      <c r="C30" s="223">
        <v>1855</v>
      </c>
      <c r="D30" s="223">
        <v>2010</v>
      </c>
      <c r="E30" s="223">
        <v>1600</v>
      </c>
      <c r="F30" s="223">
        <v>1681</v>
      </c>
      <c r="G30" s="223">
        <v>1614</v>
      </c>
      <c r="H30" s="223">
        <v>1834</v>
      </c>
      <c r="I30" s="223">
        <v>1580</v>
      </c>
      <c r="J30" s="223">
        <v>1669</v>
      </c>
      <c r="K30" s="223">
        <v>1759</v>
      </c>
      <c r="L30" s="223">
        <v>1793</v>
      </c>
      <c r="M30" s="223">
        <v>1567</v>
      </c>
      <c r="N30" s="223">
        <v>1699</v>
      </c>
      <c r="O30" s="223">
        <v>1748</v>
      </c>
      <c r="P30" s="62">
        <v>1915</v>
      </c>
      <c r="Q30" s="62">
        <v>1748</v>
      </c>
      <c r="R30" s="62">
        <v>1613</v>
      </c>
      <c r="S30" s="223">
        <v>1590</v>
      </c>
      <c r="T30" s="62">
        <v>1846</v>
      </c>
      <c r="U30" s="62">
        <v>1756</v>
      </c>
      <c r="V30" s="62">
        <v>1841</v>
      </c>
      <c r="W30" s="223">
        <v>1750</v>
      </c>
      <c r="X30" s="62">
        <v>2111</v>
      </c>
      <c r="Y30" s="62">
        <v>1909</v>
      </c>
      <c r="Z30" s="62">
        <v>1905</v>
      </c>
      <c r="AA30" s="223">
        <v>1935</v>
      </c>
      <c r="AB30" s="62">
        <v>1995</v>
      </c>
      <c r="AC30" s="62">
        <v>1824</v>
      </c>
      <c r="AD30" s="62">
        <v>1848</v>
      </c>
      <c r="AE30" s="223">
        <v>1901</v>
      </c>
    </row>
    <row r="31" spans="2:31" ht="13.9" customHeight="1">
      <c r="B31" s="12" t="s">
        <v>351</v>
      </c>
      <c r="C31" s="215">
        <v>0</v>
      </c>
      <c r="D31" s="215">
        <v>0</v>
      </c>
      <c r="E31" s="215">
        <v>0</v>
      </c>
      <c r="F31" s="215">
        <v>0</v>
      </c>
      <c r="G31" s="215">
        <v>0</v>
      </c>
      <c r="H31" s="215">
        <v>0</v>
      </c>
      <c r="I31" s="215">
        <v>0</v>
      </c>
      <c r="J31" s="215">
        <v>0</v>
      </c>
      <c r="K31" s="215">
        <v>0</v>
      </c>
      <c r="L31" s="215">
        <v>0</v>
      </c>
      <c r="M31" s="215">
        <v>0</v>
      </c>
      <c r="N31" s="215">
        <v>0</v>
      </c>
      <c r="O31" s="215">
        <v>0</v>
      </c>
      <c r="P31" s="24">
        <v>0</v>
      </c>
      <c r="Q31" s="24">
        <v>0</v>
      </c>
      <c r="R31" s="62">
        <v>294</v>
      </c>
      <c r="S31" s="215">
        <v>0</v>
      </c>
      <c r="T31" s="24">
        <v>0</v>
      </c>
      <c r="U31" s="24">
        <v>0</v>
      </c>
      <c r="V31" s="62">
        <v>392</v>
      </c>
      <c r="W31" s="215">
        <v>0</v>
      </c>
      <c r="X31" s="24">
        <v>0</v>
      </c>
      <c r="Y31" s="24">
        <v>0</v>
      </c>
      <c r="Z31" s="62">
        <v>407</v>
      </c>
      <c r="AA31" s="215">
        <v>0</v>
      </c>
      <c r="AB31" s="24">
        <v>0</v>
      </c>
      <c r="AC31" s="24">
        <v>0</v>
      </c>
      <c r="AD31" s="62">
        <v>583</v>
      </c>
      <c r="AE31" s="215">
        <v>0</v>
      </c>
    </row>
    <row r="32" spans="2:31" ht="13.9" customHeight="1">
      <c r="B32" s="12" t="s">
        <v>139</v>
      </c>
      <c r="C32" s="214" t="s">
        <v>92</v>
      </c>
      <c r="D32" s="223">
        <v>10</v>
      </c>
      <c r="E32" s="223">
        <v>20</v>
      </c>
      <c r="F32" s="223">
        <v>15</v>
      </c>
      <c r="G32" s="214" t="s">
        <v>92</v>
      </c>
      <c r="H32" s="223">
        <v>51</v>
      </c>
      <c r="I32" s="223">
        <v>46</v>
      </c>
      <c r="J32" s="223">
        <v>46</v>
      </c>
      <c r="K32" s="214" t="s">
        <v>92</v>
      </c>
      <c r="L32" s="215">
        <v>0</v>
      </c>
      <c r="M32" s="215">
        <v>0</v>
      </c>
      <c r="N32" s="215">
        <v>0</v>
      </c>
      <c r="O32" s="214" t="s">
        <v>92</v>
      </c>
      <c r="P32" s="24">
        <v>0</v>
      </c>
      <c r="Q32" s="24">
        <v>0</v>
      </c>
      <c r="R32" s="24">
        <v>0</v>
      </c>
      <c r="S32" s="215">
        <v>0</v>
      </c>
      <c r="T32" s="24">
        <v>0</v>
      </c>
      <c r="U32" s="24">
        <v>0</v>
      </c>
      <c r="V32" s="24">
        <v>0</v>
      </c>
      <c r="W32" s="215">
        <v>0</v>
      </c>
      <c r="X32" s="24">
        <v>0</v>
      </c>
      <c r="Y32" s="24">
        <v>0</v>
      </c>
      <c r="Z32" s="24">
        <v>0</v>
      </c>
      <c r="AA32" s="215">
        <v>0</v>
      </c>
      <c r="AB32" s="24">
        <v>0</v>
      </c>
      <c r="AC32" s="24">
        <v>0</v>
      </c>
      <c r="AD32" s="24">
        <v>0</v>
      </c>
      <c r="AE32" s="215">
        <v>0</v>
      </c>
    </row>
    <row r="33" spans="2:31" ht="13.9" customHeight="1">
      <c r="B33" s="12" t="s">
        <v>140</v>
      </c>
      <c r="C33" s="223">
        <v>581</v>
      </c>
      <c r="D33" s="223">
        <v>500</v>
      </c>
      <c r="E33" s="223">
        <v>443</v>
      </c>
      <c r="F33" s="223">
        <v>365</v>
      </c>
      <c r="G33" s="223">
        <v>654</v>
      </c>
      <c r="H33" s="223">
        <v>587</v>
      </c>
      <c r="I33" s="223">
        <v>486</v>
      </c>
      <c r="J33" s="223">
        <v>441</v>
      </c>
      <c r="K33" s="223">
        <v>482</v>
      </c>
      <c r="L33" s="223">
        <v>442</v>
      </c>
      <c r="M33" s="223">
        <v>462</v>
      </c>
      <c r="N33" s="223">
        <v>439</v>
      </c>
      <c r="O33" s="223">
        <v>510</v>
      </c>
      <c r="P33" s="62">
        <v>424</v>
      </c>
      <c r="Q33" s="62">
        <v>390</v>
      </c>
      <c r="R33" s="62">
        <v>273</v>
      </c>
      <c r="S33" s="223">
        <v>399</v>
      </c>
      <c r="T33" s="62">
        <v>371</v>
      </c>
      <c r="U33" s="62">
        <v>320</v>
      </c>
      <c r="V33" s="62">
        <v>301</v>
      </c>
      <c r="W33" s="223">
        <v>332</v>
      </c>
      <c r="X33" s="62">
        <v>341</v>
      </c>
      <c r="Y33" s="62">
        <v>294</v>
      </c>
      <c r="Z33" s="62">
        <v>286</v>
      </c>
      <c r="AA33" s="223">
        <v>400</v>
      </c>
      <c r="AB33" s="62">
        <v>389</v>
      </c>
      <c r="AC33" s="62">
        <v>333</v>
      </c>
      <c r="AD33" s="62">
        <v>321</v>
      </c>
      <c r="AE33" s="223">
        <v>542</v>
      </c>
    </row>
    <row r="34" spans="2:31" ht="13.9" customHeight="1">
      <c r="B34" s="12" t="s">
        <v>141</v>
      </c>
      <c r="C34" s="223">
        <v>175</v>
      </c>
      <c r="D34" s="223">
        <v>145</v>
      </c>
      <c r="E34" s="223">
        <v>148</v>
      </c>
      <c r="F34" s="223">
        <v>143</v>
      </c>
      <c r="G34" s="223">
        <v>125</v>
      </c>
      <c r="H34" s="223">
        <v>125</v>
      </c>
      <c r="I34" s="223">
        <v>122</v>
      </c>
      <c r="J34" s="223">
        <v>113</v>
      </c>
      <c r="K34" s="223">
        <v>117</v>
      </c>
      <c r="L34" s="223">
        <v>87</v>
      </c>
      <c r="M34" s="223">
        <v>84</v>
      </c>
      <c r="N34" s="223">
        <v>83</v>
      </c>
      <c r="O34" s="223">
        <v>69</v>
      </c>
      <c r="P34" s="62">
        <v>188</v>
      </c>
      <c r="Q34" s="62">
        <v>172</v>
      </c>
      <c r="R34" s="62">
        <v>173</v>
      </c>
      <c r="S34" s="223">
        <v>168</v>
      </c>
      <c r="T34" s="62">
        <v>97</v>
      </c>
      <c r="U34" s="62">
        <v>94</v>
      </c>
      <c r="V34" s="62">
        <v>90</v>
      </c>
      <c r="W34" s="223">
        <v>91</v>
      </c>
      <c r="X34" s="62">
        <v>86</v>
      </c>
      <c r="Y34" s="62">
        <v>88</v>
      </c>
      <c r="Z34" s="62">
        <v>93</v>
      </c>
      <c r="AA34" s="223">
        <v>84</v>
      </c>
      <c r="AB34" s="62">
        <v>90</v>
      </c>
      <c r="AC34" s="62">
        <v>82</v>
      </c>
      <c r="AD34" s="62">
        <v>164</v>
      </c>
      <c r="AE34" s="223">
        <v>174</v>
      </c>
    </row>
    <row r="35" spans="2:31" ht="13.9" customHeight="1">
      <c r="B35" s="12" t="s">
        <v>453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62"/>
      <c r="Q35" s="62"/>
      <c r="R35" s="62"/>
      <c r="S35" s="223"/>
      <c r="W35" s="223"/>
      <c r="Z35" s="62">
        <v>31</v>
      </c>
      <c r="AA35" s="223">
        <v>34</v>
      </c>
      <c r="AB35" s="62">
        <v>34</v>
      </c>
      <c r="AC35" s="24">
        <v>0</v>
      </c>
      <c r="AD35" s="24">
        <v>0</v>
      </c>
      <c r="AE35" s="215">
        <v>0</v>
      </c>
    </row>
    <row r="36" spans="2:31" ht="13.9" customHeight="1">
      <c r="B36" s="201" t="s">
        <v>142</v>
      </c>
      <c r="C36" s="284">
        <f t="shared" ref="C36:Y36" si="18">SUM(C28:C34)</f>
        <v>4598</v>
      </c>
      <c r="D36" s="284">
        <f t="shared" si="18"/>
        <v>4625</v>
      </c>
      <c r="E36" s="284">
        <f t="shared" si="18"/>
        <v>4270</v>
      </c>
      <c r="F36" s="284">
        <f t="shared" si="18"/>
        <v>3757</v>
      </c>
      <c r="G36" s="284">
        <f t="shared" si="18"/>
        <v>3816</v>
      </c>
      <c r="H36" s="284">
        <f t="shared" si="18"/>
        <v>4014</v>
      </c>
      <c r="I36" s="284">
        <f t="shared" si="18"/>
        <v>3588</v>
      </c>
      <c r="J36" s="284">
        <f t="shared" si="18"/>
        <v>3613</v>
      </c>
      <c r="K36" s="284">
        <f t="shared" si="18"/>
        <v>3559</v>
      </c>
      <c r="L36" s="284">
        <f t="shared" si="18"/>
        <v>3509</v>
      </c>
      <c r="M36" s="284">
        <f t="shared" si="18"/>
        <v>3288</v>
      </c>
      <c r="N36" s="284">
        <f t="shared" si="18"/>
        <v>3406</v>
      </c>
      <c r="O36" s="284">
        <f t="shared" si="18"/>
        <v>3773</v>
      </c>
      <c r="P36" s="284">
        <f t="shared" si="18"/>
        <v>3925</v>
      </c>
      <c r="Q36" s="284">
        <f t="shared" si="18"/>
        <v>3735</v>
      </c>
      <c r="R36" s="284">
        <f t="shared" si="18"/>
        <v>3788</v>
      </c>
      <c r="S36" s="284">
        <f t="shared" si="18"/>
        <v>3534</v>
      </c>
      <c r="T36" s="284">
        <f t="shared" si="18"/>
        <v>3680</v>
      </c>
      <c r="U36" s="284">
        <f t="shared" si="18"/>
        <v>3705</v>
      </c>
      <c r="V36" s="284">
        <f t="shared" si="18"/>
        <v>4175</v>
      </c>
      <c r="W36" s="284">
        <f t="shared" si="18"/>
        <v>3680</v>
      </c>
      <c r="X36" s="284">
        <f t="shared" si="18"/>
        <v>4030</v>
      </c>
      <c r="Y36" s="284">
        <f t="shared" si="18"/>
        <v>3781</v>
      </c>
      <c r="Z36" s="284">
        <f t="shared" ref="Z36:AE36" si="19">SUM(Z28:Z35)</f>
        <v>4215</v>
      </c>
      <c r="AA36" s="284">
        <f t="shared" si="19"/>
        <v>4014</v>
      </c>
      <c r="AB36" s="284">
        <f t="shared" si="19"/>
        <v>4049</v>
      </c>
      <c r="AC36" s="284">
        <f t="shared" si="19"/>
        <v>4346</v>
      </c>
      <c r="AD36" s="284">
        <f t="shared" si="19"/>
        <v>5162</v>
      </c>
      <c r="AE36" s="284">
        <f t="shared" si="19"/>
        <v>4034</v>
      </c>
    </row>
    <row r="37" spans="2:31" ht="13.9" customHeight="1"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62"/>
      <c r="Q37" s="62"/>
      <c r="R37" s="62"/>
      <c r="S37" s="223"/>
      <c r="W37" s="223"/>
      <c r="AA37" s="223"/>
      <c r="AE37" s="223"/>
    </row>
    <row r="38" spans="2:31" ht="13.9" customHeight="1">
      <c r="B38" s="12" t="s">
        <v>145</v>
      </c>
      <c r="C38" s="223">
        <v>9637</v>
      </c>
      <c r="D38" s="223">
        <v>9618</v>
      </c>
      <c r="E38" s="223">
        <v>9709</v>
      </c>
      <c r="F38" s="223">
        <v>9393</v>
      </c>
      <c r="G38" s="223">
        <v>8551</v>
      </c>
      <c r="H38" s="223">
        <v>8535</v>
      </c>
      <c r="I38" s="223">
        <v>8517</v>
      </c>
      <c r="J38" s="223">
        <v>8507</v>
      </c>
      <c r="K38" s="223">
        <v>7614</v>
      </c>
      <c r="L38" s="223">
        <v>7611</v>
      </c>
      <c r="M38" s="223">
        <v>7569</v>
      </c>
      <c r="N38" s="223">
        <v>7279</v>
      </c>
      <c r="O38" s="223">
        <v>7082</v>
      </c>
      <c r="P38" s="62">
        <v>6774</v>
      </c>
      <c r="Q38" s="62">
        <v>7055</v>
      </c>
      <c r="R38" s="62">
        <v>7074</v>
      </c>
      <c r="S38" s="223">
        <v>6352</v>
      </c>
      <c r="T38" s="62">
        <v>6789</v>
      </c>
      <c r="U38" s="62">
        <v>6603</v>
      </c>
      <c r="V38" s="62">
        <v>6616</v>
      </c>
      <c r="W38" s="223">
        <v>5889</v>
      </c>
      <c r="X38" s="62">
        <v>6985</v>
      </c>
      <c r="Y38" s="62">
        <v>6820</v>
      </c>
      <c r="Z38" s="62">
        <v>6856</v>
      </c>
      <c r="AA38" s="223">
        <v>6523</v>
      </c>
      <c r="AB38" s="62">
        <v>6538</v>
      </c>
      <c r="AC38" s="62">
        <v>5816</v>
      </c>
      <c r="AD38" s="62">
        <v>5712</v>
      </c>
      <c r="AE38" s="223">
        <v>6818</v>
      </c>
    </row>
    <row r="39" spans="2:31" ht="13.9" customHeight="1">
      <c r="B39" s="12" t="s">
        <v>157</v>
      </c>
      <c r="C39" s="223">
        <v>1106</v>
      </c>
      <c r="D39" s="223">
        <v>1061</v>
      </c>
      <c r="E39" s="223">
        <v>1022</v>
      </c>
      <c r="F39" s="223">
        <v>989</v>
      </c>
      <c r="G39" s="223">
        <v>969</v>
      </c>
      <c r="H39" s="223">
        <v>1049</v>
      </c>
      <c r="I39" s="223">
        <v>1017</v>
      </c>
      <c r="J39" s="223">
        <v>971</v>
      </c>
      <c r="K39" s="223">
        <v>1492</v>
      </c>
      <c r="L39" s="223">
        <v>1438</v>
      </c>
      <c r="M39" s="223">
        <v>1477</v>
      </c>
      <c r="N39" s="223">
        <v>1457</v>
      </c>
      <c r="O39" s="223">
        <v>1511</v>
      </c>
      <c r="P39" s="62">
        <v>1494</v>
      </c>
      <c r="Q39" s="62">
        <v>1477</v>
      </c>
      <c r="R39" s="62">
        <v>1463</v>
      </c>
      <c r="S39" s="223">
        <v>1452</v>
      </c>
      <c r="T39" s="62">
        <v>1428</v>
      </c>
      <c r="U39" s="62">
        <v>1651</v>
      </c>
      <c r="V39" s="62">
        <v>1642</v>
      </c>
      <c r="W39" s="223">
        <v>1608</v>
      </c>
      <c r="X39" s="62">
        <v>1504</v>
      </c>
      <c r="Y39" s="62">
        <v>1517</v>
      </c>
      <c r="Z39" s="62">
        <v>1519</v>
      </c>
      <c r="AA39" s="223">
        <v>1530</v>
      </c>
      <c r="AB39" s="62">
        <v>1530</v>
      </c>
      <c r="AC39" s="62">
        <v>1522</v>
      </c>
      <c r="AD39" s="62">
        <v>1523</v>
      </c>
      <c r="AE39" s="223">
        <v>1530</v>
      </c>
    </row>
    <row r="40" spans="2:31" ht="13.9" customHeight="1">
      <c r="B40" s="12" t="s">
        <v>140</v>
      </c>
      <c r="C40" s="223">
        <v>445</v>
      </c>
      <c r="D40" s="223">
        <v>482</v>
      </c>
      <c r="E40" s="223">
        <v>487</v>
      </c>
      <c r="F40" s="223">
        <v>539</v>
      </c>
      <c r="G40" s="223">
        <v>356</v>
      </c>
      <c r="H40" s="223">
        <v>314</v>
      </c>
      <c r="I40" s="223">
        <v>344</v>
      </c>
      <c r="J40" s="223">
        <v>334</v>
      </c>
      <c r="K40" s="223">
        <v>335</v>
      </c>
      <c r="L40" s="223">
        <v>337</v>
      </c>
      <c r="M40" s="223">
        <v>226</v>
      </c>
      <c r="N40" s="223">
        <v>228</v>
      </c>
      <c r="O40" s="223">
        <v>243</v>
      </c>
      <c r="P40" s="62">
        <v>218</v>
      </c>
      <c r="Q40" s="62">
        <v>211</v>
      </c>
      <c r="R40" s="62">
        <v>193</v>
      </c>
      <c r="S40" s="223">
        <v>201</v>
      </c>
      <c r="T40" s="62">
        <v>198</v>
      </c>
      <c r="U40" s="62">
        <v>194</v>
      </c>
      <c r="V40" s="62">
        <v>261</v>
      </c>
      <c r="W40" s="223">
        <v>251</v>
      </c>
      <c r="X40" s="62">
        <v>253</v>
      </c>
      <c r="Y40" s="62">
        <v>254</v>
      </c>
      <c r="Z40" s="62">
        <v>249</v>
      </c>
      <c r="AA40" s="223">
        <v>300</v>
      </c>
      <c r="AB40" s="62">
        <v>312</v>
      </c>
      <c r="AC40" s="62">
        <v>314</v>
      </c>
      <c r="AD40" s="62">
        <v>274</v>
      </c>
      <c r="AE40" s="223">
        <v>219</v>
      </c>
    </row>
    <row r="41" spans="2:31" ht="13.9" customHeight="1">
      <c r="B41" s="12" t="s">
        <v>146</v>
      </c>
      <c r="C41" s="223">
        <v>174</v>
      </c>
      <c r="D41" s="223">
        <v>168</v>
      </c>
      <c r="E41" s="223">
        <v>163</v>
      </c>
      <c r="F41" s="223">
        <v>178</v>
      </c>
      <c r="G41" s="223">
        <v>139</v>
      </c>
      <c r="H41" s="223">
        <v>163</v>
      </c>
      <c r="I41" s="223">
        <v>176</v>
      </c>
      <c r="J41" s="223">
        <v>342</v>
      </c>
      <c r="K41" s="223">
        <v>307</v>
      </c>
      <c r="L41" s="223">
        <v>282</v>
      </c>
      <c r="M41" s="223">
        <v>273</v>
      </c>
      <c r="N41" s="223">
        <v>178</v>
      </c>
      <c r="O41" s="223">
        <v>142</v>
      </c>
      <c r="P41" s="62">
        <v>147</v>
      </c>
      <c r="Q41" s="62">
        <v>140</v>
      </c>
      <c r="R41" s="62">
        <v>137</v>
      </c>
      <c r="S41" s="223">
        <v>151</v>
      </c>
      <c r="T41" s="62">
        <v>147</v>
      </c>
      <c r="U41" s="62">
        <v>152</v>
      </c>
      <c r="V41" s="62">
        <v>151</v>
      </c>
      <c r="W41" s="223">
        <v>160</v>
      </c>
      <c r="X41" s="62">
        <v>173</v>
      </c>
      <c r="Y41" s="62">
        <v>203</v>
      </c>
      <c r="Z41" s="62">
        <v>222</v>
      </c>
      <c r="AA41" s="223">
        <v>214</v>
      </c>
      <c r="AB41" s="62">
        <v>261</v>
      </c>
      <c r="AC41" s="62">
        <v>284</v>
      </c>
      <c r="AD41" s="62">
        <v>302</v>
      </c>
      <c r="AE41" s="223">
        <v>292</v>
      </c>
    </row>
    <row r="42" spans="2:31" ht="13.9" customHeight="1">
      <c r="B42" s="12" t="s">
        <v>147</v>
      </c>
      <c r="C42" s="223">
        <v>56</v>
      </c>
      <c r="D42" s="223">
        <v>54</v>
      </c>
      <c r="E42" s="223">
        <v>53</v>
      </c>
      <c r="F42" s="223">
        <v>50</v>
      </c>
      <c r="G42" s="223">
        <v>43</v>
      </c>
      <c r="H42" s="223">
        <v>46</v>
      </c>
      <c r="I42" s="223">
        <v>46</v>
      </c>
      <c r="J42" s="223">
        <v>48</v>
      </c>
      <c r="K42" s="223">
        <v>32</v>
      </c>
      <c r="L42" s="223">
        <v>34</v>
      </c>
      <c r="M42" s="223">
        <v>40</v>
      </c>
      <c r="N42" s="223">
        <v>44</v>
      </c>
      <c r="O42" s="223">
        <v>38</v>
      </c>
      <c r="P42" s="62">
        <v>44</v>
      </c>
      <c r="Q42" s="62">
        <v>57</v>
      </c>
      <c r="R42" s="62">
        <v>73</v>
      </c>
      <c r="S42" s="223">
        <v>61</v>
      </c>
      <c r="T42" s="62">
        <v>66</v>
      </c>
      <c r="U42" s="62">
        <v>70</v>
      </c>
      <c r="V42" s="62">
        <v>70</v>
      </c>
      <c r="W42" s="223">
        <v>64</v>
      </c>
      <c r="X42" s="62">
        <v>76</v>
      </c>
      <c r="Y42" s="62">
        <v>81</v>
      </c>
      <c r="Z42" s="62">
        <v>89</v>
      </c>
      <c r="AA42" s="223">
        <v>46</v>
      </c>
      <c r="AB42" s="62">
        <v>52</v>
      </c>
      <c r="AC42" s="62">
        <v>60</v>
      </c>
      <c r="AD42" s="62">
        <v>70</v>
      </c>
      <c r="AE42" s="223">
        <v>56</v>
      </c>
    </row>
    <row r="43" spans="2:31" ht="13.9" customHeight="1">
      <c r="B43" s="12" t="s">
        <v>141</v>
      </c>
      <c r="C43" s="223">
        <v>38</v>
      </c>
      <c r="D43" s="223">
        <v>39</v>
      </c>
      <c r="E43" s="223">
        <v>39</v>
      </c>
      <c r="F43" s="223">
        <v>39</v>
      </c>
      <c r="G43" s="223">
        <v>49</v>
      </c>
      <c r="H43" s="223">
        <v>50</v>
      </c>
      <c r="I43" s="223">
        <v>50</v>
      </c>
      <c r="J43" s="223">
        <v>54</v>
      </c>
      <c r="K43" s="223">
        <v>52</v>
      </c>
      <c r="L43" s="223">
        <v>49</v>
      </c>
      <c r="M43" s="223">
        <v>49</v>
      </c>
      <c r="N43" s="223">
        <v>49</v>
      </c>
      <c r="O43" s="223">
        <v>49</v>
      </c>
      <c r="P43" s="62">
        <v>45</v>
      </c>
      <c r="Q43" s="62">
        <v>43</v>
      </c>
      <c r="R43" s="62">
        <v>41</v>
      </c>
      <c r="S43" s="223">
        <v>37</v>
      </c>
      <c r="T43" s="62">
        <v>34</v>
      </c>
      <c r="U43" s="62">
        <v>34</v>
      </c>
      <c r="V43" s="62">
        <v>32</v>
      </c>
      <c r="W43" s="223">
        <v>29</v>
      </c>
      <c r="X43" s="62">
        <v>29</v>
      </c>
      <c r="Y43" s="62">
        <v>27</v>
      </c>
      <c r="Z43" s="62">
        <v>30</v>
      </c>
      <c r="AA43" s="223">
        <v>30</v>
      </c>
      <c r="AB43" s="62">
        <v>30</v>
      </c>
      <c r="AC43" s="62">
        <v>32</v>
      </c>
      <c r="AD43" s="62">
        <v>33</v>
      </c>
      <c r="AE43" s="223">
        <v>34</v>
      </c>
    </row>
    <row r="44" spans="2:31" ht="13.9" customHeight="1">
      <c r="B44" s="287" t="s">
        <v>143</v>
      </c>
      <c r="C44" s="288">
        <f t="shared" ref="C44:O44" si="20">SUM(C38:C43)</f>
        <v>11456</v>
      </c>
      <c r="D44" s="288">
        <f t="shared" si="20"/>
        <v>11422</v>
      </c>
      <c r="E44" s="288">
        <f t="shared" si="20"/>
        <v>11473</v>
      </c>
      <c r="F44" s="288">
        <f t="shared" si="20"/>
        <v>11188</v>
      </c>
      <c r="G44" s="288">
        <f t="shared" si="20"/>
        <v>10107</v>
      </c>
      <c r="H44" s="288">
        <f t="shared" si="20"/>
        <v>10157</v>
      </c>
      <c r="I44" s="288">
        <f t="shared" si="20"/>
        <v>10150</v>
      </c>
      <c r="J44" s="288">
        <f t="shared" si="20"/>
        <v>10256</v>
      </c>
      <c r="K44" s="288">
        <f t="shared" si="20"/>
        <v>9832</v>
      </c>
      <c r="L44" s="288">
        <f t="shared" si="20"/>
        <v>9751</v>
      </c>
      <c r="M44" s="288">
        <f t="shared" si="20"/>
        <v>9634</v>
      </c>
      <c r="N44" s="288">
        <f t="shared" si="20"/>
        <v>9235</v>
      </c>
      <c r="O44" s="288">
        <f t="shared" si="20"/>
        <v>9065</v>
      </c>
      <c r="P44" s="288">
        <f t="shared" ref="P44:V44" si="21">SUM(P38:P43)</f>
        <v>8722</v>
      </c>
      <c r="Q44" s="288">
        <f t="shared" si="21"/>
        <v>8983</v>
      </c>
      <c r="R44" s="288">
        <f t="shared" si="21"/>
        <v>8981</v>
      </c>
      <c r="S44" s="288">
        <f t="shared" si="21"/>
        <v>8254</v>
      </c>
      <c r="T44" s="288">
        <f t="shared" si="21"/>
        <v>8662</v>
      </c>
      <c r="U44" s="288">
        <f t="shared" si="21"/>
        <v>8704</v>
      </c>
      <c r="V44" s="288">
        <f t="shared" si="21"/>
        <v>8772</v>
      </c>
      <c r="W44" s="288">
        <f t="shared" ref="W44:X44" si="22">SUM(W38:W43)</f>
        <v>8001</v>
      </c>
      <c r="X44" s="288">
        <f t="shared" si="22"/>
        <v>9020</v>
      </c>
      <c r="Y44" s="288">
        <f t="shared" ref="Y44:AB44" si="23">SUM(Y38:Y43)</f>
        <v>8902</v>
      </c>
      <c r="Z44" s="288">
        <f t="shared" si="23"/>
        <v>8965</v>
      </c>
      <c r="AA44" s="288">
        <f t="shared" si="23"/>
        <v>8643</v>
      </c>
      <c r="AB44" s="288">
        <f t="shared" si="23"/>
        <v>8723</v>
      </c>
      <c r="AC44" s="288">
        <f t="shared" ref="AC44:AE44" si="24">SUM(AC38:AC43)</f>
        <v>8028</v>
      </c>
      <c r="AD44" s="288">
        <f t="shared" si="24"/>
        <v>7914</v>
      </c>
      <c r="AE44" s="288">
        <f t="shared" si="24"/>
        <v>8949</v>
      </c>
    </row>
    <row r="45" spans="2:31" ht="13.9" customHeight="1">
      <c r="B45" s="201" t="s">
        <v>144</v>
      </c>
      <c r="C45" s="284">
        <v>294</v>
      </c>
      <c r="D45" s="284">
        <f t="shared" ref="D45:L45" si="25">D26-D36-D44</f>
        <v>602</v>
      </c>
      <c r="E45" s="284">
        <f t="shared" si="25"/>
        <v>-987</v>
      </c>
      <c r="F45" s="284">
        <f t="shared" si="25"/>
        <v>-848</v>
      </c>
      <c r="G45" s="284">
        <f t="shared" si="25"/>
        <v>-932</v>
      </c>
      <c r="H45" s="284">
        <f t="shared" si="25"/>
        <v>-597</v>
      </c>
      <c r="I45" s="284">
        <f t="shared" si="25"/>
        <v>-338</v>
      </c>
      <c r="J45" s="284">
        <f t="shared" si="25"/>
        <v>-325</v>
      </c>
      <c r="K45" s="284">
        <f t="shared" si="25"/>
        <v>-150</v>
      </c>
      <c r="L45" s="284">
        <f t="shared" si="25"/>
        <v>288</v>
      </c>
      <c r="M45" s="284">
        <f t="shared" ref="M45:V45" si="26">M26-M36-M44</f>
        <v>591</v>
      </c>
      <c r="N45" s="284">
        <f t="shared" si="26"/>
        <v>891</v>
      </c>
      <c r="O45" s="284">
        <f t="shared" si="26"/>
        <v>1096</v>
      </c>
      <c r="P45" s="284">
        <f t="shared" si="26"/>
        <v>1420</v>
      </c>
      <c r="Q45" s="284">
        <f t="shared" si="26"/>
        <v>1485</v>
      </c>
      <c r="R45" s="284">
        <f t="shared" si="26"/>
        <v>1513</v>
      </c>
      <c r="S45" s="284">
        <f t="shared" si="26"/>
        <v>1624</v>
      </c>
      <c r="T45" s="284">
        <f t="shared" si="26"/>
        <v>1941</v>
      </c>
      <c r="U45" s="284">
        <f t="shared" si="26"/>
        <v>2035</v>
      </c>
      <c r="V45" s="284">
        <f t="shared" si="26"/>
        <v>1942</v>
      </c>
      <c r="W45" s="284">
        <f t="shared" ref="W45:X45" si="27">W26-W36-W44</f>
        <v>2197</v>
      </c>
      <c r="X45" s="284">
        <f t="shared" si="27"/>
        <v>2499</v>
      </c>
      <c r="Y45" s="284">
        <f t="shared" ref="Y45:AB45" si="28">Y26-Y36-Y44</f>
        <v>2419</v>
      </c>
      <c r="Z45" s="284">
        <f t="shared" si="28"/>
        <v>2296</v>
      </c>
      <c r="AA45" s="284">
        <f t="shared" si="28"/>
        <v>2504</v>
      </c>
      <c r="AB45" s="284">
        <f t="shared" si="28"/>
        <v>2807</v>
      </c>
      <c r="AC45" s="284">
        <f t="shared" ref="AC45:AE45" si="29">AC26-AC36-AC44</f>
        <v>2844</v>
      </c>
      <c r="AD45" s="284">
        <f t="shared" si="29"/>
        <v>2709</v>
      </c>
      <c r="AE45" s="284">
        <f t="shared" si="29"/>
        <v>2955</v>
      </c>
    </row>
    <row r="46" spans="2:31" ht="13.9" customHeight="1">
      <c r="C46" s="224"/>
      <c r="D46" s="226"/>
      <c r="E46" s="226"/>
      <c r="F46" s="226"/>
      <c r="G46" s="224"/>
      <c r="H46" s="226"/>
      <c r="I46" s="226"/>
      <c r="J46" s="226"/>
      <c r="K46" s="224"/>
      <c r="L46" s="226"/>
      <c r="M46" s="226"/>
      <c r="N46" s="226"/>
      <c r="O46" s="224"/>
      <c r="S46" s="224"/>
      <c r="W46" s="224"/>
      <c r="AA46" s="224"/>
      <c r="AE46" s="224"/>
    </row>
    <row r="47" spans="2:31" ht="13.9" customHeight="1">
      <c r="B47" s="12" t="s">
        <v>176</v>
      </c>
      <c r="C47" s="210">
        <f t="shared" ref="C47:L47" si="30">C28+C38</f>
        <v>11179</v>
      </c>
      <c r="D47" s="210">
        <f t="shared" si="30"/>
        <v>11156</v>
      </c>
      <c r="E47" s="210">
        <f t="shared" si="30"/>
        <v>11334</v>
      </c>
      <c r="F47" s="210">
        <f t="shared" si="30"/>
        <v>10519</v>
      </c>
      <c r="G47" s="210">
        <f t="shared" si="30"/>
        <v>9558</v>
      </c>
      <c r="H47" s="210">
        <f t="shared" si="30"/>
        <v>9537</v>
      </c>
      <c r="I47" s="210">
        <f t="shared" si="30"/>
        <v>9472</v>
      </c>
      <c r="J47" s="210">
        <f t="shared" si="30"/>
        <v>9464</v>
      </c>
      <c r="K47" s="210">
        <f t="shared" si="30"/>
        <v>8400</v>
      </c>
      <c r="L47" s="210">
        <f t="shared" si="30"/>
        <v>8396</v>
      </c>
      <c r="M47" s="210">
        <f t="shared" ref="M47:V47" si="31">M28+M38</f>
        <v>8312</v>
      </c>
      <c r="N47" s="210">
        <f t="shared" si="31"/>
        <v>8024</v>
      </c>
      <c r="O47" s="210">
        <f t="shared" si="31"/>
        <v>8062</v>
      </c>
      <c r="P47" s="59">
        <f t="shared" si="31"/>
        <v>7723</v>
      </c>
      <c r="Q47" s="59">
        <f t="shared" si="31"/>
        <v>8014</v>
      </c>
      <c r="R47" s="59">
        <f t="shared" si="31"/>
        <v>8038</v>
      </c>
      <c r="S47" s="210">
        <f t="shared" si="31"/>
        <v>7273</v>
      </c>
      <c r="T47" s="59">
        <f t="shared" si="31"/>
        <v>7712</v>
      </c>
      <c r="U47" s="59">
        <f t="shared" si="31"/>
        <v>7691</v>
      </c>
      <c r="V47" s="59">
        <f t="shared" si="31"/>
        <v>7708</v>
      </c>
      <c r="W47" s="210">
        <f t="shared" ref="W47:X47" si="32">W28+W38</f>
        <v>6963</v>
      </c>
      <c r="X47" s="59">
        <f t="shared" si="32"/>
        <v>8059</v>
      </c>
      <c r="Y47" s="59">
        <f t="shared" ref="Y47:AB47" si="33">Y28+Y38</f>
        <v>7884</v>
      </c>
      <c r="Z47" s="59">
        <f t="shared" si="33"/>
        <v>7921</v>
      </c>
      <c r="AA47" s="210">
        <f t="shared" si="33"/>
        <v>7646</v>
      </c>
      <c r="AB47" s="59">
        <f t="shared" si="33"/>
        <v>7662</v>
      </c>
      <c r="AC47" s="59">
        <f t="shared" ref="AC47:AE47" si="34">AC28+AC38</f>
        <v>7497</v>
      </c>
      <c r="AD47" s="59">
        <f t="shared" si="34"/>
        <v>7534</v>
      </c>
      <c r="AE47" s="223">
        <f t="shared" si="34"/>
        <v>7810</v>
      </c>
    </row>
    <row r="48" spans="2:31" ht="13.9" customHeight="1">
      <c r="B48" s="12" t="s">
        <v>175</v>
      </c>
      <c r="C48" s="210">
        <f t="shared" ref="C48:L48" si="35">C9+C10</f>
        <v>2294</v>
      </c>
      <c r="D48" s="210">
        <f t="shared" si="35"/>
        <v>2612</v>
      </c>
      <c r="E48" s="210">
        <f t="shared" si="35"/>
        <v>2915</v>
      </c>
      <c r="F48" s="210">
        <f t="shared" si="35"/>
        <v>2389</v>
      </c>
      <c r="G48" s="210">
        <f t="shared" si="35"/>
        <v>1595</v>
      </c>
      <c r="H48" s="210">
        <f t="shared" si="35"/>
        <v>2041</v>
      </c>
      <c r="I48" s="210">
        <f t="shared" si="35"/>
        <v>1929</v>
      </c>
      <c r="J48" s="210">
        <f t="shared" si="35"/>
        <v>2203</v>
      </c>
      <c r="K48" s="210">
        <f t="shared" si="35"/>
        <v>1564</v>
      </c>
      <c r="L48" s="210">
        <f t="shared" si="35"/>
        <v>1787</v>
      </c>
      <c r="M48" s="210">
        <f t="shared" ref="M48:V48" si="36">M9+M10</f>
        <v>1646</v>
      </c>
      <c r="N48" s="210">
        <f t="shared" si="36"/>
        <v>1790</v>
      </c>
      <c r="O48" s="210">
        <f t="shared" si="36"/>
        <v>1927</v>
      </c>
      <c r="P48" s="59">
        <f t="shared" si="36"/>
        <v>2091</v>
      </c>
      <c r="Q48" s="59">
        <f t="shared" si="36"/>
        <v>2377</v>
      </c>
      <c r="R48" s="59">
        <f t="shared" si="36"/>
        <v>2397</v>
      </c>
      <c r="S48" s="210">
        <f t="shared" si="36"/>
        <v>1651</v>
      </c>
      <c r="T48" s="59">
        <f t="shared" si="36"/>
        <v>2411</v>
      </c>
      <c r="U48" s="59">
        <f t="shared" si="36"/>
        <v>2276</v>
      </c>
      <c r="V48" s="59">
        <f t="shared" si="36"/>
        <v>2694</v>
      </c>
      <c r="W48" s="210">
        <f t="shared" ref="W48:X48" si="37">W9+W10</f>
        <v>1768</v>
      </c>
      <c r="X48" s="59">
        <f t="shared" si="37"/>
        <v>3340</v>
      </c>
      <c r="Y48" s="59">
        <f t="shared" ref="Y48:AB48" si="38">Y9+Y10</f>
        <v>2864</v>
      </c>
      <c r="Z48" s="59">
        <f t="shared" si="38"/>
        <v>3196</v>
      </c>
      <c r="AA48" s="210">
        <f t="shared" si="38"/>
        <v>2701</v>
      </c>
      <c r="AB48" s="59">
        <f t="shared" si="38"/>
        <v>2974</v>
      </c>
      <c r="AC48" s="59">
        <f t="shared" ref="AC48:AE48" si="39">AC9+AC10</f>
        <v>2581</v>
      </c>
      <c r="AD48" s="59">
        <f t="shared" si="39"/>
        <v>2886</v>
      </c>
      <c r="AE48" s="223">
        <f t="shared" si="39"/>
        <v>2830</v>
      </c>
    </row>
    <row r="49" spans="2:32" ht="13.9" customHeight="1">
      <c r="B49" s="12" t="s">
        <v>11</v>
      </c>
      <c r="C49" s="210">
        <f>C47-C9-C10</f>
        <v>8885</v>
      </c>
      <c r="D49" s="210">
        <f>D47-D48</f>
        <v>8544</v>
      </c>
      <c r="E49" s="210">
        <f>E47-E48</f>
        <v>8419</v>
      </c>
      <c r="F49" s="210">
        <f>F47-F48</f>
        <v>8130</v>
      </c>
      <c r="G49" s="210">
        <f>G47-G9-G10</f>
        <v>7963</v>
      </c>
      <c r="H49" s="210">
        <f t="shared" ref="H49:O49" si="40">H47-H48</f>
        <v>7496</v>
      </c>
      <c r="I49" s="210">
        <f t="shared" si="40"/>
        <v>7543</v>
      </c>
      <c r="J49" s="210">
        <f t="shared" si="40"/>
        <v>7261</v>
      </c>
      <c r="K49" s="210">
        <f t="shared" si="40"/>
        <v>6836</v>
      </c>
      <c r="L49" s="210">
        <f t="shared" si="40"/>
        <v>6609</v>
      </c>
      <c r="M49" s="210">
        <f t="shared" si="40"/>
        <v>6666</v>
      </c>
      <c r="N49" s="210">
        <f t="shared" si="40"/>
        <v>6234</v>
      </c>
      <c r="O49" s="210">
        <f t="shared" si="40"/>
        <v>6135</v>
      </c>
      <c r="P49" s="59">
        <f t="shared" ref="P49:V49" si="41">P47-P48</f>
        <v>5632</v>
      </c>
      <c r="Q49" s="59">
        <f t="shared" si="41"/>
        <v>5637</v>
      </c>
      <c r="R49" s="59">
        <f t="shared" si="41"/>
        <v>5641</v>
      </c>
      <c r="S49" s="210">
        <f t="shared" si="41"/>
        <v>5622</v>
      </c>
      <c r="T49" s="59">
        <f t="shared" si="41"/>
        <v>5301</v>
      </c>
      <c r="U49" s="59">
        <f t="shared" si="41"/>
        <v>5415</v>
      </c>
      <c r="V49" s="59">
        <f t="shared" si="41"/>
        <v>5014</v>
      </c>
      <c r="W49" s="210">
        <f t="shared" ref="W49:X49" si="42">W47-W48</f>
        <v>5195</v>
      </c>
      <c r="X49" s="59">
        <f t="shared" si="42"/>
        <v>4719</v>
      </c>
      <c r="Y49" s="59">
        <f t="shared" ref="Y49:AB49" si="43">Y47-Y48</f>
        <v>5020</v>
      </c>
      <c r="Z49" s="59">
        <f t="shared" si="43"/>
        <v>4725</v>
      </c>
      <c r="AA49" s="210">
        <f t="shared" si="43"/>
        <v>4945</v>
      </c>
      <c r="AB49" s="59">
        <f t="shared" si="43"/>
        <v>4688</v>
      </c>
      <c r="AC49" s="59">
        <f t="shared" ref="AC49:AE49" si="44">AC47-AC48</f>
        <v>4916</v>
      </c>
      <c r="AD49" s="59">
        <f t="shared" si="44"/>
        <v>4648</v>
      </c>
      <c r="AE49" s="223">
        <f t="shared" si="44"/>
        <v>4980</v>
      </c>
      <c r="AF49" s="97"/>
    </row>
    <row r="50" spans="2:32" ht="13.9" customHeight="1">
      <c r="B50" s="92" t="s">
        <v>401</v>
      </c>
      <c r="C50" s="225">
        <v>2.5</v>
      </c>
      <c r="D50" s="225"/>
      <c r="E50" s="225"/>
      <c r="F50" s="225"/>
      <c r="G50" s="225">
        <v>2.4</v>
      </c>
      <c r="H50" s="225">
        <v>2.2999999999999998</v>
      </c>
      <c r="I50" s="225">
        <v>2.2999999999999998</v>
      </c>
      <c r="J50" s="225">
        <v>2.2000000000000002</v>
      </c>
      <c r="K50" s="225">
        <f>K49/('Group-Adj #s'!P14-'Group CF'!N26)</f>
        <v>2.091799265605875</v>
      </c>
      <c r="L50" s="225">
        <f>L49/('Group-Adj #s'!Q14+'Group-Adj #s'!O14+'Group-Adj #s'!M14+'Group-Adj #s'!L14-'Group CF'!O26-'Group CF'!M26-'Group CF'!L26-'Group CF'!K26)</f>
        <v>2.0088145896656533</v>
      </c>
      <c r="M50" s="225">
        <f>M49/('Group-Adj #s'!R14+'Group-Adj #s'!Q14+'Group-Adj #s'!O14+'Group-Adj #s'!M14-'Group CF'!P26-'Group CF'!O26-'Group CF'!M26-'Group CF'!L26)</f>
        <v>2.0341776014647546</v>
      </c>
      <c r="N50" s="225">
        <f>N49/('Group-Adj #s'!T14+'Group-Adj #s'!R14+'Group-Adj #s'!Q14+'Group-Adj #s'!O14-'Group CF'!Q26-'Group CF'!P26-'Group CF'!O26-'Group CF'!M26)</f>
        <v>1.8833836858006043</v>
      </c>
      <c r="O50" s="225">
        <f>O49/('Group-Adj #s'!W14-'Group CF'!S26)</f>
        <v>1.8467790487658038</v>
      </c>
      <c r="P50" s="93">
        <f>P49/('Group-Adj #s'!X14+'Group-Adj #s'!V14+'Group-Adj #s'!T14+'Group-Adj #s'!R14-'Group CF'!T26-'Group CF'!R26-'Group CF'!Q26-'Group CF'!P26)</f>
        <v>1.6796898300029823</v>
      </c>
      <c r="Q50" s="93">
        <f>Q49/('Group-Adj #s'!Y14+'Group-Adj #s'!X14+'Group-Adj #s'!V14+'Group-Adj #s'!T14-'Group CF'!U26-'Group CF'!T26-'Group CF'!R26-'Group CF'!Q26)</f>
        <v>1.6912691269126914</v>
      </c>
      <c r="R50" s="93">
        <f>R49/('Group-Adj #s'!Z14+'Group-Adj #s'!Y14+'Group-Adj #s'!X14+'Group-Adj #s'!V14-'Group CF'!V26-'Group CF'!U26-'Group CF'!T26-'Group CF'!R26)</f>
        <v>1.6924692469246925</v>
      </c>
      <c r="S50" s="225">
        <f>S49/('Group-Adj #s'!AB14-'Group CF'!X26)</f>
        <v>1.695416164053076</v>
      </c>
      <c r="T50" s="93">
        <f>T49/('Group-Adj #s'!AC14+'Group-Adj #s'!AA14+'Group-Adj #s'!Z14+'Group-Adj #s'!Y14-'Group CF'!Y26-'Group CF'!W26-'Group CF'!V26-'Group CF'!U26)</f>
        <v>1.6161585365853659</v>
      </c>
      <c r="U50" s="93">
        <f>U49/('Group-Adj #s'!AD14+'Group-Adj #s'!AC14+'Group-Adj #s'!AA14+'Group-Adj #s'!Z14-'Group CF'!Z26-'Group CF'!Y26-'Group CF'!W26-'Group CF'!V26)</f>
        <v>1.6227150134851662</v>
      </c>
      <c r="V50" s="93">
        <f>W50</f>
        <v>1.5586558655865586</v>
      </c>
      <c r="W50" s="225">
        <f>W49/('Group-Adj #s'!AG14-'Group CF'!AC26)</f>
        <v>1.5586558655865586</v>
      </c>
      <c r="X50" s="93">
        <f>X49/('Group-Adj #s'!AD14+'Group-Adj #s'!AE14+'Group-Adj #s'!AF14+'Group-Adj #s'!AH14-'Group CF'!Z26-'Group CF'!AA26-'Group CF'!AB26-'Group CF'!AD26)</f>
        <v>1.4243887715061878</v>
      </c>
      <c r="Y50" s="93">
        <f>Y49/('Group P&amp;L'!AA31+'Group P&amp;L'!AB31+'Group P&amp;L'!AD31+'Group P&amp;L'!AE31-'Group CF'!AA26-'Group CF'!AB26-'Group CF'!AD26-'Group CF'!AE26)</f>
        <v>1.5541795665634675</v>
      </c>
      <c r="Z50" s="93">
        <f>Z49/('Group P&amp;L'!AB31+'Group P&amp;L'!AD31+'Group P&amp;L'!AE31+'Group P&amp;L'!AF31-'Group CF'!AB26-'Group CF'!AD26-'Group CF'!AE26-'Group CF'!AF26)</f>
        <v>1.4924194567277322</v>
      </c>
      <c r="AA50" s="386">
        <f>AA49/('Group-Adj #s'!AL14-'Group CF'!AH26)</f>
        <v>1.5136210590756045</v>
      </c>
      <c r="AB50" s="93">
        <f>AB49/('Group-Adj #s'!AM14+'Group-Adj #s'!AK14+'Group-Adj #s'!AJ14+'Group-Adj #s'!AI14-'Group CF'!AI26-'Group CF'!AG26-'Group CF'!AF26-'Group CF'!AE26)</f>
        <v>1.4482545566882916</v>
      </c>
      <c r="AC50" s="93">
        <f>AC49/('Group-Adj #s'!AJ14+'Group-Adj #s'!AK14+'Group-Adj #s'!AM14+'Group-Adj #s'!AN14-'Group CF'!AJ26-'Group CF'!AI26-'Group CF'!AG26-'Group CF'!AF26)</f>
        <v>1.4718562874251497</v>
      </c>
      <c r="AD50" s="93">
        <f>AE50</f>
        <v>1.4171883892999431</v>
      </c>
      <c r="AE50" s="394">
        <f>AE49/('Group-Adj #s'!AS14-'Group CF'!AO26)</f>
        <v>1.4171883892999431</v>
      </c>
    </row>
    <row r="51" spans="2:32" ht="3.4" customHeight="1">
      <c r="B51" s="172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</row>
    <row r="53" spans="2:32">
      <c r="Q53" s="97"/>
    </row>
  </sheetData>
  <pageMargins left="0.39370078740157483" right="0.39370078740157483" top="0.11811023622047245" bottom="0.11811023622047245" header="0.11811023622047245" footer="3.937007874015748E-2"/>
  <pageSetup paperSize="9" scale="75" orientation="landscape" r:id="rId1"/>
  <headerFooter>
    <oddHeader>&amp;CBezeq - The Israeli Telecommunications Corp.,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679F-528B-490E-B7F7-F1D22428AC39}">
  <sheetPr>
    <tabColor theme="3" tint="-0.49992370372631001"/>
  </sheetPr>
  <dimension ref="B1:AS62"/>
  <sheetViews>
    <sheetView showGridLines="0" tabSelected="1" zoomScale="80" zoomScaleNormal="80" workbookViewId="0">
      <pane xSplit="2" ySplit="6" topLeftCell="C50" activePane="bottomRight" state="frozen"/>
      <selection activeCell="AI81" sqref="AI81"/>
      <selection pane="topRight" activeCell="AI81" sqref="AI81"/>
      <selection pane="bottomLeft" activeCell="AI81" sqref="AI81"/>
      <selection pane="bottomRight" activeCell="AI81" sqref="AI81"/>
    </sheetView>
  </sheetViews>
  <sheetFormatPr defaultColWidth="9.28515625" defaultRowHeight="12.75"/>
  <cols>
    <col min="1" max="1" width="1.7109375" customWidth="1"/>
    <col min="2" max="2" width="52.7109375" customWidth="1"/>
    <col min="3" max="4" width="9.28515625" customWidth="1"/>
    <col min="5" max="9" width="9.28515625" hidden="1" customWidth="1"/>
    <col min="10" max="10" width="9.28515625" customWidth="1"/>
    <col min="11" max="15" width="9.28515625" hidden="1" customWidth="1"/>
    <col min="16" max="16" width="9.28515625" customWidth="1"/>
    <col min="17" max="18" width="0" hidden="1" customWidth="1"/>
    <col min="19" max="19" width="9.28515625" hidden="1" customWidth="1"/>
    <col min="20" max="20" width="0" hidden="1" customWidth="1"/>
    <col min="21" max="21" width="9.28515625" hidden="1" customWidth="1"/>
    <col min="22" max="22" width="0" hidden="1" customWidth="1"/>
    <col min="23" max="23" width="9.28515625" customWidth="1"/>
    <col min="24" max="27" width="9.28515625" hidden="1" customWidth="1"/>
    <col min="28" max="28" width="9.28515625" customWidth="1"/>
    <col min="29" max="31" width="9.28515625" hidden="1" customWidth="1"/>
    <col min="32" max="32" width="0" hidden="1" customWidth="1"/>
    <col min="33" max="33" width="10.42578125" bestFit="1" customWidth="1"/>
    <col min="36" max="36" width="10.42578125" bestFit="1" customWidth="1"/>
    <col min="38" max="38" width="9.7109375" bestFit="1" customWidth="1"/>
    <col min="41" max="41" width="0" hidden="1" customWidth="1"/>
    <col min="43" max="43" width="0" hidden="1" customWidth="1"/>
    <col min="45" max="45" width="9.7109375" bestFit="1" customWidth="1"/>
  </cols>
  <sheetData>
    <row r="1" spans="2:45" ht="13.9" customHeight="1">
      <c r="B1" s="6"/>
    </row>
    <row r="2" spans="2:45" ht="13.9" customHeight="1">
      <c r="B2" s="6"/>
    </row>
    <row r="3" spans="2:45" ht="13.9" customHeight="1">
      <c r="B3" s="7"/>
      <c r="C3" s="7" t="s">
        <v>4</v>
      </c>
      <c r="D3" s="7" t="s">
        <v>4</v>
      </c>
      <c r="E3" s="7" t="s">
        <v>49</v>
      </c>
      <c r="F3" s="7" t="s">
        <v>0</v>
      </c>
      <c r="G3" s="7" t="s">
        <v>1</v>
      </c>
      <c r="H3" s="7" t="s">
        <v>312</v>
      </c>
      <c r="I3" s="7" t="s">
        <v>2</v>
      </c>
      <c r="J3" s="7" t="s">
        <v>4</v>
      </c>
      <c r="K3" s="7" t="s">
        <v>49</v>
      </c>
      <c r="L3" s="7" t="s">
        <v>0</v>
      </c>
      <c r="M3" s="7" t="s">
        <v>1</v>
      </c>
      <c r="N3" s="7" t="s">
        <v>312</v>
      </c>
      <c r="O3" s="7" t="s">
        <v>2</v>
      </c>
      <c r="P3" s="7" t="s">
        <v>4</v>
      </c>
      <c r="Q3" s="7" t="s">
        <v>49</v>
      </c>
      <c r="R3" s="7" t="s">
        <v>0</v>
      </c>
      <c r="S3" s="7" t="s">
        <v>342</v>
      </c>
      <c r="T3" s="7" t="s">
        <v>1</v>
      </c>
      <c r="U3" s="7" t="s">
        <v>312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342</v>
      </c>
      <c r="AP3" s="7" t="s">
        <v>1</v>
      </c>
      <c r="AQ3" s="7" t="s">
        <v>312</v>
      </c>
      <c r="AR3" s="7" t="s">
        <v>2</v>
      </c>
      <c r="AS3" s="7" t="s">
        <v>4</v>
      </c>
    </row>
    <row r="4" spans="2:45" ht="13.9" customHeight="1">
      <c r="B4" s="15" t="s">
        <v>458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2019</v>
      </c>
      <c r="K4" s="7">
        <v>2020</v>
      </c>
      <c r="L4" s="7">
        <v>2020</v>
      </c>
      <c r="M4" s="7">
        <v>2020</v>
      </c>
      <c r="N4" s="7">
        <v>2020</v>
      </c>
      <c r="O4" s="7">
        <v>2020</v>
      </c>
      <c r="P4" s="7">
        <v>2020</v>
      </c>
      <c r="Q4" s="7">
        <v>2021</v>
      </c>
      <c r="R4" s="7">
        <v>2021</v>
      </c>
      <c r="S4" s="7">
        <v>2021</v>
      </c>
      <c r="T4" s="7">
        <v>2021</v>
      </c>
      <c r="U4" s="7">
        <v>2021</v>
      </c>
      <c r="V4" s="7">
        <v>2021</v>
      </c>
      <c r="W4" s="7">
        <v>2021</v>
      </c>
      <c r="X4" s="7">
        <v>2022</v>
      </c>
      <c r="Y4" s="7">
        <v>2022</v>
      </c>
      <c r="Z4" s="7">
        <v>2022</v>
      </c>
      <c r="AA4" s="7">
        <v>2022</v>
      </c>
      <c r="AB4" s="7">
        <v>2022</v>
      </c>
      <c r="AC4" s="7">
        <v>2023</v>
      </c>
      <c r="AD4" s="7">
        <v>2023</v>
      </c>
      <c r="AE4" s="7">
        <v>2023</v>
      </c>
      <c r="AF4" s="7">
        <v>2023</v>
      </c>
      <c r="AG4" s="7">
        <v>2023</v>
      </c>
      <c r="AH4" s="7">
        <v>2024</v>
      </c>
      <c r="AI4" s="7">
        <v>2024</v>
      </c>
      <c r="AJ4" s="7">
        <v>2024</v>
      </c>
      <c r="AK4" s="7">
        <v>2024</v>
      </c>
      <c r="AL4" s="7">
        <v>2024</v>
      </c>
      <c r="AM4" s="7">
        <v>2025</v>
      </c>
      <c r="AN4" s="7">
        <v>2025</v>
      </c>
      <c r="AO4" s="7">
        <v>2025</v>
      </c>
      <c r="AP4" s="7">
        <v>2025</v>
      </c>
      <c r="AQ4" s="7">
        <v>2025</v>
      </c>
      <c r="AR4" s="7">
        <v>2025</v>
      </c>
      <c r="AS4" s="7">
        <v>2025</v>
      </c>
    </row>
    <row r="5" spans="2:45" ht="4.1500000000000004" customHeight="1">
      <c r="B5" s="373" t="str">
        <f t="shared" ref="B5:C5" si="0">B3&amp;"/"&amp;B4</f>
        <v>/(NIS millions)</v>
      </c>
      <c r="C5" s="373" t="str">
        <f t="shared" si="0"/>
        <v>FY/2017</v>
      </c>
      <c r="D5" s="373" t="str">
        <f t="shared" ref="D5" si="1">D3&amp;"/"&amp;D4</f>
        <v>FY/2018</v>
      </c>
      <c r="E5" s="373" t="str">
        <f t="shared" ref="E5" si="2">E3&amp;"/"&amp;E4</f>
        <v>Q1/2019</v>
      </c>
      <c r="F5" s="373" t="str">
        <f t="shared" ref="F5" si="3">F3&amp;"/"&amp;F4</f>
        <v>Q2/2019</v>
      </c>
      <c r="G5" s="373" t="str">
        <f t="shared" ref="G5" si="4">G3&amp;"/"&amp;G4</f>
        <v>Q3/2019</v>
      </c>
      <c r="H5" s="373" t="str">
        <f t="shared" ref="H5" si="5">H3&amp;"/"&amp;H4</f>
        <v>9M/2019</v>
      </c>
      <c r="I5" s="373" t="str">
        <f t="shared" ref="I5" si="6">I3&amp;"/"&amp;I4</f>
        <v>Q4/2019</v>
      </c>
      <c r="J5" s="373" t="str">
        <f t="shared" ref="J5" si="7">J3&amp;"/"&amp;J4</f>
        <v>FY/2019</v>
      </c>
      <c r="K5" s="373" t="str">
        <f t="shared" ref="K5" si="8">K3&amp;"/"&amp;K4</f>
        <v>Q1/2020</v>
      </c>
      <c r="L5" s="373" t="str">
        <f t="shared" ref="L5" si="9">L3&amp;"/"&amp;L4</f>
        <v>Q2/2020</v>
      </c>
      <c r="M5" s="373" t="str">
        <f t="shared" ref="M5" si="10">M3&amp;"/"&amp;M4</f>
        <v>Q3/2020</v>
      </c>
      <c r="N5" s="373" t="str">
        <f t="shared" ref="N5" si="11">N3&amp;"/"&amp;N4</f>
        <v>9M/2020</v>
      </c>
      <c r="O5" s="373" t="str">
        <f t="shared" ref="O5" si="12">O3&amp;"/"&amp;O4</f>
        <v>Q4/2020</v>
      </c>
      <c r="P5" s="373" t="str">
        <f t="shared" ref="P5" si="13">P3&amp;"/"&amp;P4</f>
        <v>FY/2020</v>
      </c>
      <c r="Q5" s="373" t="str">
        <f t="shared" ref="Q5" si="14">Q3&amp;"/"&amp;Q4</f>
        <v>Q1/2021</v>
      </c>
      <c r="R5" s="373" t="str">
        <f t="shared" ref="R5" si="15">R3&amp;"/"&amp;R4</f>
        <v>Q2/2021</v>
      </c>
      <c r="S5" s="373" t="str">
        <f t="shared" ref="S5" si="16">S3&amp;"/"&amp;S4</f>
        <v>6M/2021</v>
      </c>
      <c r="T5" s="373" t="str">
        <f t="shared" ref="T5" si="17">T3&amp;"/"&amp;T4</f>
        <v>Q3/2021</v>
      </c>
      <c r="U5" s="373" t="str">
        <f t="shared" ref="U5" si="18">U3&amp;"/"&amp;U4</f>
        <v>9M/2021</v>
      </c>
      <c r="V5" s="373" t="str">
        <f t="shared" ref="V5" si="19">V3&amp;"/"&amp;V4</f>
        <v>Q4/2021</v>
      </c>
      <c r="W5" s="373" t="str">
        <f t="shared" ref="W5" si="20">W3&amp;"/"&amp;W4</f>
        <v>FY/2021</v>
      </c>
      <c r="X5" s="373" t="str">
        <f t="shared" ref="X5" si="21">X3&amp;"/"&amp;X4</f>
        <v>Q1/2022</v>
      </c>
      <c r="Y5" s="373" t="str">
        <f t="shared" ref="Y5" si="22">Y3&amp;"/"&amp;Y4</f>
        <v>Q2/2022</v>
      </c>
      <c r="Z5" s="373" t="str">
        <f t="shared" ref="Z5" si="23">Z3&amp;"/"&amp;Z4</f>
        <v>Q3/2022</v>
      </c>
      <c r="AA5" s="373" t="str">
        <f t="shared" ref="AA5" si="24">AA3&amp;"/"&amp;AA4</f>
        <v>Q4/2022</v>
      </c>
      <c r="AB5" s="373" t="str">
        <f t="shared" ref="AB5" si="25">AB3&amp;"/"&amp;AB4</f>
        <v>FY/2022</v>
      </c>
      <c r="AC5" s="373" t="str">
        <f t="shared" ref="AC5" si="26">AC3&amp;"/"&amp;AC4</f>
        <v>Q1/2023</v>
      </c>
      <c r="AD5" s="373" t="str">
        <f t="shared" ref="AD5" si="27">AD3&amp;"/"&amp;AD4</f>
        <v>Q2/2023</v>
      </c>
      <c r="AE5" s="373" t="str">
        <f t="shared" ref="AE5" si="28">AE3&amp;"/"&amp;AE4</f>
        <v>Q3/2023</v>
      </c>
      <c r="AF5" s="373" t="str">
        <f t="shared" ref="AF5" si="29">AF3&amp;"/"&amp;AF4</f>
        <v>Q4/2023</v>
      </c>
      <c r="AG5" s="373" t="str">
        <f t="shared" ref="AG5" si="30">AG3&amp;"/"&amp;AG4</f>
        <v>FY/2023</v>
      </c>
      <c r="AH5" s="373" t="str">
        <f t="shared" ref="AH5" si="31">AH3&amp;"/"&amp;AH4</f>
        <v>Q1/2024</v>
      </c>
      <c r="AI5" s="373" t="str">
        <f t="shared" ref="AI5" si="32">AI3&amp;"/"&amp;AI4</f>
        <v>Q2/2024</v>
      </c>
      <c r="AJ5" s="373" t="str">
        <f t="shared" ref="AJ5" si="33">AJ3&amp;"/"&amp;AJ4</f>
        <v>Q3/2024</v>
      </c>
      <c r="AK5" s="373" t="str">
        <f t="shared" ref="AK5" si="34">AK3&amp;"/"&amp;AK4</f>
        <v>Q4/2024</v>
      </c>
      <c r="AL5" s="373" t="str">
        <f t="shared" ref="AL5:AR5" si="35">AL3&amp;"/"&amp;AL4</f>
        <v>FY/2024</v>
      </c>
      <c r="AM5" s="373" t="str">
        <f t="shared" si="35"/>
        <v>Q1/2025</v>
      </c>
      <c r="AN5" s="373" t="str">
        <f t="shared" si="35"/>
        <v>Q2/2025</v>
      </c>
      <c r="AO5" s="373" t="str">
        <f t="shared" si="35"/>
        <v>6M/2025</v>
      </c>
      <c r="AP5" s="373" t="str">
        <f t="shared" si="35"/>
        <v>Q3/2025</v>
      </c>
      <c r="AQ5" s="373" t="str">
        <f t="shared" si="35"/>
        <v>9M/2025</v>
      </c>
      <c r="AR5" s="373" t="str">
        <f t="shared" si="35"/>
        <v>Q4/2025</v>
      </c>
      <c r="AS5" s="373" t="str">
        <f t="shared" ref="AS5" si="36">AS3&amp;"/"&amp;AS4</f>
        <v>FY/2025</v>
      </c>
    </row>
    <row r="6" spans="2:45" ht="25.35" customHeight="1">
      <c r="B6" s="177" t="s">
        <v>211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</row>
    <row r="7" spans="2:45" ht="13.9" customHeight="1">
      <c r="B7" s="289" t="s">
        <v>230</v>
      </c>
      <c r="C7" s="122"/>
      <c r="D7" s="122"/>
      <c r="E7" s="290"/>
      <c r="F7" s="290"/>
      <c r="G7" s="290"/>
      <c r="H7" s="290"/>
      <c r="I7" s="290"/>
      <c r="J7" s="122"/>
      <c r="K7" s="290"/>
      <c r="L7" s="290"/>
      <c r="M7" s="290"/>
      <c r="N7" s="290"/>
      <c r="O7" s="290"/>
      <c r="P7" s="122"/>
      <c r="Q7" s="290"/>
      <c r="R7" s="290"/>
      <c r="S7" s="283"/>
      <c r="T7" s="290"/>
      <c r="U7" s="283"/>
      <c r="V7" s="290"/>
      <c r="W7" s="122"/>
      <c r="X7" s="290"/>
      <c r="Y7" s="290"/>
      <c r="Z7" s="290"/>
      <c r="AA7" s="290"/>
      <c r="AB7" s="122"/>
      <c r="AC7" s="290"/>
      <c r="AD7" s="290"/>
      <c r="AE7" s="290"/>
      <c r="AF7" s="290"/>
      <c r="AG7" s="122"/>
      <c r="AH7" s="290"/>
      <c r="AI7" s="290"/>
      <c r="AJ7" s="290"/>
      <c r="AK7" s="290"/>
      <c r="AL7" s="122"/>
      <c r="AM7" s="290"/>
      <c r="AN7" s="290"/>
      <c r="AO7" s="283"/>
      <c r="AP7" s="290"/>
      <c r="AQ7" s="283"/>
      <c r="AR7" s="290"/>
      <c r="AS7" s="122"/>
    </row>
    <row r="8" spans="2:45" ht="13.9" customHeight="1"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7"/>
      <c r="P8" s="223"/>
      <c r="Q8" s="223"/>
      <c r="R8" s="223"/>
      <c r="S8" s="223"/>
      <c r="T8" s="226"/>
      <c r="U8" s="226"/>
      <c r="V8" s="227"/>
      <c r="W8" s="223"/>
      <c r="X8" s="62"/>
      <c r="Y8" s="62"/>
      <c r="AA8" s="100"/>
      <c r="AB8" s="223"/>
      <c r="AC8" s="62"/>
      <c r="AD8" s="62"/>
      <c r="AF8" s="100"/>
      <c r="AG8" s="223"/>
      <c r="AH8" s="62"/>
      <c r="AI8" s="62"/>
      <c r="AK8" s="100"/>
      <c r="AL8" s="223"/>
      <c r="AM8" s="62"/>
      <c r="AN8" s="62"/>
      <c r="AO8" s="138"/>
      <c r="AQ8" s="292"/>
      <c r="AR8" s="100"/>
      <c r="AS8" s="223"/>
    </row>
    <row r="9" spans="2:45" ht="13.9" customHeight="1">
      <c r="B9" s="12" t="s">
        <v>159</v>
      </c>
      <c r="C9" s="223">
        <v>3813</v>
      </c>
      <c r="D9" s="223">
        <v>1607</v>
      </c>
      <c r="E9" s="223">
        <v>970</v>
      </c>
      <c r="F9" s="223">
        <v>376</v>
      </c>
      <c r="G9" s="223">
        <v>921</v>
      </c>
      <c r="H9" s="223">
        <v>2267</v>
      </c>
      <c r="I9" s="223">
        <v>495</v>
      </c>
      <c r="J9" s="223">
        <v>2762</v>
      </c>
      <c r="K9" s="223">
        <v>910</v>
      </c>
      <c r="L9" s="223">
        <v>970</v>
      </c>
      <c r="M9" s="223">
        <v>653</v>
      </c>
      <c r="N9" s="223">
        <v>2533</v>
      </c>
      <c r="O9" s="223">
        <v>759</v>
      </c>
      <c r="P9" s="223">
        <v>3292</v>
      </c>
      <c r="Q9" s="223">
        <v>1062</v>
      </c>
      <c r="R9" s="223">
        <v>934</v>
      </c>
      <c r="S9" s="223" t="e">
        <v>#REF!</v>
      </c>
      <c r="T9" s="223">
        <v>925</v>
      </c>
      <c r="U9" s="223">
        <v>2921</v>
      </c>
      <c r="V9" s="223">
        <v>838</v>
      </c>
      <c r="W9" s="223">
        <v>3759</v>
      </c>
      <c r="X9" s="62">
        <v>908</v>
      </c>
      <c r="Y9" s="62">
        <v>921</v>
      </c>
      <c r="Z9" s="62">
        <v>934</v>
      </c>
      <c r="AA9" s="62">
        <v>742</v>
      </c>
      <c r="AB9" s="223">
        <v>3505</v>
      </c>
      <c r="AC9" s="62">
        <v>926</v>
      </c>
      <c r="AD9" s="62">
        <v>974</v>
      </c>
      <c r="AE9" s="62">
        <v>895</v>
      </c>
      <c r="AF9" s="62">
        <v>851</v>
      </c>
      <c r="AG9" s="223">
        <v>3646</v>
      </c>
      <c r="AH9" s="62">
        <v>912</v>
      </c>
      <c r="AI9" s="62">
        <v>907</v>
      </c>
      <c r="AJ9" s="62">
        <v>880</v>
      </c>
      <c r="AK9" s="62">
        <v>797</v>
      </c>
      <c r="AL9" s="223">
        <v>3496</v>
      </c>
      <c r="AM9" s="62">
        <v>897</v>
      </c>
      <c r="AN9" s="62">
        <v>1014</v>
      </c>
      <c r="AO9" s="148">
        <v>1911</v>
      </c>
      <c r="AP9" s="62">
        <v>996</v>
      </c>
      <c r="AQ9" s="285">
        <v>2907</v>
      </c>
      <c r="AR9" s="62">
        <v>797</v>
      </c>
      <c r="AS9" s="223">
        <v>3704</v>
      </c>
    </row>
    <row r="10" spans="2:45" s="2" customFormat="1" ht="13.9" customHeight="1">
      <c r="B10" s="12" t="s">
        <v>166</v>
      </c>
      <c r="C10" s="223">
        <v>-19</v>
      </c>
      <c r="D10" s="223">
        <v>634</v>
      </c>
      <c r="E10" s="223">
        <v>-25</v>
      </c>
      <c r="F10" s="223">
        <v>-414</v>
      </c>
      <c r="G10" s="223">
        <v>39</v>
      </c>
      <c r="H10" s="223">
        <v>-400</v>
      </c>
      <c r="I10" s="223">
        <v>179</v>
      </c>
      <c r="J10" s="223">
        <v>-221</v>
      </c>
      <c r="K10" s="223">
        <v>-3</v>
      </c>
      <c r="L10" s="223">
        <v>-19</v>
      </c>
      <c r="M10" s="223">
        <v>-7</v>
      </c>
      <c r="N10" s="223">
        <v>-29</v>
      </c>
      <c r="O10" s="223">
        <v>103</v>
      </c>
      <c r="P10" s="223">
        <v>74</v>
      </c>
      <c r="Q10" s="223">
        <v>-152</v>
      </c>
      <c r="R10" s="223">
        <v>2</v>
      </c>
      <c r="S10" s="223" t="e">
        <v>#REF!</v>
      </c>
      <c r="T10" s="223">
        <v>7</v>
      </c>
      <c r="U10" s="223">
        <v>-143</v>
      </c>
      <c r="V10" s="223">
        <v>66</v>
      </c>
      <c r="W10" s="223">
        <v>-77</v>
      </c>
      <c r="X10" s="62">
        <v>46</v>
      </c>
      <c r="Y10" s="62">
        <v>3</v>
      </c>
      <c r="Z10" s="62">
        <v>10</v>
      </c>
      <c r="AA10" s="62">
        <v>161</v>
      </c>
      <c r="AB10" s="223">
        <v>220</v>
      </c>
      <c r="AC10" s="62">
        <v>7</v>
      </c>
      <c r="AD10" s="62">
        <v>9</v>
      </c>
      <c r="AE10" s="62">
        <v>77</v>
      </c>
      <c r="AF10" s="62">
        <v>68</v>
      </c>
      <c r="AG10" s="223">
        <v>161</v>
      </c>
      <c r="AH10" s="62">
        <v>1</v>
      </c>
      <c r="AI10" s="62">
        <v>-4</v>
      </c>
      <c r="AJ10" s="62">
        <v>29</v>
      </c>
      <c r="AK10" s="62">
        <v>173</v>
      </c>
      <c r="AL10" s="223">
        <v>199</v>
      </c>
      <c r="AM10" s="62">
        <v>13</v>
      </c>
      <c r="AN10" s="62">
        <v>-8</v>
      </c>
      <c r="AO10" s="148">
        <v>5</v>
      </c>
      <c r="AP10" s="62">
        <v>39</v>
      </c>
      <c r="AQ10" s="285">
        <v>44</v>
      </c>
      <c r="AR10" s="62">
        <v>235</v>
      </c>
      <c r="AS10" s="223">
        <v>279</v>
      </c>
    </row>
    <row r="11" spans="2:45" s="2" customFormat="1" ht="13.9" customHeight="1">
      <c r="B11" s="12" t="s">
        <v>307</v>
      </c>
      <c r="C11" s="215">
        <v>0</v>
      </c>
      <c r="D11" s="215">
        <v>0</v>
      </c>
      <c r="E11" s="215">
        <v>0</v>
      </c>
      <c r="F11" s="215">
        <v>0</v>
      </c>
      <c r="G11" s="215">
        <v>0</v>
      </c>
      <c r="H11" s="215">
        <v>0</v>
      </c>
      <c r="I11" s="215">
        <v>0</v>
      </c>
      <c r="J11" s="215">
        <v>0</v>
      </c>
      <c r="K11" s="215">
        <v>0</v>
      </c>
      <c r="L11" s="215">
        <v>0</v>
      </c>
      <c r="M11" s="215">
        <v>0</v>
      </c>
      <c r="N11" s="215">
        <v>0</v>
      </c>
      <c r="O11" s="215">
        <v>0</v>
      </c>
      <c r="P11" s="215">
        <v>0</v>
      </c>
      <c r="Q11" s="223">
        <v>8</v>
      </c>
      <c r="R11" s="223">
        <v>8</v>
      </c>
      <c r="S11" s="223">
        <v>16</v>
      </c>
      <c r="T11" s="223">
        <v>6</v>
      </c>
      <c r="U11" s="215">
        <v>22</v>
      </c>
      <c r="V11" s="215">
        <v>5</v>
      </c>
      <c r="W11" s="215">
        <v>27</v>
      </c>
      <c r="X11" s="62">
        <v>4</v>
      </c>
      <c r="Y11" s="19">
        <v>0</v>
      </c>
      <c r="Z11" s="62">
        <v>3</v>
      </c>
      <c r="AA11" s="62">
        <v>4</v>
      </c>
      <c r="AB11" s="223">
        <v>11</v>
      </c>
      <c r="AC11" s="62">
        <v>3</v>
      </c>
      <c r="AD11" s="62">
        <v>4</v>
      </c>
      <c r="AE11" s="62">
        <v>2</v>
      </c>
      <c r="AF11" s="62">
        <v>1</v>
      </c>
      <c r="AG11" s="223">
        <v>10</v>
      </c>
      <c r="AH11" s="62">
        <v>4</v>
      </c>
      <c r="AI11" s="62">
        <v>7</v>
      </c>
      <c r="AJ11" s="62">
        <v>6</v>
      </c>
      <c r="AK11" s="62">
        <v>4</v>
      </c>
      <c r="AL11" s="223">
        <v>21</v>
      </c>
      <c r="AM11" s="62">
        <v>4</v>
      </c>
      <c r="AN11" s="62">
        <v>7</v>
      </c>
      <c r="AO11" s="148">
        <v>11</v>
      </c>
      <c r="AP11" s="62">
        <v>6</v>
      </c>
      <c r="AQ11" s="285">
        <v>17</v>
      </c>
      <c r="AR11" s="62">
        <v>5</v>
      </c>
      <c r="AS11" s="223">
        <v>22</v>
      </c>
    </row>
    <row r="12" spans="2:45" s="2" customFormat="1" ht="13.9" customHeight="1">
      <c r="B12" s="12" t="s">
        <v>154</v>
      </c>
      <c r="C12" s="228">
        <v>87</v>
      </c>
      <c r="D12" s="228">
        <v>1675</v>
      </c>
      <c r="E12" s="229">
        <v>0</v>
      </c>
      <c r="F12" s="228">
        <v>951</v>
      </c>
      <c r="G12" s="229">
        <v>0</v>
      </c>
      <c r="H12" s="228">
        <v>951</v>
      </c>
      <c r="I12" s="228">
        <v>196</v>
      </c>
      <c r="J12" s="228">
        <v>1147</v>
      </c>
      <c r="K12" s="229">
        <v>0</v>
      </c>
      <c r="L12" s="229">
        <v>0</v>
      </c>
      <c r="M12" s="228">
        <v>268</v>
      </c>
      <c r="N12" s="228">
        <v>268</v>
      </c>
      <c r="O12" s="229">
        <v>25</v>
      </c>
      <c r="P12" s="228">
        <v>293</v>
      </c>
      <c r="Q12" s="229">
        <v>0</v>
      </c>
      <c r="R12" s="229">
        <v>0</v>
      </c>
      <c r="S12" s="229" t="e">
        <v>#REF!</v>
      </c>
      <c r="T12" s="229">
        <v>0</v>
      </c>
      <c r="U12" s="229">
        <v>0</v>
      </c>
      <c r="V12" s="229">
        <v>0</v>
      </c>
      <c r="W12" s="229">
        <v>0</v>
      </c>
      <c r="X12" s="102">
        <v>0</v>
      </c>
      <c r="Y12" s="102">
        <v>0</v>
      </c>
      <c r="Z12" s="102">
        <v>0</v>
      </c>
      <c r="AA12" s="102">
        <v>0</v>
      </c>
      <c r="AB12" s="229">
        <v>0</v>
      </c>
      <c r="AC12" s="102">
        <v>0</v>
      </c>
      <c r="AD12" s="102">
        <v>0</v>
      </c>
      <c r="AE12" s="102">
        <v>0</v>
      </c>
      <c r="AF12" s="102">
        <v>0</v>
      </c>
      <c r="AG12" s="229">
        <v>0</v>
      </c>
      <c r="AH12" s="102">
        <v>0</v>
      </c>
      <c r="AI12" s="102">
        <v>0</v>
      </c>
      <c r="AJ12" s="102">
        <v>0</v>
      </c>
      <c r="AK12" s="102">
        <v>0</v>
      </c>
      <c r="AL12" s="229">
        <v>0</v>
      </c>
      <c r="AM12" s="102">
        <v>0</v>
      </c>
      <c r="AN12" s="102">
        <v>0</v>
      </c>
      <c r="AO12" s="149">
        <v>0</v>
      </c>
      <c r="AP12" s="102">
        <v>0</v>
      </c>
      <c r="AQ12" s="293">
        <v>0</v>
      </c>
      <c r="AR12" s="102">
        <v>0</v>
      </c>
      <c r="AS12" s="229">
        <v>0</v>
      </c>
    </row>
    <row r="13" spans="2:45" s="2" customFormat="1" ht="13.9" customHeight="1">
      <c r="B13" s="12"/>
      <c r="C13" s="223"/>
      <c r="D13" s="223"/>
      <c r="E13" s="215"/>
      <c r="F13" s="223"/>
      <c r="G13" s="215"/>
      <c r="H13" s="215"/>
      <c r="I13" s="223"/>
      <c r="J13" s="223"/>
      <c r="K13" s="215"/>
      <c r="L13" s="215"/>
      <c r="M13" s="223"/>
      <c r="N13" s="215"/>
      <c r="O13" s="215"/>
      <c r="P13" s="223"/>
      <c r="Q13" s="215"/>
      <c r="R13" s="215"/>
      <c r="S13" s="215"/>
      <c r="T13" s="223"/>
      <c r="U13" s="215"/>
      <c r="V13" s="215"/>
      <c r="W13" s="223"/>
      <c r="X13" s="24"/>
      <c r="Y13" s="24"/>
      <c r="Z13" s="62"/>
      <c r="AA13" s="24"/>
      <c r="AB13" s="223"/>
      <c r="AC13" s="24"/>
      <c r="AD13" s="24"/>
      <c r="AE13" s="62"/>
      <c r="AF13" s="24"/>
      <c r="AG13" s="223"/>
      <c r="AH13" s="24"/>
      <c r="AI13" s="24"/>
      <c r="AJ13" s="62"/>
      <c r="AK13" s="24"/>
      <c r="AL13" s="223"/>
      <c r="AM13" s="24"/>
      <c r="AN13" s="24"/>
      <c r="AO13" s="150"/>
      <c r="AP13" s="62"/>
      <c r="AQ13" s="282"/>
      <c r="AR13" s="24"/>
      <c r="AS13" s="223"/>
    </row>
    <row r="14" spans="2:45" s="2" customFormat="1" ht="13.9" customHeight="1">
      <c r="B14" s="34" t="s">
        <v>237</v>
      </c>
      <c r="C14" s="228">
        <v>3881</v>
      </c>
      <c r="D14" s="228">
        <v>3916</v>
      </c>
      <c r="E14" s="228">
        <v>945</v>
      </c>
      <c r="F14" s="228">
        <v>913</v>
      </c>
      <c r="G14" s="228">
        <v>960</v>
      </c>
      <c r="H14" s="228">
        <v>2818</v>
      </c>
      <c r="I14" s="228">
        <v>870</v>
      </c>
      <c r="J14" s="228">
        <v>3688</v>
      </c>
      <c r="K14" s="228">
        <v>907</v>
      </c>
      <c r="L14" s="228">
        <v>951</v>
      </c>
      <c r="M14" s="228">
        <v>914</v>
      </c>
      <c r="N14" s="228">
        <v>2772</v>
      </c>
      <c r="O14" s="228">
        <v>887</v>
      </c>
      <c r="P14" s="228">
        <v>3659</v>
      </c>
      <c r="Q14" s="228">
        <v>918</v>
      </c>
      <c r="R14" s="228">
        <v>944</v>
      </c>
      <c r="S14" s="228" t="e">
        <v>#REF!</v>
      </c>
      <c r="T14" s="228">
        <v>938</v>
      </c>
      <c r="U14" s="228">
        <v>2800</v>
      </c>
      <c r="V14" s="228">
        <v>909</v>
      </c>
      <c r="W14" s="228">
        <v>3709</v>
      </c>
      <c r="X14" s="101">
        <v>958</v>
      </c>
      <c r="Y14" s="101">
        <v>924</v>
      </c>
      <c r="Z14" s="101">
        <v>947</v>
      </c>
      <c r="AA14" s="101">
        <v>907</v>
      </c>
      <c r="AB14" s="228">
        <v>3736</v>
      </c>
      <c r="AC14" s="101">
        <v>936</v>
      </c>
      <c r="AD14" s="101">
        <v>987</v>
      </c>
      <c r="AE14" s="101">
        <v>974</v>
      </c>
      <c r="AF14" s="101">
        <v>920</v>
      </c>
      <c r="AG14" s="228">
        <v>3817</v>
      </c>
      <c r="AH14" s="101">
        <v>917</v>
      </c>
      <c r="AI14" s="101">
        <v>910</v>
      </c>
      <c r="AJ14" s="101">
        <v>915</v>
      </c>
      <c r="AK14" s="101">
        <v>974</v>
      </c>
      <c r="AL14" s="228">
        <v>3716</v>
      </c>
      <c r="AM14" s="101">
        <v>914</v>
      </c>
      <c r="AN14" s="101">
        <v>1013</v>
      </c>
      <c r="AO14" s="151">
        <v>1927</v>
      </c>
      <c r="AP14" s="101">
        <v>1041</v>
      </c>
      <c r="AQ14" s="294">
        <v>2968</v>
      </c>
      <c r="AR14" s="101">
        <v>1037</v>
      </c>
      <c r="AS14" s="228">
        <v>4005</v>
      </c>
    </row>
    <row r="15" spans="2:45" s="2" customFormat="1" ht="13.9" customHeight="1">
      <c r="B15" s="20" t="s">
        <v>5</v>
      </c>
      <c r="C15" s="230"/>
      <c r="D15" s="230"/>
      <c r="E15" s="212">
        <v>-0.75650605514042768</v>
      </c>
      <c r="F15" s="212">
        <v>-3.3862433862433816E-2</v>
      </c>
      <c r="G15" s="212">
        <v>5.1478641840087658E-2</v>
      </c>
      <c r="H15" s="212"/>
      <c r="I15" s="212">
        <v>-9.375E-2</v>
      </c>
      <c r="J15" s="211"/>
      <c r="K15" s="212">
        <v>4.2528735632183956E-2</v>
      </c>
      <c r="L15" s="212">
        <v>4.8511576626240283E-2</v>
      </c>
      <c r="M15" s="212">
        <v>-3.8906414300736047E-2</v>
      </c>
      <c r="N15" s="212"/>
      <c r="O15" s="212">
        <v>-2.9540481400437635E-2</v>
      </c>
      <c r="P15" s="211"/>
      <c r="Q15" s="212">
        <v>3.4949267192784683E-2</v>
      </c>
      <c r="R15" s="212">
        <v>2.8322440087146017E-2</v>
      </c>
      <c r="S15" s="212"/>
      <c r="T15" s="212">
        <v>-6.3559322033898136E-3</v>
      </c>
      <c r="U15" s="212"/>
      <c r="V15" s="212">
        <v>-3.0916844349680117E-2</v>
      </c>
      <c r="W15" s="211"/>
      <c r="X15" s="21">
        <v>5.3905390539053855E-2</v>
      </c>
      <c r="Y15" s="21">
        <v>-3.5490605427974997E-2</v>
      </c>
      <c r="Z15" s="21">
        <v>2.4891774891774965E-2</v>
      </c>
      <c r="AA15" s="21">
        <v>-4.2238648363252418E-2</v>
      </c>
      <c r="AB15" s="211"/>
      <c r="AC15" s="21">
        <v>3.1973539140021989E-2</v>
      </c>
      <c r="AD15" s="21">
        <v>5.4487179487179516E-2</v>
      </c>
      <c r="AE15" s="21">
        <v>-1.317122593718334E-2</v>
      </c>
      <c r="AF15" s="21">
        <v>-5.544147843942504E-2</v>
      </c>
      <c r="AG15" s="211"/>
      <c r="AH15" s="21">
        <v>-3.260869565217428E-3</v>
      </c>
      <c r="AI15" s="21">
        <v>-7.6335877862595547E-3</v>
      </c>
      <c r="AJ15" s="21">
        <v>5.494505494505475E-3</v>
      </c>
      <c r="AK15" s="21">
        <v>6.4480874316939829E-2</v>
      </c>
      <c r="AL15" s="211"/>
      <c r="AM15" s="21">
        <v>-6.1601642710472304E-2</v>
      </c>
      <c r="AN15" s="21">
        <v>0.10831509846827125</v>
      </c>
      <c r="AO15" s="144"/>
      <c r="AP15" s="21">
        <v>2.7640671273445161E-2</v>
      </c>
      <c r="AQ15" s="277"/>
      <c r="AR15" s="21">
        <v>-3.842459173871271E-3</v>
      </c>
      <c r="AS15" s="211"/>
    </row>
    <row r="16" spans="2:45" s="2" customFormat="1" ht="13.9" customHeight="1">
      <c r="B16" s="20" t="s">
        <v>6</v>
      </c>
      <c r="C16" s="223"/>
      <c r="D16" s="211">
        <v>9.0182942540582012E-3</v>
      </c>
      <c r="E16" s="211"/>
      <c r="F16" s="211"/>
      <c r="G16" s="211"/>
      <c r="H16" s="211"/>
      <c r="I16" s="211"/>
      <c r="J16" s="211">
        <v>-5.8222676200204271E-2</v>
      </c>
      <c r="K16" s="211">
        <v>-4.0211640211640254E-2</v>
      </c>
      <c r="L16" s="211">
        <v>4.1621029572836754E-2</v>
      </c>
      <c r="M16" s="211">
        <v>-4.7916666666666718E-2</v>
      </c>
      <c r="N16" s="211">
        <v>-1.6323633782824754E-2</v>
      </c>
      <c r="O16" s="211">
        <v>1.9540229885057547E-2</v>
      </c>
      <c r="P16" s="211">
        <v>-7.8633405639912946E-3</v>
      </c>
      <c r="Q16" s="211">
        <v>1.2127894156560126E-2</v>
      </c>
      <c r="R16" s="211">
        <v>-7.3606729758148859E-3</v>
      </c>
      <c r="S16" s="211"/>
      <c r="T16" s="211">
        <v>2.6258205689277947E-2</v>
      </c>
      <c r="U16" s="211">
        <v>1.0101010101010166E-2</v>
      </c>
      <c r="V16" s="211">
        <v>2.4802705749718212E-2</v>
      </c>
      <c r="W16" s="211">
        <v>1.3664935774801767E-2</v>
      </c>
      <c r="X16" s="22">
        <v>4.3572984749455257E-2</v>
      </c>
      <c r="Y16" s="22">
        <v>-2.1186440677966156E-2</v>
      </c>
      <c r="Z16" s="22">
        <v>9.5948827292111627E-3</v>
      </c>
      <c r="AA16" s="22">
        <v>-2.2002200220021528E-3</v>
      </c>
      <c r="AB16" s="211">
        <v>7.2795901860340795E-3</v>
      </c>
      <c r="AC16" s="22">
        <v>-2.2964509394572064E-2</v>
      </c>
      <c r="AD16" s="22">
        <v>6.8181818181818121E-2</v>
      </c>
      <c r="AE16" s="22">
        <v>2.8511087645195277E-2</v>
      </c>
      <c r="AF16" s="22">
        <v>1.4332965821389099E-2</v>
      </c>
      <c r="AG16" s="211">
        <v>2.1680942184154173E-2</v>
      </c>
      <c r="AH16" s="22">
        <v>-2.0299145299145338E-2</v>
      </c>
      <c r="AI16" s="22">
        <v>-7.8014184397163122E-2</v>
      </c>
      <c r="AJ16" s="22">
        <v>-6.0574948665297779E-2</v>
      </c>
      <c r="AK16" s="22">
        <v>5.8695652173913038E-2</v>
      </c>
      <c r="AL16" s="211">
        <v>-2.6460571129159005E-2</v>
      </c>
      <c r="AM16" s="22">
        <v>-3.2715376226826187E-3</v>
      </c>
      <c r="AN16" s="22">
        <v>0.11318681318681323</v>
      </c>
      <c r="AO16" s="139"/>
      <c r="AP16" s="22">
        <v>0.13770491803278695</v>
      </c>
      <c r="AQ16" s="278"/>
      <c r="AR16" s="22">
        <v>6.468172484599588E-2</v>
      </c>
      <c r="AS16" s="211">
        <v>7.777179763186215E-2</v>
      </c>
    </row>
    <row r="17" spans="2:45" s="2" customFormat="1" ht="13.9" customHeight="1">
      <c r="B17" s="34" t="s">
        <v>272</v>
      </c>
      <c r="C17" s="231">
        <v>0.39646542036980281</v>
      </c>
      <c r="D17" s="231">
        <v>0.42012659585881346</v>
      </c>
      <c r="E17" s="231">
        <v>0.41888297872340424</v>
      </c>
      <c r="F17" s="231">
        <v>0.41052158273381295</v>
      </c>
      <c r="G17" s="231">
        <v>0.42723631508678239</v>
      </c>
      <c r="H17" s="231" t="e">
        <v>#REF!</v>
      </c>
      <c r="I17" s="231">
        <v>0.39509536784741145</v>
      </c>
      <c r="J17" s="231">
        <v>0.41303617426363537</v>
      </c>
      <c r="K17" s="231">
        <v>0.4147233653406493</v>
      </c>
      <c r="L17" s="231">
        <v>0.44129930394431555</v>
      </c>
      <c r="M17" s="231">
        <v>0.41965105601469238</v>
      </c>
      <c r="N17" s="231" t="e">
        <v>#REF!</v>
      </c>
      <c r="O17" s="231">
        <v>0.40263277349069448</v>
      </c>
      <c r="P17" s="231">
        <v>0.41946578012151781</v>
      </c>
      <c r="Q17" s="231">
        <v>0.41332733003151734</v>
      </c>
      <c r="R17" s="231">
        <v>0.42909090909090908</v>
      </c>
      <c r="S17" s="231" t="e">
        <v>#REF!</v>
      </c>
      <c r="T17" s="231">
        <v>0.43790849673202614</v>
      </c>
      <c r="U17" s="231" t="e">
        <v>#REF!</v>
      </c>
      <c r="V17" s="231">
        <v>0.40256864481842336</v>
      </c>
      <c r="W17" s="231">
        <v>0.42047386917583041</v>
      </c>
      <c r="X17" s="50">
        <v>0.42483370288248334</v>
      </c>
      <c r="Y17" s="50">
        <v>0.41499999999999998</v>
      </c>
      <c r="Z17" s="50">
        <v>0.4186560565870911</v>
      </c>
      <c r="AA17" s="50">
        <v>0.40418894830659535</v>
      </c>
      <c r="AB17" s="231">
        <v>0.41575784553750278</v>
      </c>
      <c r="AC17" s="50">
        <v>0.40554592720970539</v>
      </c>
      <c r="AD17" s="50">
        <v>0.42931709438886473</v>
      </c>
      <c r="AE17" s="50">
        <v>0.43002207505518764</v>
      </c>
      <c r="AF17" s="50">
        <v>0.41237113402061853</v>
      </c>
      <c r="AG17" s="231">
        <v>0.41931231462155333</v>
      </c>
      <c r="AH17" s="50">
        <v>0.40665188470066521</v>
      </c>
      <c r="AI17" s="50">
        <v>0.41514598540145986</v>
      </c>
      <c r="AJ17" s="50">
        <v>0.40957923008057295</v>
      </c>
      <c r="AK17" s="50">
        <v>0.44212437585111214</v>
      </c>
      <c r="AL17" s="231">
        <v>0.41828005402971635</v>
      </c>
      <c r="AM17" s="50">
        <v>0.40894854586129753</v>
      </c>
      <c r="AN17" s="50">
        <v>0.47425093632958804</v>
      </c>
      <c r="AO17" s="141">
        <v>0.44086021505376344</v>
      </c>
      <c r="AP17" s="50">
        <v>0.4853146853146853</v>
      </c>
      <c r="AQ17" s="295">
        <v>0.45549416820135052</v>
      </c>
      <c r="AR17" s="50">
        <v>0.47438243366880145</v>
      </c>
      <c r="AS17" s="231">
        <v>0.46023902551137669</v>
      </c>
    </row>
    <row r="18" spans="2:45" s="2" customFormat="1" ht="13.9" customHeight="1">
      <c r="B18" s="12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7"/>
      <c r="P18" s="223"/>
      <c r="Q18" s="223"/>
      <c r="R18" s="223"/>
      <c r="S18" s="223"/>
      <c r="T18" s="223"/>
      <c r="U18" s="223"/>
      <c r="V18" s="227"/>
      <c r="W18" s="223"/>
      <c r="X18" s="62"/>
      <c r="Y18" s="62"/>
      <c r="Z18" s="62"/>
      <c r="AA18" s="100"/>
      <c r="AB18" s="223"/>
      <c r="AC18" s="62"/>
      <c r="AD18" s="62"/>
      <c r="AE18" s="62"/>
      <c r="AF18" s="100"/>
      <c r="AG18" s="223"/>
      <c r="AH18" s="62"/>
      <c r="AI18" s="62"/>
      <c r="AJ18" s="62"/>
      <c r="AK18" s="100"/>
      <c r="AL18" s="223"/>
      <c r="AM18" s="62"/>
      <c r="AN18" s="62"/>
      <c r="AO18" s="148"/>
      <c r="AP18" s="62"/>
      <c r="AQ18" s="285"/>
      <c r="AR18" s="100"/>
      <c r="AS18" s="223"/>
    </row>
    <row r="19" spans="2:45" ht="13.9" customHeight="1">
      <c r="B19" s="289" t="s">
        <v>231</v>
      </c>
      <c r="C19" s="122"/>
      <c r="D19" s="122"/>
      <c r="E19" s="290"/>
      <c r="F19" s="290"/>
      <c r="G19" s="290"/>
      <c r="H19" s="290"/>
      <c r="I19" s="290"/>
      <c r="J19" s="122"/>
      <c r="K19" s="290"/>
      <c r="L19" s="290"/>
      <c r="M19" s="290"/>
      <c r="N19" s="290"/>
      <c r="O19" s="290"/>
      <c r="P19" s="122"/>
      <c r="Q19" s="290"/>
      <c r="R19" s="290"/>
      <c r="S19" s="290"/>
      <c r="T19" s="290"/>
      <c r="U19" s="290"/>
      <c r="V19" s="290"/>
      <c r="W19" s="122"/>
      <c r="X19" s="290"/>
      <c r="Y19" s="290"/>
      <c r="Z19" s="290"/>
      <c r="AA19" s="290"/>
      <c r="AB19" s="122"/>
      <c r="AC19" s="290"/>
      <c r="AD19" s="290"/>
      <c r="AE19" s="290"/>
      <c r="AF19" s="290"/>
      <c r="AG19" s="122"/>
      <c r="AH19" s="290"/>
      <c r="AI19" s="290"/>
      <c r="AJ19" s="290"/>
      <c r="AK19" s="290"/>
      <c r="AL19" s="122"/>
      <c r="AM19" s="290"/>
      <c r="AN19" s="290"/>
      <c r="AO19" s="290"/>
      <c r="AP19" s="290"/>
      <c r="AQ19" s="290"/>
      <c r="AR19" s="290"/>
      <c r="AS19" s="122"/>
    </row>
    <row r="20" spans="2:45" ht="13.9" customHeight="1"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7"/>
      <c r="P20" s="223"/>
      <c r="Q20" s="223"/>
      <c r="R20" s="223"/>
      <c r="S20" s="223"/>
      <c r="T20" s="223"/>
      <c r="U20" s="223"/>
      <c r="V20" s="227"/>
      <c r="W20" s="223"/>
      <c r="X20" s="62"/>
      <c r="Y20" s="62"/>
      <c r="Z20" s="62"/>
      <c r="AA20" s="100"/>
      <c r="AB20" s="223"/>
      <c r="AC20" s="62"/>
      <c r="AD20" s="62"/>
      <c r="AE20" s="62"/>
      <c r="AF20" s="100"/>
      <c r="AG20" s="223"/>
      <c r="AH20" s="62"/>
      <c r="AI20" s="62"/>
      <c r="AJ20" s="62"/>
      <c r="AK20" s="100"/>
      <c r="AL20" s="223"/>
      <c r="AM20" s="62"/>
      <c r="AN20" s="62"/>
      <c r="AO20" s="148"/>
      <c r="AP20" s="62"/>
      <c r="AQ20" s="285"/>
      <c r="AR20" s="100"/>
      <c r="AS20" s="223"/>
    </row>
    <row r="21" spans="2:45" s="2" customFormat="1" ht="13.9" customHeight="1">
      <c r="B21" s="12" t="s">
        <v>204</v>
      </c>
      <c r="C21" s="223">
        <v>1223</v>
      </c>
      <c r="D21" s="223">
        <v>-1092</v>
      </c>
      <c r="E21" s="223">
        <v>295</v>
      </c>
      <c r="F21" s="223">
        <v>-1579</v>
      </c>
      <c r="G21" s="223">
        <v>177</v>
      </c>
      <c r="H21" s="223">
        <v>-1107</v>
      </c>
      <c r="I21" s="223">
        <v>-87</v>
      </c>
      <c r="J21" s="223">
        <v>-1194</v>
      </c>
      <c r="K21" s="223">
        <v>327</v>
      </c>
      <c r="L21" s="223">
        <v>269</v>
      </c>
      <c r="M21" s="223">
        <v>26</v>
      </c>
      <c r="N21" s="223">
        <v>622</v>
      </c>
      <c r="O21" s="223">
        <v>174</v>
      </c>
      <c r="P21" s="215">
        <v>796</v>
      </c>
      <c r="Q21" s="223">
        <v>408</v>
      </c>
      <c r="R21" s="223">
        <v>294</v>
      </c>
      <c r="S21" s="223" t="e">
        <v>#REF!</v>
      </c>
      <c r="T21" s="223">
        <v>284</v>
      </c>
      <c r="U21" s="223">
        <v>986</v>
      </c>
      <c r="V21" s="223">
        <v>197</v>
      </c>
      <c r="W21" s="215">
        <v>1183</v>
      </c>
      <c r="X21" s="62">
        <v>282</v>
      </c>
      <c r="Y21" s="62">
        <v>307</v>
      </c>
      <c r="Z21" s="62">
        <v>302</v>
      </c>
      <c r="AA21" s="62">
        <v>109</v>
      </c>
      <c r="AB21" s="223">
        <v>1000</v>
      </c>
      <c r="AC21" s="62">
        <v>311</v>
      </c>
      <c r="AD21" s="62">
        <v>343</v>
      </c>
      <c r="AE21" s="62">
        <v>297</v>
      </c>
      <c r="AF21" s="62">
        <v>238</v>
      </c>
      <c r="AG21" s="223">
        <v>1189</v>
      </c>
      <c r="AH21" s="62">
        <v>295</v>
      </c>
      <c r="AI21" s="62">
        <v>287</v>
      </c>
      <c r="AJ21" s="62">
        <v>281</v>
      </c>
      <c r="AK21" s="62">
        <v>210</v>
      </c>
      <c r="AL21" s="223">
        <v>1073</v>
      </c>
      <c r="AM21" s="62">
        <v>303</v>
      </c>
      <c r="AN21" s="62">
        <v>426</v>
      </c>
      <c r="AO21" s="148">
        <v>729</v>
      </c>
      <c r="AP21" s="62">
        <v>446</v>
      </c>
      <c r="AQ21" s="285">
        <v>1175</v>
      </c>
      <c r="AR21" s="62">
        <v>242</v>
      </c>
      <c r="AS21" s="223">
        <v>1417</v>
      </c>
    </row>
    <row r="22" spans="2:45" s="2" customFormat="1" ht="13.9" customHeight="1">
      <c r="B22" s="12" t="s">
        <v>251</v>
      </c>
      <c r="C22" s="223">
        <v>-14.44</v>
      </c>
      <c r="D22" s="223">
        <v>492.09000000000003</v>
      </c>
      <c r="E22" s="223">
        <v>-9.36</v>
      </c>
      <c r="F22" s="223">
        <v>-320.85000000000002</v>
      </c>
      <c r="G22" s="223">
        <v>30.26</v>
      </c>
      <c r="H22" s="223">
        <v>-299.95000000000005</v>
      </c>
      <c r="I22" s="223">
        <v>139.44000000000005</v>
      </c>
      <c r="J22" s="223">
        <v>-160.51</v>
      </c>
      <c r="K22" s="210">
        <v>0</v>
      </c>
      <c r="L22" s="210">
        <v>0</v>
      </c>
      <c r="M22" s="210">
        <v>0</v>
      </c>
      <c r="N22" s="215">
        <v>0</v>
      </c>
      <c r="O22" s="210">
        <v>0</v>
      </c>
      <c r="P22" s="215">
        <v>0</v>
      </c>
      <c r="Q22" s="210">
        <v>0</v>
      </c>
      <c r="R22" s="210">
        <v>0</v>
      </c>
      <c r="S22" s="210">
        <v>0</v>
      </c>
      <c r="T22" s="210">
        <v>0</v>
      </c>
      <c r="U22" s="210">
        <v>0</v>
      </c>
      <c r="V22" s="210">
        <v>0</v>
      </c>
      <c r="W22" s="215">
        <v>0</v>
      </c>
      <c r="X22" s="19">
        <v>0</v>
      </c>
      <c r="Y22" s="19">
        <v>0</v>
      </c>
      <c r="Z22" s="19">
        <v>0</v>
      </c>
      <c r="AA22" s="19">
        <v>0</v>
      </c>
      <c r="AB22" s="215">
        <v>0</v>
      </c>
      <c r="AC22" s="19">
        <v>0</v>
      </c>
      <c r="AD22" s="19">
        <v>0</v>
      </c>
      <c r="AE22" s="19">
        <v>0</v>
      </c>
      <c r="AF22" s="19">
        <v>0</v>
      </c>
      <c r="AG22" s="215">
        <v>0</v>
      </c>
      <c r="AH22" s="19">
        <v>0</v>
      </c>
      <c r="AI22" s="19">
        <v>0</v>
      </c>
      <c r="AJ22" s="19">
        <v>0</v>
      </c>
      <c r="AK22" s="19">
        <v>0</v>
      </c>
      <c r="AL22" s="215">
        <v>0</v>
      </c>
      <c r="AM22" s="19">
        <v>0</v>
      </c>
      <c r="AN22" s="19">
        <v>0</v>
      </c>
      <c r="AO22" s="143">
        <v>0</v>
      </c>
      <c r="AP22" s="19">
        <v>0</v>
      </c>
      <c r="AQ22" s="276">
        <v>0</v>
      </c>
      <c r="AR22" s="62">
        <v>-28</v>
      </c>
      <c r="AS22" s="223">
        <v>-28</v>
      </c>
    </row>
    <row r="23" spans="2:45" s="2" customFormat="1" ht="13.9" customHeight="1">
      <c r="B23" s="12" t="s">
        <v>246</v>
      </c>
      <c r="C23" s="215">
        <v>0</v>
      </c>
      <c r="D23" s="215">
        <v>0</v>
      </c>
      <c r="E23" s="210">
        <v>0</v>
      </c>
      <c r="F23" s="210">
        <v>0</v>
      </c>
      <c r="G23" s="215">
        <v>0</v>
      </c>
      <c r="H23" s="215">
        <v>0</v>
      </c>
      <c r="I23" s="210">
        <v>0</v>
      </c>
      <c r="J23" s="215">
        <v>0</v>
      </c>
      <c r="K23" s="223">
        <v>-3</v>
      </c>
      <c r="L23" s="223">
        <v>-2</v>
      </c>
      <c r="M23" s="223">
        <v>-3.85</v>
      </c>
      <c r="N23" s="223">
        <v>-8.85</v>
      </c>
      <c r="O23" s="223">
        <v>61.21</v>
      </c>
      <c r="P23" s="215">
        <v>52.36</v>
      </c>
      <c r="Q23" s="223">
        <v>-115</v>
      </c>
      <c r="R23" s="223">
        <v>5</v>
      </c>
      <c r="S23" s="223">
        <v>-110</v>
      </c>
      <c r="T23" s="223">
        <v>6.16</v>
      </c>
      <c r="U23" s="223">
        <v>-103.84</v>
      </c>
      <c r="V23" s="223">
        <v>22.989999999999995</v>
      </c>
      <c r="W23" s="223">
        <v>-80.850000000000009</v>
      </c>
      <c r="X23" s="62">
        <v>36</v>
      </c>
      <c r="Y23" s="62">
        <v>2</v>
      </c>
      <c r="Z23" s="62">
        <v>4</v>
      </c>
      <c r="AA23" s="62">
        <v>44</v>
      </c>
      <c r="AB23" s="223">
        <v>86</v>
      </c>
      <c r="AC23" s="19">
        <v>4</v>
      </c>
      <c r="AD23" s="62">
        <v>5</v>
      </c>
      <c r="AE23" s="62">
        <v>59</v>
      </c>
      <c r="AF23" s="62">
        <v>44</v>
      </c>
      <c r="AG23" s="223">
        <v>112</v>
      </c>
      <c r="AH23" s="62">
        <v>-1</v>
      </c>
      <c r="AI23" s="62">
        <v>-6</v>
      </c>
      <c r="AJ23" s="62">
        <v>19</v>
      </c>
      <c r="AK23" s="62">
        <v>70</v>
      </c>
      <c r="AL23" s="223">
        <v>82</v>
      </c>
      <c r="AM23" s="62">
        <v>3</v>
      </c>
      <c r="AN23" s="62">
        <v>-5</v>
      </c>
      <c r="AO23" s="148">
        <v>-2</v>
      </c>
      <c r="AP23" s="62">
        <v>32</v>
      </c>
      <c r="AQ23" s="285">
        <v>30</v>
      </c>
      <c r="AR23" s="62">
        <v>191</v>
      </c>
      <c r="AS23" s="223">
        <v>221</v>
      </c>
    </row>
    <row r="24" spans="2:45" s="2" customFormat="1" ht="13.9" customHeight="1">
      <c r="B24" s="12" t="s">
        <v>247</v>
      </c>
      <c r="C24" s="215">
        <v>0</v>
      </c>
      <c r="D24" s="215">
        <v>0</v>
      </c>
      <c r="E24" s="210">
        <v>0</v>
      </c>
      <c r="F24" s="210">
        <v>0</v>
      </c>
      <c r="G24" s="215">
        <v>0</v>
      </c>
      <c r="H24" s="215">
        <v>0</v>
      </c>
      <c r="I24" s="210">
        <v>0</v>
      </c>
      <c r="J24" s="215">
        <v>0</v>
      </c>
      <c r="K24" s="223">
        <v>1</v>
      </c>
      <c r="L24" s="223">
        <v>-3</v>
      </c>
      <c r="M24" s="210">
        <v>0</v>
      </c>
      <c r="N24" s="223">
        <v>-2</v>
      </c>
      <c r="O24" s="223">
        <v>15.86</v>
      </c>
      <c r="P24" s="215">
        <v>13.86</v>
      </c>
      <c r="Q24" s="210">
        <v>0</v>
      </c>
      <c r="R24" s="223">
        <v>-2</v>
      </c>
      <c r="S24" s="223">
        <v>-2</v>
      </c>
      <c r="T24" s="210">
        <v>0</v>
      </c>
      <c r="U24" s="223">
        <v>-2</v>
      </c>
      <c r="V24" s="223">
        <v>8.93</v>
      </c>
      <c r="W24" s="223">
        <v>6.93</v>
      </c>
      <c r="X24" s="62">
        <v>-1</v>
      </c>
      <c r="Y24" s="62">
        <v>-1</v>
      </c>
      <c r="Z24" s="62">
        <v>3</v>
      </c>
      <c r="AA24" s="62">
        <v>24</v>
      </c>
      <c r="AB24" s="223">
        <v>25</v>
      </c>
      <c r="AC24" s="62">
        <v>-2</v>
      </c>
      <c r="AD24" s="62">
        <v>2</v>
      </c>
      <c r="AE24" s="19">
        <v>0</v>
      </c>
      <c r="AF24" s="19">
        <v>2</v>
      </c>
      <c r="AG24" s="223">
        <v>2</v>
      </c>
      <c r="AH24" s="62">
        <v>5</v>
      </c>
      <c r="AI24" s="19">
        <v>0</v>
      </c>
      <c r="AJ24" s="62">
        <v>2</v>
      </c>
      <c r="AK24" s="62">
        <v>4</v>
      </c>
      <c r="AL24" s="223">
        <v>11</v>
      </c>
      <c r="AM24" s="62">
        <v>1</v>
      </c>
      <c r="AN24" s="19">
        <v>0</v>
      </c>
      <c r="AO24" s="148">
        <v>1</v>
      </c>
      <c r="AP24" s="62">
        <v>-2</v>
      </c>
      <c r="AQ24" s="285">
        <v>-1</v>
      </c>
      <c r="AR24" s="62">
        <v>13</v>
      </c>
      <c r="AS24" s="223">
        <v>12</v>
      </c>
    </row>
    <row r="25" spans="2:45" s="2" customFormat="1" ht="13.9" customHeight="1">
      <c r="B25" s="12" t="s">
        <v>248</v>
      </c>
      <c r="C25" s="215">
        <v>0</v>
      </c>
      <c r="D25" s="215">
        <v>0</v>
      </c>
      <c r="E25" s="210">
        <v>0</v>
      </c>
      <c r="F25" s="210">
        <v>0</v>
      </c>
      <c r="G25" s="215">
        <v>0</v>
      </c>
      <c r="H25" s="215">
        <v>0</v>
      </c>
      <c r="I25" s="210">
        <v>0</v>
      </c>
      <c r="J25" s="215">
        <v>0</v>
      </c>
      <c r="K25" s="210">
        <v>0</v>
      </c>
      <c r="L25" s="210">
        <v>0</v>
      </c>
      <c r="M25" s="210">
        <v>0</v>
      </c>
      <c r="N25" s="215">
        <v>0</v>
      </c>
      <c r="O25" s="223">
        <v>6</v>
      </c>
      <c r="P25" s="215">
        <v>6</v>
      </c>
      <c r="Q25" s="210">
        <v>0</v>
      </c>
      <c r="R25" s="223">
        <v>-1</v>
      </c>
      <c r="S25" s="223">
        <v>-1</v>
      </c>
      <c r="T25" s="223">
        <v>-2</v>
      </c>
      <c r="U25" s="223">
        <v>-3</v>
      </c>
      <c r="V25" s="223">
        <v>9</v>
      </c>
      <c r="W25" s="223">
        <v>6</v>
      </c>
      <c r="X25" s="19">
        <v>1</v>
      </c>
      <c r="Y25" s="19">
        <v>0</v>
      </c>
      <c r="Z25" s="62">
        <v>2</v>
      </c>
      <c r="AA25" s="62">
        <v>68</v>
      </c>
      <c r="AB25" s="223">
        <v>71</v>
      </c>
      <c r="AC25" s="19">
        <v>6</v>
      </c>
      <c r="AD25" s="19">
        <v>0</v>
      </c>
      <c r="AE25" s="19">
        <v>0</v>
      </c>
      <c r="AF25" s="62">
        <v>14</v>
      </c>
      <c r="AG25" s="223">
        <v>20</v>
      </c>
      <c r="AH25" s="62">
        <v>-4</v>
      </c>
      <c r="AI25" s="19">
        <v>0</v>
      </c>
      <c r="AJ25" s="62">
        <v>2</v>
      </c>
      <c r="AK25" s="62">
        <v>72</v>
      </c>
      <c r="AL25" s="223">
        <v>70</v>
      </c>
      <c r="AM25" s="19">
        <v>0</v>
      </c>
      <c r="AN25" s="19">
        <v>0</v>
      </c>
      <c r="AO25" s="143">
        <v>0</v>
      </c>
      <c r="AP25" s="19">
        <v>0</v>
      </c>
      <c r="AQ25" s="276">
        <v>0</v>
      </c>
      <c r="AR25" s="19">
        <v>0</v>
      </c>
      <c r="AS25" s="215">
        <v>0</v>
      </c>
    </row>
    <row r="26" spans="2:45" s="2" customFormat="1" ht="13.9" customHeight="1">
      <c r="B26" s="12" t="s">
        <v>249</v>
      </c>
      <c r="C26" s="215">
        <v>0</v>
      </c>
      <c r="D26" s="215">
        <v>0</v>
      </c>
      <c r="E26" s="210">
        <v>0</v>
      </c>
      <c r="F26" s="210">
        <v>0</v>
      </c>
      <c r="G26" s="215">
        <v>0</v>
      </c>
      <c r="H26" s="215">
        <v>0</v>
      </c>
      <c r="I26" s="210">
        <v>0</v>
      </c>
      <c r="J26" s="215">
        <v>0</v>
      </c>
      <c r="K26" s="210">
        <v>0</v>
      </c>
      <c r="L26" s="223">
        <v>-12</v>
      </c>
      <c r="M26" s="210">
        <v>0</v>
      </c>
      <c r="N26" s="223">
        <v>-12</v>
      </c>
      <c r="O26" s="223">
        <v>-3</v>
      </c>
      <c r="P26" s="223">
        <v>-15</v>
      </c>
      <c r="Q26" s="223">
        <v>-2</v>
      </c>
      <c r="R26" s="210">
        <v>0</v>
      </c>
      <c r="S26" s="210">
        <v>0</v>
      </c>
      <c r="T26" s="210">
        <v>1</v>
      </c>
      <c r="U26" s="223">
        <v>-1</v>
      </c>
      <c r="V26" s="223">
        <v>13</v>
      </c>
      <c r="W26" s="223">
        <v>12</v>
      </c>
      <c r="X26" s="19">
        <v>0</v>
      </c>
      <c r="Y26" s="19">
        <v>2</v>
      </c>
      <c r="Z26" s="19">
        <v>0</v>
      </c>
      <c r="AA26" s="62">
        <v>1</v>
      </c>
      <c r="AB26" s="223">
        <v>3</v>
      </c>
      <c r="AC26" s="62">
        <v>-1</v>
      </c>
      <c r="AD26" s="19"/>
      <c r="AE26" s="62">
        <v>-1</v>
      </c>
      <c r="AF26" s="62">
        <v>-3</v>
      </c>
      <c r="AG26" s="223">
        <v>-5</v>
      </c>
      <c r="AH26" s="19">
        <v>0</v>
      </c>
      <c r="AI26" s="19">
        <v>4</v>
      </c>
      <c r="AJ26" s="62">
        <v>-1</v>
      </c>
      <c r="AK26" s="62">
        <v>5</v>
      </c>
      <c r="AL26" s="223">
        <v>8</v>
      </c>
      <c r="AM26" s="62">
        <v>8</v>
      </c>
      <c r="AN26" s="62">
        <v>-1</v>
      </c>
      <c r="AO26" s="148">
        <v>7</v>
      </c>
      <c r="AP26" s="19">
        <v>0</v>
      </c>
      <c r="AQ26" s="285">
        <v>7</v>
      </c>
      <c r="AR26" s="62">
        <v>5</v>
      </c>
      <c r="AS26" s="223">
        <v>12</v>
      </c>
    </row>
    <row r="27" spans="2:45" s="2" customFormat="1" ht="13.9" customHeight="1">
      <c r="B27" s="12" t="s">
        <v>250</v>
      </c>
      <c r="C27" s="215">
        <v>0</v>
      </c>
      <c r="D27" s="215">
        <v>0</v>
      </c>
      <c r="E27" s="210">
        <v>0</v>
      </c>
      <c r="F27" s="210">
        <v>0</v>
      </c>
      <c r="G27" s="215">
        <v>0</v>
      </c>
      <c r="H27" s="215">
        <v>0</v>
      </c>
      <c r="I27" s="210">
        <v>0</v>
      </c>
      <c r="J27" s="215">
        <v>0</v>
      </c>
      <c r="K27" s="210">
        <v>0</v>
      </c>
      <c r="L27" s="210">
        <v>0</v>
      </c>
      <c r="M27" s="210">
        <v>0</v>
      </c>
      <c r="N27" s="215">
        <v>0</v>
      </c>
      <c r="O27" s="223">
        <v>-2</v>
      </c>
      <c r="P27" s="223">
        <v>-2</v>
      </c>
      <c r="Q27" s="210">
        <v>0</v>
      </c>
      <c r="R27" s="210">
        <v>0</v>
      </c>
      <c r="S27" s="210">
        <v>0</v>
      </c>
      <c r="T27" s="210">
        <v>0</v>
      </c>
      <c r="U27" s="210">
        <v>0</v>
      </c>
      <c r="V27" s="210">
        <v>0</v>
      </c>
      <c r="W27" s="215">
        <v>0</v>
      </c>
      <c r="X27" s="19">
        <v>0</v>
      </c>
      <c r="Y27" s="19">
        <v>0</v>
      </c>
      <c r="Z27" s="19">
        <v>0</v>
      </c>
      <c r="AA27" s="19">
        <v>0</v>
      </c>
      <c r="AB27" s="215">
        <v>0</v>
      </c>
      <c r="AC27" s="19">
        <v>0</v>
      </c>
      <c r="AD27" s="19">
        <v>0</v>
      </c>
      <c r="AE27" s="19">
        <v>0</v>
      </c>
      <c r="AF27" s="19">
        <v>0</v>
      </c>
      <c r="AG27" s="215">
        <v>0</v>
      </c>
      <c r="AH27" s="19">
        <v>0</v>
      </c>
      <c r="AI27" s="19">
        <v>0</v>
      </c>
      <c r="AJ27" s="19">
        <v>0</v>
      </c>
      <c r="AK27" s="19">
        <v>0</v>
      </c>
      <c r="AL27" s="215">
        <v>0</v>
      </c>
      <c r="AM27" s="19">
        <v>0</v>
      </c>
      <c r="AN27" s="19">
        <v>0</v>
      </c>
      <c r="AO27" s="143">
        <v>0</v>
      </c>
      <c r="AP27" s="19">
        <v>0</v>
      </c>
      <c r="AQ27" s="276">
        <v>0</v>
      </c>
      <c r="AR27" s="19">
        <v>0</v>
      </c>
      <c r="AS27" s="215">
        <v>0</v>
      </c>
    </row>
    <row r="28" spans="2:45" s="2" customFormat="1" ht="13.9" customHeight="1">
      <c r="B28" s="12"/>
      <c r="C28" s="215"/>
      <c r="D28" s="215"/>
      <c r="E28" s="210"/>
      <c r="F28" s="210"/>
      <c r="G28" s="215"/>
      <c r="H28" s="215"/>
      <c r="I28" s="210"/>
      <c r="J28" s="215"/>
      <c r="K28" s="210"/>
      <c r="L28" s="210"/>
      <c r="M28" s="210"/>
      <c r="N28" s="215">
        <v>0</v>
      </c>
      <c r="O28" s="223"/>
      <c r="P28" s="223"/>
      <c r="Q28" s="210"/>
      <c r="R28" s="210"/>
      <c r="S28" s="210"/>
      <c r="T28" s="210"/>
      <c r="U28" s="210">
        <v>0</v>
      </c>
      <c r="V28" s="223"/>
      <c r="W28" s="223"/>
      <c r="X28" s="19"/>
      <c r="Y28" s="19"/>
      <c r="Z28" s="19"/>
      <c r="AA28" s="62"/>
      <c r="AB28" s="223"/>
      <c r="AC28" s="19"/>
      <c r="AD28" s="19"/>
      <c r="AE28" s="19"/>
      <c r="AF28" s="62"/>
      <c r="AG28" s="223"/>
      <c r="AH28" s="19"/>
      <c r="AI28" s="19"/>
      <c r="AJ28" s="19"/>
      <c r="AK28" s="62"/>
      <c r="AL28" s="223"/>
      <c r="AM28" s="19"/>
      <c r="AN28" s="19"/>
      <c r="AO28" s="143"/>
      <c r="AP28" s="19"/>
      <c r="AQ28" s="276">
        <v>0</v>
      </c>
      <c r="AR28" s="62"/>
      <c r="AS28" s="223"/>
    </row>
    <row r="29" spans="2:45" s="2" customFormat="1" ht="13.9" customHeight="1">
      <c r="B29" s="12" t="s">
        <v>307</v>
      </c>
      <c r="C29" s="215">
        <v>0</v>
      </c>
      <c r="D29" s="215">
        <v>0</v>
      </c>
      <c r="E29" s="210">
        <v>0</v>
      </c>
      <c r="F29" s="210">
        <v>0</v>
      </c>
      <c r="G29" s="215">
        <v>0</v>
      </c>
      <c r="H29" s="215">
        <v>0</v>
      </c>
      <c r="I29" s="210">
        <v>0</v>
      </c>
      <c r="J29" s="215">
        <v>0</v>
      </c>
      <c r="K29" s="210">
        <v>0</v>
      </c>
      <c r="L29" s="210">
        <v>0</v>
      </c>
      <c r="M29" s="210">
        <v>0</v>
      </c>
      <c r="N29" s="215">
        <v>0</v>
      </c>
      <c r="O29" s="210">
        <v>0</v>
      </c>
      <c r="P29" s="215">
        <v>0</v>
      </c>
      <c r="Q29" s="210">
        <v>8</v>
      </c>
      <c r="R29" s="210">
        <v>8</v>
      </c>
      <c r="S29" s="223">
        <v>16</v>
      </c>
      <c r="T29" s="210">
        <v>6</v>
      </c>
      <c r="U29" s="223">
        <v>22</v>
      </c>
      <c r="V29" s="210">
        <v>5</v>
      </c>
      <c r="W29" s="215">
        <v>27</v>
      </c>
      <c r="X29" s="19">
        <v>4</v>
      </c>
      <c r="Y29" s="19">
        <v>0</v>
      </c>
      <c r="Z29" s="19">
        <v>3</v>
      </c>
      <c r="AA29" s="19">
        <v>4</v>
      </c>
      <c r="AB29" s="223">
        <v>11</v>
      </c>
      <c r="AC29" s="19">
        <v>3</v>
      </c>
      <c r="AD29" s="19">
        <v>4</v>
      </c>
      <c r="AE29" s="19">
        <v>2</v>
      </c>
      <c r="AF29" s="62">
        <v>1</v>
      </c>
      <c r="AG29" s="223">
        <v>10</v>
      </c>
      <c r="AH29" s="19">
        <v>4</v>
      </c>
      <c r="AI29" s="19">
        <v>7</v>
      </c>
      <c r="AJ29" s="19">
        <v>6</v>
      </c>
      <c r="AK29" s="62">
        <v>4</v>
      </c>
      <c r="AL29" s="223">
        <v>21</v>
      </c>
      <c r="AM29" s="19">
        <v>4</v>
      </c>
      <c r="AN29" s="19">
        <v>7</v>
      </c>
      <c r="AO29" s="143">
        <v>11</v>
      </c>
      <c r="AP29" s="19">
        <v>6</v>
      </c>
      <c r="AQ29" s="285">
        <v>17</v>
      </c>
      <c r="AR29" s="62">
        <v>5</v>
      </c>
      <c r="AS29" s="223">
        <v>22</v>
      </c>
    </row>
    <row r="30" spans="2:45" s="2" customFormat="1" ht="13.9" customHeight="1">
      <c r="B30" s="12"/>
      <c r="C30" s="215"/>
      <c r="D30" s="215"/>
      <c r="E30" s="210"/>
      <c r="F30" s="210"/>
      <c r="G30" s="215"/>
      <c r="H30" s="215"/>
      <c r="I30" s="210"/>
      <c r="J30" s="215"/>
      <c r="K30" s="210"/>
      <c r="L30" s="210"/>
      <c r="M30" s="210"/>
      <c r="N30" s="215">
        <v>0</v>
      </c>
      <c r="O30" s="210"/>
      <c r="P30" s="215"/>
      <c r="Q30" s="210"/>
      <c r="R30" s="210"/>
      <c r="S30" s="210"/>
      <c r="T30" s="210"/>
      <c r="U30" s="210">
        <v>0</v>
      </c>
      <c r="V30" s="210"/>
      <c r="W30" s="215"/>
      <c r="X30" s="19"/>
      <c r="Y30" s="19"/>
      <c r="Z30" s="19"/>
      <c r="AA30" s="19"/>
      <c r="AB30" s="215"/>
      <c r="AC30" s="19"/>
      <c r="AD30" s="19"/>
      <c r="AE30" s="19"/>
      <c r="AF30" s="19">
        <v>0</v>
      </c>
      <c r="AG30" s="215"/>
      <c r="AH30" s="19"/>
      <c r="AI30" s="19"/>
      <c r="AJ30" s="19"/>
      <c r="AK30" s="19">
        <v>0</v>
      </c>
      <c r="AL30" s="215"/>
      <c r="AM30" s="19"/>
      <c r="AN30" s="19"/>
      <c r="AO30" s="143"/>
      <c r="AP30" s="19"/>
      <c r="AQ30" s="276">
        <v>0</v>
      </c>
      <c r="AR30" s="19">
        <v>0</v>
      </c>
      <c r="AS30" s="215"/>
    </row>
    <row r="31" spans="2:45" s="2" customFormat="1" ht="13.9" customHeight="1">
      <c r="B31" s="2" t="s">
        <v>206</v>
      </c>
      <c r="C31" s="223">
        <v>87</v>
      </c>
      <c r="D31" s="223">
        <v>1561</v>
      </c>
      <c r="E31" s="210">
        <v>0</v>
      </c>
      <c r="F31" s="210">
        <v>0</v>
      </c>
      <c r="G31" s="215">
        <v>0</v>
      </c>
      <c r="H31" s="215">
        <v>0</v>
      </c>
      <c r="I31" s="210">
        <v>0</v>
      </c>
      <c r="J31" s="215">
        <v>0</v>
      </c>
      <c r="K31" s="210">
        <v>0</v>
      </c>
      <c r="L31" s="210">
        <v>0</v>
      </c>
      <c r="M31" s="210">
        <v>0</v>
      </c>
      <c r="N31" s="215">
        <v>0</v>
      </c>
      <c r="O31" s="210">
        <v>0</v>
      </c>
      <c r="P31" s="215">
        <v>0</v>
      </c>
      <c r="Q31" s="210">
        <v>0</v>
      </c>
      <c r="R31" s="210">
        <v>0</v>
      </c>
      <c r="S31" s="210">
        <v>0</v>
      </c>
      <c r="T31" s="210">
        <v>0</v>
      </c>
      <c r="U31" s="210">
        <v>0</v>
      </c>
      <c r="V31" s="210">
        <v>0</v>
      </c>
      <c r="W31" s="215">
        <v>0</v>
      </c>
      <c r="X31" s="19">
        <v>0</v>
      </c>
      <c r="Y31" s="19">
        <v>0</v>
      </c>
      <c r="Z31" s="19">
        <v>0</v>
      </c>
      <c r="AA31" s="19">
        <v>0</v>
      </c>
      <c r="AB31" s="215">
        <v>0</v>
      </c>
      <c r="AC31" s="19">
        <v>0</v>
      </c>
      <c r="AD31" s="19">
        <v>0</v>
      </c>
      <c r="AE31" s="19">
        <v>0</v>
      </c>
      <c r="AF31" s="19">
        <v>0</v>
      </c>
      <c r="AG31" s="215">
        <v>0</v>
      </c>
      <c r="AH31" s="19">
        <v>0</v>
      </c>
      <c r="AI31" s="19">
        <v>0</v>
      </c>
      <c r="AJ31" s="19">
        <v>0</v>
      </c>
      <c r="AK31" s="19">
        <v>0</v>
      </c>
      <c r="AL31" s="215">
        <v>0</v>
      </c>
      <c r="AM31" s="19">
        <v>0</v>
      </c>
      <c r="AN31" s="19">
        <v>0</v>
      </c>
      <c r="AO31" s="143">
        <v>0</v>
      </c>
      <c r="AP31" s="19">
        <v>0</v>
      </c>
      <c r="AQ31" s="276">
        <v>0</v>
      </c>
      <c r="AR31" s="19">
        <v>0</v>
      </c>
      <c r="AS31" s="215">
        <v>0</v>
      </c>
    </row>
    <row r="32" spans="2:45" s="2" customFormat="1" ht="13.9" customHeight="1">
      <c r="B32" s="12" t="s">
        <v>203</v>
      </c>
      <c r="C32" s="215">
        <v>0</v>
      </c>
      <c r="D32" s="215">
        <v>0</v>
      </c>
      <c r="E32" s="210">
        <v>0</v>
      </c>
      <c r="F32" s="223">
        <v>951</v>
      </c>
      <c r="G32" s="215">
        <v>0</v>
      </c>
      <c r="H32" s="223">
        <v>951</v>
      </c>
      <c r="I32" s="210">
        <v>0</v>
      </c>
      <c r="J32" s="223">
        <v>951</v>
      </c>
      <c r="K32" s="210">
        <v>0</v>
      </c>
      <c r="L32" s="210">
        <v>0</v>
      </c>
      <c r="M32" s="210">
        <v>0</v>
      </c>
      <c r="N32" s="215">
        <v>0</v>
      </c>
      <c r="O32" s="210">
        <v>0</v>
      </c>
      <c r="P32" s="215">
        <v>0</v>
      </c>
      <c r="Q32" s="210">
        <v>0</v>
      </c>
      <c r="R32" s="210">
        <v>0</v>
      </c>
      <c r="S32" s="210">
        <v>0</v>
      </c>
      <c r="T32" s="210">
        <v>0</v>
      </c>
      <c r="U32" s="210">
        <v>0</v>
      </c>
      <c r="V32" s="210">
        <v>0</v>
      </c>
      <c r="W32" s="215">
        <v>0</v>
      </c>
      <c r="X32" s="19">
        <v>0</v>
      </c>
      <c r="Y32" s="19">
        <v>0</v>
      </c>
      <c r="Z32" s="19">
        <v>0</v>
      </c>
      <c r="AA32" s="19">
        <v>0</v>
      </c>
      <c r="AB32" s="215">
        <v>0</v>
      </c>
      <c r="AC32" s="19">
        <v>0</v>
      </c>
      <c r="AD32" s="19">
        <v>0</v>
      </c>
      <c r="AE32" s="19">
        <v>0</v>
      </c>
      <c r="AF32" s="19">
        <v>0</v>
      </c>
      <c r="AG32" s="215">
        <v>0</v>
      </c>
      <c r="AH32" s="19">
        <v>0</v>
      </c>
      <c r="AI32" s="19">
        <v>0</v>
      </c>
      <c r="AJ32" s="19">
        <v>0</v>
      </c>
      <c r="AK32" s="19">
        <v>0</v>
      </c>
      <c r="AL32" s="215">
        <v>0</v>
      </c>
      <c r="AM32" s="19">
        <v>0</v>
      </c>
      <c r="AN32" s="19">
        <v>0</v>
      </c>
      <c r="AO32" s="143">
        <v>0</v>
      </c>
      <c r="AP32" s="19">
        <v>0</v>
      </c>
      <c r="AQ32" s="276">
        <v>0</v>
      </c>
      <c r="AR32" s="19">
        <v>0</v>
      </c>
      <c r="AS32" s="215">
        <v>0</v>
      </c>
    </row>
    <row r="33" spans="2:45" s="2" customFormat="1" ht="13.9" customHeight="1">
      <c r="B33" s="34" t="s">
        <v>205</v>
      </c>
      <c r="C33" s="215">
        <v>0</v>
      </c>
      <c r="D33" s="215">
        <v>0</v>
      </c>
      <c r="E33" s="210">
        <v>0</v>
      </c>
      <c r="F33" s="210">
        <v>0</v>
      </c>
      <c r="G33" s="215">
        <v>0</v>
      </c>
      <c r="H33" s="215">
        <v>0</v>
      </c>
      <c r="I33" s="215">
        <v>150.92000000000002</v>
      </c>
      <c r="J33" s="223">
        <v>150.92000000000002</v>
      </c>
      <c r="K33" s="210">
        <v>0</v>
      </c>
      <c r="L33" s="210">
        <v>0</v>
      </c>
      <c r="M33" s="223">
        <v>282</v>
      </c>
      <c r="N33" s="223">
        <v>282</v>
      </c>
      <c r="O33" s="210">
        <v>25</v>
      </c>
      <c r="P33" s="215">
        <v>307</v>
      </c>
      <c r="Q33" s="210">
        <v>0</v>
      </c>
      <c r="R33" s="210">
        <v>0</v>
      </c>
      <c r="S33" s="210">
        <v>0</v>
      </c>
      <c r="T33" s="210">
        <v>0</v>
      </c>
      <c r="U33" s="210">
        <v>0</v>
      </c>
      <c r="V33" s="210">
        <v>0</v>
      </c>
      <c r="W33" s="215"/>
      <c r="X33" s="19">
        <v>0</v>
      </c>
      <c r="Y33" s="19">
        <v>0</v>
      </c>
      <c r="Z33" s="19">
        <v>0</v>
      </c>
      <c r="AA33" s="19">
        <v>0</v>
      </c>
      <c r="AB33" s="215"/>
      <c r="AC33" s="19">
        <v>0</v>
      </c>
      <c r="AD33" s="19">
        <v>0</v>
      </c>
      <c r="AE33" s="19">
        <v>0</v>
      </c>
      <c r="AF33" s="19">
        <v>0</v>
      </c>
      <c r="AG33" s="215">
        <v>0</v>
      </c>
      <c r="AH33" s="19">
        <v>0</v>
      </c>
      <c r="AI33" s="19">
        <v>0</v>
      </c>
      <c r="AJ33" s="19">
        <v>0</v>
      </c>
      <c r="AK33" s="19">
        <v>0</v>
      </c>
      <c r="AL33" s="215">
        <v>0</v>
      </c>
      <c r="AM33" s="19">
        <v>0</v>
      </c>
      <c r="AN33" s="19">
        <v>0</v>
      </c>
      <c r="AO33" s="143">
        <v>0</v>
      </c>
      <c r="AP33" s="19">
        <v>0</v>
      </c>
      <c r="AQ33" s="276">
        <v>0</v>
      </c>
      <c r="AR33" s="19">
        <v>0</v>
      </c>
      <c r="AS33" s="215">
        <v>0</v>
      </c>
    </row>
    <row r="34" spans="2:45" s="2" customFormat="1" ht="13.9" customHeight="1">
      <c r="B34" s="34" t="s">
        <v>228</v>
      </c>
      <c r="C34" s="215">
        <v>0</v>
      </c>
      <c r="D34" s="215">
        <v>0</v>
      </c>
      <c r="E34" s="210">
        <v>0</v>
      </c>
      <c r="F34" s="210">
        <v>0</v>
      </c>
      <c r="G34" s="210">
        <v>0</v>
      </c>
      <c r="H34" s="210">
        <v>0</v>
      </c>
      <c r="I34" s="210">
        <v>0</v>
      </c>
      <c r="J34" s="215">
        <v>0</v>
      </c>
      <c r="K34" s="210">
        <v>0</v>
      </c>
      <c r="L34" s="210">
        <v>0</v>
      </c>
      <c r="M34" s="223">
        <v>-14</v>
      </c>
      <c r="N34" s="223">
        <v>-14</v>
      </c>
      <c r="O34" s="210">
        <v>0</v>
      </c>
      <c r="P34" s="223">
        <v>-14</v>
      </c>
      <c r="Q34" s="210">
        <v>0</v>
      </c>
      <c r="R34" s="210">
        <v>0</v>
      </c>
      <c r="S34" s="210">
        <v>0</v>
      </c>
      <c r="T34" s="210">
        <v>0</v>
      </c>
      <c r="U34" s="210">
        <v>0</v>
      </c>
      <c r="V34" s="210">
        <v>0</v>
      </c>
      <c r="W34" s="223"/>
      <c r="X34" s="19">
        <v>0</v>
      </c>
      <c r="Y34" s="19">
        <v>0</v>
      </c>
      <c r="Z34" s="19">
        <v>0</v>
      </c>
      <c r="AA34" s="19">
        <v>0</v>
      </c>
      <c r="AB34" s="223"/>
      <c r="AC34" s="19">
        <v>0</v>
      </c>
      <c r="AD34" s="19">
        <v>0</v>
      </c>
      <c r="AE34" s="19">
        <v>0</v>
      </c>
      <c r="AF34" s="19">
        <v>0</v>
      </c>
      <c r="AG34" s="215">
        <v>0</v>
      </c>
      <c r="AH34" s="19">
        <v>0</v>
      </c>
      <c r="AI34" s="19">
        <v>0</v>
      </c>
      <c r="AJ34" s="19">
        <v>0</v>
      </c>
      <c r="AK34" s="19">
        <v>0</v>
      </c>
      <c r="AL34" s="215">
        <v>0</v>
      </c>
      <c r="AM34" s="19">
        <v>0</v>
      </c>
      <c r="AN34" s="19">
        <v>0</v>
      </c>
      <c r="AO34" s="143">
        <v>0</v>
      </c>
      <c r="AP34" s="19">
        <v>0</v>
      </c>
      <c r="AQ34" s="276">
        <v>0</v>
      </c>
      <c r="AR34" s="19">
        <v>0</v>
      </c>
      <c r="AS34" s="215">
        <v>0</v>
      </c>
    </row>
    <row r="35" spans="2:45" s="2" customFormat="1" ht="13.9" customHeight="1">
      <c r="B35" s="12" t="s">
        <v>198</v>
      </c>
      <c r="C35" s="215">
        <v>0</v>
      </c>
      <c r="D35" s="215">
        <v>0</v>
      </c>
      <c r="E35" s="210">
        <v>0</v>
      </c>
      <c r="F35" s="223">
        <v>1166</v>
      </c>
      <c r="G35" s="215">
        <v>0</v>
      </c>
      <c r="H35" s="228">
        <v>1166</v>
      </c>
      <c r="I35" s="215">
        <v>0</v>
      </c>
      <c r="J35" s="223">
        <v>1166</v>
      </c>
      <c r="K35" s="210">
        <v>0</v>
      </c>
      <c r="L35" s="210">
        <v>0</v>
      </c>
      <c r="M35" s="210">
        <v>0</v>
      </c>
      <c r="N35" s="215"/>
      <c r="O35" s="210">
        <v>0</v>
      </c>
      <c r="P35" s="215">
        <v>0</v>
      </c>
      <c r="Q35" s="210">
        <v>0</v>
      </c>
      <c r="R35" s="210">
        <v>0</v>
      </c>
      <c r="S35" s="210">
        <v>0</v>
      </c>
      <c r="T35" s="210">
        <v>0</v>
      </c>
      <c r="U35" s="210">
        <v>0</v>
      </c>
      <c r="V35" s="210">
        <v>0</v>
      </c>
      <c r="W35" s="215">
        <v>0</v>
      </c>
      <c r="X35" s="19">
        <v>0</v>
      </c>
      <c r="Y35" s="19">
        <v>0</v>
      </c>
      <c r="Z35" s="19">
        <v>0</v>
      </c>
      <c r="AA35" s="19">
        <v>0</v>
      </c>
      <c r="AB35" s="215">
        <v>0</v>
      </c>
      <c r="AC35" s="19">
        <v>0</v>
      </c>
      <c r="AD35" s="19">
        <v>0</v>
      </c>
      <c r="AE35" s="19">
        <v>0</v>
      </c>
      <c r="AF35" s="105">
        <v>0</v>
      </c>
      <c r="AG35" s="215">
        <v>0</v>
      </c>
      <c r="AH35" s="19">
        <v>0</v>
      </c>
      <c r="AI35" s="19">
        <v>0</v>
      </c>
      <c r="AJ35" s="19">
        <v>0</v>
      </c>
      <c r="AK35" s="105">
        <v>0</v>
      </c>
      <c r="AL35" s="215">
        <v>0</v>
      </c>
      <c r="AM35" s="19">
        <v>0</v>
      </c>
      <c r="AN35" s="19">
        <v>0</v>
      </c>
      <c r="AO35" s="143">
        <v>0</v>
      </c>
      <c r="AP35" s="19">
        <v>0</v>
      </c>
      <c r="AQ35" s="276">
        <v>0</v>
      </c>
      <c r="AR35" s="105">
        <v>0</v>
      </c>
      <c r="AS35" s="215">
        <v>0</v>
      </c>
    </row>
    <row r="36" spans="2:45" s="2" customFormat="1" ht="13.9" customHeight="1">
      <c r="B36" s="74" t="s">
        <v>238</v>
      </c>
      <c r="C36" s="232">
        <v>1295.56</v>
      </c>
      <c r="D36" s="232">
        <v>961.09</v>
      </c>
      <c r="E36" s="232">
        <v>285.64</v>
      </c>
      <c r="F36" s="232">
        <v>217.15000000000009</v>
      </c>
      <c r="G36" s="232">
        <v>207.26</v>
      </c>
      <c r="H36" s="232">
        <v>710.05000000000007</v>
      </c>
      <c r="I36" s="232">
        <v>203.36000000000007</v>
      </c>
      <c r="J36" s="232">
        <v>913.41000000000008</v>
      </c>
      <c r="K36" s="232">
        <v>325</v>
      </c>
      <c r="L36" s="232">
        <v>252</v>
      </c>
      <c r="M36" s="232">
        <v>290.14999999999998</v>
      </c>
      <c r="N36" s="232">
        <v>867.15</v>
      </c>
      <c r="O36" s="232">
        <v>277.07</v>
      </c>
      <c r="P36" s="232">
        <v>1144.22</v>
      </c>
      <c r="Q36" s="232">
        <v>299</v>
      </c>
      <c r="R36" s="232">
        <v>304</v>
      </c>
      <c r="S36" s="232">
        <v>603</v>
      </c>
      <c r="T36" s="232">
        <v>295.16000000000003</v>
      </c>
      <c r="U36" s="232">
        <v>898.16000000000008</v>
      </c>
      <c r="V36" s="232">
        <v>255.92000000000002</v>
      </c>
      <c r="W36" s="232">
        <v>1154.0800000000002</v>
      </c>
      <c r="X36" s="77">
        <v>322</v>
      </c>
      <c r="Y36" s="77">
        <v>310</v>
      </c>
      <c r="Z36" s="77">
        <v>314</v>
      </c>
      <c r="AA36" s="77">
        <v>250</v>
      </c>
      <c r="AB36" s="232">
        <v>1196</v>
      </c>
      <c r="AC36" s="77">
        <v>321</v>
      </c>
      <c r="AD36" s="77">
        <v>354</v>
      </c>
      <c r="AE36" s="77">
        <v>357</v>
      </c>
      <c r="AF36" s="101">
        <v>296</v>
      </c>
      <c r="AG36" s="232">
        <v>1328</v>
      </c>
      <c r="AH36" s="77">
        <v>299</v>
      </c>
      <c r="AI36" s="77">
        <v>292</v>
      </c>
      <c r="AJ36" s="77">
        <v>309</v>
      </c>
      <c r="AK36" s="77">
        <v>365</v>
      </c>
      <c r="AL36" s="232">
        <v>1265</v>
      </c>
      <c r="AM36" s="77">
        <v>319</v>
      </c>
      <c r="AN36" s="77">
        <v>427</v>
      </c>
      <c r="AO36" s="152">
        <v>746</v>
      </c>
      <c r="AP36" s="77">
        <v>482</v>
      </c>
      <c r="AQ36" s="291">
        <v>1228</v>
      </c>
      <c r="AR36" s="77">
        <v>428</v>
      </c>
      <c r="AS36" s="232">
        <v>1656</v>
      </c>
    </row>
    <row r="37" spans="2:45" s="2" customFormat="1" ht="13.9" customHeight="1">
      <c r="B37" s="20" t="s">
        <v>5</v>
      </c>
      <c r="C37" s="230"/>
      <c r="D37" s="230"/>
      <c r="E37" s="212">
        <v>-0.77952391243940844</v>
      </c>
      <c r="F37" s="212">
        <v>-0.23977734210894797</v>
      </c>
      <c r="G37" s="212">
        <v>-4.5544554455446029E-2</v>
      </c>
      <c r="H37" s="212"/>
      <c r="I37" s="212">
        <v>-1.8816944900125088E-2</v>
      </c>
      <c r="J37" s="211"/>
      <c r="K37" s="212">
        <v>0.5981510621557824</v>
      </c>
      <c r="L37" s="212">
        <v>-0.22461538461538466</v>
      </c>
      <c r="M37" s="212">
        <v>0.1513888888888888</v>
      </c>
      <c r="N37" s="212"/>
      <c r="O37" s="212">
        <v>-4.5080130966741239E-2</v>
      </c>
      <c r="P37" s="211"/>
      <c r="Q37" s="212">
        <v>7.9149673367741036E-2</v>
      </c>
      <c r="R37" s="212">
        <v>1.6722408026755842E-2</v>
      </c>
      <c r="S37" s="212">
        <v>0.98355263157894735</v>
      </c>
      <c r="T37" s="212">
        <v>-2.9078947368420982E-2</v>
      </c>
      <c r="U37" s="212"/>
      <c r="V37" s="212">
        <v>-0.13294484347472557</v>
      </c>
      <c r="W37" s="211"/>
      <c r="X37" s="21">
        <v>0.25820568927789922</v>
      </c>
      <c r="Y37" s="21">
        <v>-3.7267080745341574E-2</v>
      </c>
      <c r="Z37" s="21">
        <v>1.2903225806451646E-2</v>
      </c>
      <c r="AA37" s="21">
        <v>-0.20382165605095537</v>
      </c>
      <c r="AB37" s="211"/>
      <c r="AC37" s="21">
        <v>0.28400000000000003</v>
      </c>
      <c r="AD37" s="21">
        <v>0.10280373831775691</v>
      </c>
      <c r="AE37" s="21">
        <v>8.4745762711864181E-3</v>
      </c>
      <c r="AF37" s="21">
        <v>-0.17086834733893552</v>
      </c>
      <c r="AG37" s="211"/>
      <c r="AH37" s="21">
        <v>1.0135135135135087E-2</v>
      </c>
      <c r="AI37" s="21">
        <v>-2.3411371237458178E-2</v>
      </c>
      <c r="AJ37" s="21">
        <v>5.821917808219168E-2</v>
      </c>
      <c r="AK37" s="21">
        <v>0.18122977346278324</v>
      </c>
      <c r="AL37" s="211"/>
      <c r="AM37" s="21">
        <v>-0.12602739726027401</v>
      </c>
      <c r="AN37" s="21">
        <v>0.33855799373040751</v>
      </c>
      <c r="AO37" s="144"/>
      <c r="AP37" s="21">
        <v>0.12880562060889922</v>
      </c>
      <c r="AQ37" s="277"/>
      <c r="AR37" s="21">
        <v>-0.11203319502074693</v>
      </c>
      <c r="AS37" s="211"/>
    </row>
    <row r="38" spans="2:45" s="2" customFormat="1" ht="13.9" customHeight="1">
      <c r="B38" s="20" t="s">
        <v>6</v>
      </c>
      <c r="C38" s="223"/>
      <c r="D38" s="211">
        <v>-0.25816635277408995</v>
      </c>
      <c r="E38" s="211"/>
      <c r="F38" s="211"/>
      <c r="G38" s="211"/>
      <c r="H38" s="211"/>
      <c r="I38" s="211"/>
      <c r="J38" s="211">
        <v>-4.9610338261765197E-2</v>
      </c>
      <c r="K38" s="211">
        <v>0.13779582691499792</v>
      </c>
      <c r="L38" s="211">
        <v>0.16048814183743909</v>
      </c>
      <c r="M38" s="211">
        <v>0.39993245199266614</v>
      </c>
      <c r="N38" s="211">
        <v>0.22125202450531645</v>
      </c>
      <c r="O38" s="211">
        <v>0.36499999999999999</v>
      </c>
      <c r="P38" s="211">
        <v>0.25269046758848712</v>
      </c>
      <c r="Q38" s="211">
        <v>-7.999999999999996E-2</v>
      </c>
      <c r="R38" s="211">
        <v>0.20634920634920628</v>
      </c>
      <c r="S38" s="211">
        <v>1.0782353954850943</v>
      </c>
      <c r="T38" s="211">
        <v>1.7266930897811728E-2</v>
      </c>
      <c r="U38" s="211">
        <v>3.5760825693363474E-2</v>
      </c>
      <c r="V38" s="211">
        <v>-7.6334500306781572E-2</v>
      </c>
      <c r="W38" s="211">
        <v>8.6172239604274115E-3</v>
      </c>
      <c r="X38" s="22">
        <v>7.6999999999999999E-2</v>
      </c>
      <c r="Y38" s="22">
        <v>1.9736842105263053E-2</v>
      </c>
      <c r="Z38" s="22">
        <v>6.3829787234042534E-2</v>
      </c>
      <c r="AA38" s="22">
        <v>-2.3132228821506784E-2</v>
      </c>
      <c r="AB38" s="211">
        <v>3.6323305143490803E-2</v>
      </c>
      <c r="AC38" s="22">
        <v>-3.1055900621117516E-3</v>
      </c>
      <c r="AD38" s="22">
        <v>0.14193548387096766</v>
      </c>
      <c r="AE38" s="22">
        <v>0.13694267515923575</v>
      </c>
      <c r="AF38" s="22">
        <v>0.18399999999999994</v>
      </c>
      <c r="AG38" s="211">
        <v>0.11036789297658856</v>
      </c>
      <c r="AH38" s="22">
        <v>-6.8535825545171347E-2</v>
      </c>
      <c r="AI38" s="22">
        <v>-0.17514124293785316</v>
      </c>
      <c r="AJ38" s="22">
        <v>-0.13445378151260501</v>
      </c>
      <c r="AK38" s="22">
        <v>0.23310810810810811</v>
      </c>
      <c r="AL38" s="211">
        <v>-4.7439759036144613E-2</v>
      </c>
      <c r="AM38" s="22">
        <v>6.6889632107023367E-2</v>
      </c>
      <c r="AN38" s="22">
        <v>0.46232876712328763</v>
      </c>
      <c r="AO38" s="139"/>
      <c r="AP38" s="22">
        <v>0.5598705501618122</v>
      </c>
      <c r="AQ38" s="278"/>
      <c r="AR38" s="22">
        <v>0.17260273972602747</v>
      </c>
      <c r="AS38" s="211">
        <v>0.30909090909090908</v>
      </c>
    </row>
    <row r="39" spans="2:45" ht="3.4" customHeight="1">
      <c r="B39" s="172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02"/>
      <c r="AR39" s="202"/>
      <c r="AS39" s="202"/>
    </row>
    <row r="41" spans="2:45" ht="25.35" customHeight="1">
      <c r="B41" s="177" t="s">
        <v>535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</row>
    <row r="42" spans="2:45">
      <c r="N42" s="117"/>
    </row>
    <row r="43" spans="2:45">
      <c r="B43" s="289" t="s">
        <v>536</v>
      </c>
      <c r="C43" s="122"/>
      <c r="D43" s="122"/>
      <c r="E43" s="290"/>
      <c r="F43" s="290"/>
      <c r="G43" s="290"/>
      <c r="H43" s="290"/>
      <c r="I43" s="290"/>
      <c r="J43" s="122"/>
      <c r="K43" s="290"/>
      <c r="L43" s="290"/>
      <c r="M43" s="290"/>
      <c r="N43" s="290"/>
      <c r="O43" s="290"/>
      <c r="P43" s="122"/>
      <c r="Q43" s="290"/>
      <c r="R43" s="290"/>
      <c r="S43" s="290"/>
      <c r="T43" s="290"/>
      <c r="U43" s="290"/>
      <c r="V43" s="290"/>
      <c r="W43" s="122"/>
      <c r="X43" s="290"/>
      <c r="Y43" s="290"/>
      <c r="Z43" s="290"/>
      <c r="AA43" s="290"/>
      <c r="AB43" s="122"/>
      <c r="AC43" s="290"/>
      <c r="AD43" s="290"/>
      <c r="AE43" s="290"/>
      <c r="AF43" s="290"/>
      <c r="AG43" s="122"/>
      <c r="AH43" s="290"/>
      <c r="AI43" s="290"/>
      <c r="AJ43" s="290"/>
      <c r="AK43" s="290"/>
      <c r="AL43" s="122"/>
      <c r="AM43" s="290"/>
      <c r="AN43" s="290"/>
      <c r="AO43" s="290"/>
      <c r="AP43" s="290"/>
      <c r="AQ43" s="290"/>
      <c r="AR43" s="290"/>
      <c r="AS43" s="122"/>
    </row>
    <row r="44" spans="2:45">
      <c r="B44" s="34" t="s">
        <v>237</v>
      </c>
      <c r="AG44" s="210">
        <v>3817</v>
      </c>
      <c r="AH44" s="89">
        <v>917</v>
      </c>
      <c r="AI44" s="89">
        <v>910</v>
      </c>
      <c r="AJ44" s="89">
        <v>915</v>
      </c>
      <c r="AK44" s="106">
        <v>974</v>
      </c>
      <c r="AL44" s="210">
        <v>3716</v>
      </c>
      <c r="AM44" s="89">
        <v>914</v>
      </c>
      <c r="AN44" s="89">
        <v>1013</v>
      </c>
      <c r="AO44" s="2"/>
      <c r="AP44" s="89">
        <v>1041</v>
      </c>
      <c r="AQ44" s="2"/>
      <c r="AR44" s="106">
        <v>1037</v>
      </c>
      <c r="AS44" s="210">
        <v>4005</v>
      </c>
    </row>
    <row r="45" spans="2:45">
      <c r="B45" s="2" t="s">
        <v>527</v>
      </c>
      <c r="AG45" s="210">
        <v>239</v>
      </c>
      <c r="AH45" s="2">
        <v>44</v>
      </c>
      <c r="AI45" s="2">
        <v>43</v>
      </c>
      <c r="AJ45" s="2">
        <v>35</v>
      </c>
      <c r="AK45" s="106">
        <v>51</v>
      </c>
      <c r="AL45" s="210">
        <v>173</v>
      </c>
      <c r="AM45" s="2">
        <v>49</v>
      </c>
      <c r="AN45" s="2">
        <v>56</v>
      </c>
      <c r="AO45" s="2"/>
      <c r="AP45" s="2">
        <v>59</v>
      </c>
      <c r="AQ45" s="2"/>
      <c r="AR45" s="106">
        <v>54</v>
      </c>
      <c r="AS45" s="210">
        <v>218</v>
      </c>
    </row>
    <row r="46" spans="2:45">
      <c r="B46" s="2" t="s">
        <v>528</v>
      </c>
      <c r="AG46" s="210">
        <v>257</v>
      </c>
      <c r="AH46" s="2">
        <v>41</v>
      </c>
      <c r="AI46" s="2">
        <v>41</v>
      </c>
      <c r="AJ46" s="2">
        <v>43</v>
      </c>
      <c r="AK46" s="106">
        <v>81</v>
      </c>
      <c r="AL46" s="210">
        <v>206</v>
      </c>
      <c r="AM46" s="2">
        <v>46</v>
      </c>
      <c r="AN46" s="2">
        <v>148</v>
      </c>
      <c r="AO46" s="2"/>
      <c r="AP46" s="2">
        <v>161</v>
      </c>
      <c r="AQ46" s="2"/>
      <c r="AR46" s="106">
        <v>128</v>
      </c>
      <c r="AS46" s="210">
        <v>483</v>
      </c>
    </row>
    <row r="47" spans="2:45">
      <c r="B47" s="2"/>
      <c r="AG47" s="237"/>
      <c r="AH47" s="356"/>
      <c r="AI47" s="399"/>
      <c r="AJ47" s="399"/>
      <c r="AK47" s="101"/>
      <c r="AL47" s="237"/>
      <c r="AM47" s="399"/>
      <c r="AN47" s="356"/>
      <c r="AO47" s="2"/>
      <c r="AP47" s="356"/>
      <c r="AQ47" s="2"/>
      <c r="AR47" s="356"/>
      <c r="AS47" s="237"/>
    </row>
    <row r="48" spans="2:45">
      <c r="B48" s="2" t="s">
        <v>530</v>
      </c>
      <c r="AG48" s="237">
        <v>3799</v>
      </c>
      <c r="AH48" s="356">
        <v>920</v>
      </c>
      <c r="AI48" s="356">
        <v>912</v>
      </c>
      <c r="AJ48" s="356">
        <v>907</v>
      </c>
      <c r="AK48" s="110">
        <v>944</v>
      </c>
      <c r="AL48" s="237">
        <v>3683</v>
      </c>
      <c r="AM48" s="356">
        <v>917</v>
      </c>
      <c r="AN48" s="356">
        <v>921</v>
      </c>
      <c r="AO48" s="399"/>
      <c r="AP48" s="356">
        <v>939</v>
      </c>
      <c r="AQ48" s="399"/>
      <c r="AR48" s="110">
        <v>963</v>
      </c>
      <c r="AS48" s="237">
        <v>3740</v>
      </c>
    </row>
    <row r="49" spans="2:45">
      <c r="B49" s="20" t="s">
        <v>5</v>
      </c>
      <c r="AG49" s="226"/>
      <c r="AH49" s="21"/>
      <c r="AI49" s="21">
        <v>-8.6956521739129933E-3</v>
      </c>
      <c r="AJ49" s="21">
        <v>-5.482456140350922E-3</v>
      </c>
      <c r="AK49" s="21">
        <v>4.0793825799338546E-2</v>
      </c>
      <c r="AL49" s="211"/>
      <c r="AM49" s="21">
        <v>-2.8601694915254217E-2</v>
      </c>
      <c r="AN49" s="21">
        <v>4.362050163576825E-3</v>
      </c>
      <c r="AO49" s="144"/>
      <c r="AP49" s="21">
        <v>1.9543973941368087E-2</v>
      </c>
      <c r="AQ49" s="2"/>
      <c r="AR49" s="21">
        <v>2.5559105431310014E-2</v>
      </c>
      <c r="AS49" s="223"/>
    </row>
    <row r="50" spans="2:45">
      <c r="B50" s="20" t="s">
        <v>6</v>
      </c>
      <c r="AG50" s="226"/>
      <c r="AH50" s="22"/>
      <c r="AI50" s="22"/>
      <c r="AJ50" s="22"/>
      <c r="AK50" s="22"/>
      <c r="AL50" s="211">
        <v>-3.0534351145038219E-2</v>
      </c>
      <c r="AM50" s="22">
        <v>-3.260869565217428E-3</v>
      </c>
      <c r="AN50" s="22">
        <v>9.8684210526316374E-3</v>
      </c>
      <c r="AO50" s="139"/>
      <c r="AP50" s="22">
        <v>3.5281146637265781E-2</v>
      </c>
      <c r="AQ50" s="2"/>
      <c r="AR50" s="22">
        <v>2.0127118644067687E-2</v>
      </c>
      <c r="AS50" s="211">
        <v>1.5476513711648154E-2</v>
      </c>
    </row>
    <row r="51" spans="2:45">
      <c r="B51" s="2" t="s">
        <v>531</v>
      </c>
      <c r="AG51" s="231">
        <v>0.41733494452378339</v>
      </c>
      <c r="AH51" s="26">
        <v>0.4079822616407982</v>
      </c>
      <c r="AI51" s="26">
        <v>0.41605839416058393</v>
      </c>
      <c r="AJ51" s="26">
        <v>0.40599820948970455</v>
      </c>
      <c r="AK51" s="26">
        <v>0.42850658193372676</v>
      </c>
      <c r="AL51" s="231">
        <v>0.41456551103106709</v>
      </c>
      <c r="AM51" s="26">
        <v>0.41029082774049219</v>
      </c>
      <c r="AN51" s="26">
        <v>0.4311797752808989</v>
      </c>
      <c r="AO51" s="26"/>
      <c r="AP51" s="26">
        <v>0.43776223776223777</v>
      </c>
      <c r="AQ51" s="2"/>
      <c r="AR51" s="26">
        <v>0.44053064958828914</v>
      </c>
      <c r="AS51" s="231">
        <v>0.42978625603309584</v>
      </c>
    </row>
    <row r="52" spans="2:45">
      <c r="B52" s="20"/>
      <c r="AG52" s="226"/>
      <c r="AH52" s="22"/>
      <c r="AI52" s="22"/>
      <c r="AJ52" s="22"/>
      <c r="AK52" s="22"/>
      <c r="AL52" s="211"/>
      <c r="AM52" s="22"/>
      <c r="AN52" s="22"/>
      <c r="AO52" s="139"/>
      <c r="AP52" s="22"/>
      <c r="AQ52" s="2"/>
      <c r="AR52" s="22"/>
      <c r="AS52" s="211"/>
    </row>
    <row r="53" spans="2:45">
      <c r="B53" s="422" t="s">
        <v>537</v>
      </c>
      <c r="C53" s="423"/>
      <c r="D53" s="423"/>
      <c r="E53" s="424"/>
      <c r="F53" s="424"/>
      <c r="G53" s="424"/>
      <c r="H53" s="424"/>
      <c r="I53" s="424"/>
      <c r="J53" s="423"/>
      <c r="K53" s="424"/>
      <c r="L53" s="424"/>
      <c r="M53" s="424"/>
      <c r="N53" s="424"/>
      <c r="O53" s="424"/>
      <c r="P53" s="423"/>
      <c r="Q53" s="424"/>
      <c r="R53" s="424"/>
      <c r="S53" s="424"/>
      <c r="T53" s="424"/>
      <c r="U53" s="424"/>
      <c r="V53" s="424"/>
      <c r="W53" s="423"/>
      <c r="X53" s="424"/>
      <c r="Y53" s="424"/>
      <c r="Z53" s="424"/>
      <c r="AA53" s="424"/>
      <c r="AB53" s="423"/>
      <c r="AC53" s="424"/>
      <c r="AD53" s="424"/>
      <c r="AE53" s="424"/>
      <c r="AF53" s="424"/>
      <c r="AG53" s="425"/>
      <c r="AH53" s="425"/>
      <c r="AI53" s="425"/>
      <c r="AJ53" s="425"/>
      <c r="AK53" s="425"/>
      <c r="AL53" s="425"/>
      <c r="AM53" s="425"/>
      <c r="AN53" s="425"/>
      <c r="AO53" s="425"/>
      <c r="AP53" s="425"/>
      <c r="AQ53" s="425"/>
      <c r="AR53" s="425"/>
      <c r="AS53" s="425"/>
    </row>
    <row r="54" spans="2:45">
      <c r="B54" s="400" t="s">
        <v>524</v>
      </c>
      <c r="E54" s="401"/>
      <c r="F54" s="401"/>
      <c r="G54" s="401"/>
      <c r="H54" s="401"/>
      <c r="I54" s="401"/>
      <c r="K54" s="401"/>
      <c r="L54" s="401"/>
      <c r="M54" s="401"/>
      <c r="N54" s="401"/>
      <c r="O54" s="401"/>
      <c r="Q54" s="401"/>
      <c r="R54" s="401"/>
      <c r="S54" s="401"/>
      <c r="T54" s="401"/>
      <c r="U54" s="401"/>
      <c r="V54" s="401"/>
      <c r="X54" s="401"/>
      <c r="Y54" s="401"/>
      <c r="Z54" s="401"/>
      <c r="AA54" s="401"/>
      <c r="AC54" s="401"/>
      <c r="AD54" s="401"/>
      <c r="AE54" s="401"/>
      <c r="AF54" s="401"/>
      <c r="AG54" s="210">
        <v>1328</v>
      </c>
      <c r="AH54" s="89">
        <v>299</v>
      </c>
      <c r="AI54" s="89">
        <v>292</v>
      </c>
      <c r="AJ54" s="89">
        <v>309</v>
      </c>
      <c r="AK54" s="89">
        <v>365</v>
      </c>
      <c r="AL54" s="210">
        <v>1265</v>
      </c>
      <c r="AM54" s="89">
        <v>319</v>
      </c>
      <c r="AN54" s="89">
        <v>427</v>
      </c>
      <c r="AO54" s="89"/>
      <c r="AP54" s="89">
        <v>482</v>
      </c>
      <c r="AQ54" s="89"/>
      <c r="AR54" s="89">
        <v>428</v>
      </c>
      <c r="AS54" s="210">
        <v>1656</v>
      </c>
    </row>
    <row r="55" spans="2:45">
      <c r="B55" s="2" t="s">
        <v>526</v>
      </c>
      <c r="AG55" s="210">
        <v>3</v>
      </c>
      <c r="AH55" s="62">
        <v>-13</v>
      </c>
      <c r="AI55" s="62">
        <v>-13</v>
      </c>
      <c r="AJ55" s="62">
        <v>-30</v>
      </c>
      <c r="AK55" s="62">
        <v>-16</v>
      </c>
      <c r="AL55" s="223">
        <v>-72</v>
      </c>
      <c r="AM55" s="62">
        <v>-5</v>
      </c>
      <c r="AN55" s="62">
        <v>-22</v>
      </c>
      <c r="AO55" s="62"/>
      <c r="AP55" s="62">
        <v>-1</v>
      </c>
      <c r="AQ55" s="62"/>
      <c r="AR55" s="62">
        <v>-14</v>
      </c>
      <c r="AS55" s="223">
        <v>-42</v>
      </c>
    </row>
    <row r="56" spans="2:45">
      <c r="B56" s="2" t="s">
        <v>525</v>
      </c>
      <c r="AG56" s="210">
        <v>99</v>
      </c>
      <c r="AH56" s="62">
        <v>-12</v>
      </c>
      <c r="AI56" s="89">
        <v>0</v>
      </c>
      <c r="AJ56" s="89">
        <v>12</v>
      </c>
      <c r="AK56" s="89">
        <v>60</v>
      </c>
      <c r="AL56" s="223">
        <v>60</v>
      </c>
      <c r="AM56" s="89">
        <v>12</v>
      </c>
      <c r="AN56" s="89">
        <v>173</v>
      </c>
      <c r="AO56" s="89"/>
      <c r="AP56" s="89">
        <v>214</v>
      </c>
      <c r="AQ56" s="89"/>
      <c r="AR56" s="89">
        <v>102</v>
      </c>
      <c r="AS56" s="223">
        <v>501</v>
      </c>
    </row>
    <row r="57" spans="2:45">
      <c r="B57" s="2" t="s">
        <v>483</v>
      </c>
      <c r="AG57" s="223">
        <v>-30</v>
      </c>
      <c r="AH57" s="62">
        <v>-9</v>
      </c>
      <c r="AI57" s="62">
        <v>-9</v>
      </c>
      <c r="AJ57" s="62">
        <v>-10</v>
      </c>
      <c r="AK57" s="89">
        <v>5</v>
      </c>
      <c r="AL57" s="223">
        <v>-23</v>
      </c>
      <c r="AM57" s="62">
        <v>-14</v>
      </c>
      <c r="AN57" s="62">
        <v>-3</v>
      </c>
      <c r="AO57" s="62"/>
      <c r="AP57" s="62">
        <v>-9</v>
      </c>
      <c r="AQ57" s="62"/>
      <c r="AR57" s="62">
        <v>-1</v>
      </c>
      <c r="AS57" s="223">
        <v>-27</v>
      </c>
    </row>
    <row r="58" spans="2:45">
      <c r="B58" s="2"/>
      <c r="AG58" s="228"/>
      <c r="AH58" s="399"/>
      <c r="AI58" s="110"/>
      <c r="AJ58" s="399"/>
      <c r="AK58" s="101"/>
      <c r="AL58" s="210"/>
      <c r="AM58" s="399"/>
      <c r="AN58" s="110"/>
      <c r="AO58" s="399"/>
      <c r="AP58" s="110"/>
      <c r="AQ58" s="399"/>
      <c r="AR58" s="110"/>
      <c r="AS58" s="237"/>
    </row>
    <row r="59" spans="2:45">
      <c r="B59" s="2" t="s">
        <v>538</v>
      </c>
      <c r="AG59" s="238">
        <v>1202</v>
      </c>
      <c r="AH59" s="402">
        <v>289</v>
      </c>
      <c r="AI59" s="402">
        <v>270</v>
      </c>
      <c r="AJ59" s="402">
        <v>257</v>
      </c>
      <c r="AK59" s="402">
        <v>294</v>
      </c>
      <c r="AL59" s="238">
        <v>1110</v>
      </c>
      <c r="AM59" s="402">
        <v>288</v>
      </c>
      <c r="AN59" s="402">
        <v>229</v>
      </c>
      <c r="AO59" s="76"/>
      <c r="AP59" s="402">
        <v>258</v>
      </c>
      <c r="AQ59" s="76"/>
      <c r="AR59" s="402">
        <v>311</v>
      </c>
      <c r="AS59" s="238">
        <v>1086</v>
      </c>
    </row>
    <row r="60" spans="2:45">
      <c r="B60" s="20" t="s">
        <v>5</v>
      </c>
      <c r="AG60" s="367"/>
      <c r="AH60" s="368"/>
      <c r="AI60" s="21">
        <v>-6.5743944636678209E-2</v>
      </c>
      <c r="AJ60" s="21">
        <v>-4.8148148148148162E-2</v>
      </c>
      <c r="AK60" s="21">
        <v>0.14396887159533067</v>
      </c>
      <c r="AL60" s="367"/>
      <c r="AM60" s="21">
        <v>-2.0408163265306145E-2</v>
      </c>
      <c r="AN60" s="21">
        <v>-0.20486111111111116</v>
      </c>
      <c r="AO60" s="144"/>
      <c r="AP60" s="21">
        <v>0.1266375545851528</v>
      </c>
      <c r="AQ60" s="2"/>
      <c r="AR60" s="21">
        <v>0.20542635658914721</v>
      </c>
      <c r="AS60" s="367"/>
    </row>
    <row r="61" spans="2:45">
      <c r="B61" s="20" t="s">
        <v>6</v>
      </c>
      <c r="AG61" s="242"/>
      <c r="AL61" s="211">
        <v>-7.6539101497504203E-2</v>
      </c>
      <c r="AM61" s="22">
        <v>-3.4602076124568004E-3</v>
      </c>
      <c r="AN61" s="22">
        <v>-0.1518518518518519</v>
      </c>
      <c r="AO61" s="139"/>
      <c r="AP61" s="22">
        <v>3.8910505836575737E-3</v>
      </c>
      <c r="AQ61" s="2"/>
      <c r="AR61" s="22">
        <v>5.7823129251700633E-2</v>
      </c>
      <c r="AS61" s="211">
        <v>-2.1621621621621623E-2</v>
      </c>
    </row>
    <row r="62" spans="2:45" ht="5.0999999999999996" customHeight="1">
      <c r="B62" s="202"/>
      <c r="C62" s="202"/>
      <c r="D62" s="202"/>
      <c r="E62" s="202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2"/>
    </row>
  </sheetData>
  <pageMargins left="0.19685039370078741" right="0.19685039370078741" top="0.19685039370078741" bottom="0.11811023622047245" header="0.11811023622047245" footer="3.937007874015748E-2"/>
  <pageSetup paperSize="9" scale="65" orientation="landscape" r:id="rId1"/>
  <headerFooter>
    <oddHeader>&amp;CBezeq - The Israeli Telecommunications Corp.,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1276-6788-4F1C-AD5E-8E62E12ED1F2}">
  <sheetPr>
    <tabColor theme="3" tint="-0.49992370372631001"/>
  </sheetPr>
  <dimension ref="B4:BL365"/>
  <sheetViews>
    <sheetView showGridLines="0" tabSelected="1" topLeftCell="A4" zoomScaleNormal="100" workbookViewId="0">
      <pane xSplit="28" ySplit="4" topLeftCell="AC8" activePane="bottomRight" state="frozen"/>
      <selection activeCell="AI81" sqref="AI81"/>
      <selection pane="topRight" activeCell="AI81" sqref="AI81"/>
      <selection pane="bottomLeft" activeCell="AI81" sqref="AI81"/>
      <selection pane="bottomRight" activeCell="AI81" sqref="AI81"/>
    </sheetView>
  </sheetViews>
  <sheetFormatPr defaultColWidth="8.7109375" defaultRowHeight="12.75"/>
  <cols>
    <col min="1" max="1" width="1.7109375" customWidth="1"/>
    <col min="2" max="2" width="52.7109375" customWidth="1"/>
    <col min="3" max="28" width="0" hidden="1" customWidth="1"/>
    <col min="29" max="29" width="9.28515625" customWidth="1"/>
    <col min="30" max="33" width="8.7109375" hidden="1" customWidth="1"/>
    <col min="34" max="34" width="9.28515625" customWidth="1"/>
    <col min="35" max="38" width="8.7109375" hidden="1" customWidth="1"/>
    <col min="39" max="39" width="9.28515625" customWidth="1"/>
    <col min="40" max="43" width="8.7109375" hidden="1" customWidth="1"/>
    <col min="44" max="44" width="9.28515625" customWidth="1"/>
    <col min="45" max="48" width="9.28515625" hidden="1" customWidth="1"/>
    <col min="49" max="49" width="9.28515625" customWidth="1"/>
    <col min="50" max="52" width="9.28515625" hidden="1" customWidth="1"/>
    <col min="53" max="53" width="0" hidden="1" customWidth="1"/>
  </cols>
  <sheetData>
    <row r="4" spans="2:64" ht="13.9" customHeight="1"/>
    <row r="5" spans="2:64" ht="13.9" customHeight="1">
      <c r="B5" s="42"/>
      <c r="C5" s="42"/>
      <c r="D5" s="42"/>
      <c r="E5" s="42"/>
      <c r="F5" s="42"/>
      <c r="G5" s="42"/>
      <c r="H5" s="42"/>
      <c r="I5" s="42"/>
      <c r="J5" s="42"/>
      <c r="AE5" s="91"/>
    </row>
    <row r="6" spans="2:64" ht="13.9" customHeight="1">
      <c r="B6" s="42"/>
      <c r="C6" s="7" t="s">
        <v>2</v>
      </c>
      <c r="D6" s="7" t="s">
        <v>4</v>
      </c>
      <c r="E6" s="7" t="s">
        <v>49</v>
      </c>
      <c r="F6" s="7" t="s">
        <v>0</v>
      </c>
      <c r="G6" s="7" t="s">
        <v>1</v>
      </c>
      <c r="H6" s="7" t="s">
        <v>2</v>
      </c>
      <c r="I6" s="7" t="s">
        <v>4</v>
      </c>
      <c r="J6" s="7" t="s">
        <v>49</v>
      </c>
      <c r="K6" s="7" t="s">
        <v>0</v>
      </c>
      <c r="L6" s="7" t="s">
        <v>1</v>
      </c>
      <c r="M6" s="7" t="s">
        <v>2</v>
      </c>
      <c r="N6" s="7" t="s">
        <v>4</v>
      </c>
      <c r="O6" s="7" t="s">
        <v>49</v>
      </c>
      <c r="P6" s="7" t="s">
        <v>0</v>
      </c>
      <c r="Q6" s="7" t="s">
        <v>1</v>
      </c>
      <c r="R6" s="7" t="s">
        <v>2</v>
      </c>
      <c r="S6" s="7" t="s">
        <v>4</v>
      </c>
      <c r="T6" s="7" t="s">
        <v>49</v>
      </c>
      <c r="U6" s="7" t="s">
        <v>0</v>
      </c>
      <c r="V6" s="7" t="s">
        <v>1</v>
      </c>
      <c r="W6" s="7" t="s">
        <v>2</v>
      </c>
      <c r="X6" s="7" t="s">
        <v>4</v>
      </c>
      <c r="Y6" s="7" t="s">
        <v>49</v>
      </c>
      <c r="Z6" s="7" t="s">
        <v>0</v>
      </c>
      <c r="AA6" s="7" t="s">
        <v>1</v>
      </c>
      <c r="AB6" s="7" t="s">
        <v>2</v>
      </c>
      <c r="AC6" s="7" t="s">
        <v>4</v>
      </c>
      <c r="AD6" s="7" t="s">
        <v>49</v>
      </c>
      <c r="AE6" s="7" t="s">
        <v>0</v>
      </c>
      <c r="AF6" s="7" t="s">
        <v>1</v>
      </c>
      <c r="AG6" s="7" t="s">
        <v>2</v>
      </c>
      <c r="AH6" s="7" t="s">
        <v>4</v>
      </c>
      <c r="AI6" s="7" t="s">
        <v>49</v>
      </c>
      <c r="AJ6" s="7" t="s">
        <v>0</v>
      </c>
      <c r="AK6" s="7" t="s">
        <v>1</v>
      </c>
      <c r="AL6" s="7" t="s">
        <v>2</v>
      </c>
      <c r="AM6" s="7" t="s">
        <v>4</v>
      </c>
      <c r="AN6" s="7" t="s">
        <v>49</v>
      </c>
      <c r="AO6" s="7" t="s">
        <v>0</v>
      </c>
      <c r="AP6" s="7" t="s">
        <v>1</v>
      </c>
      <c r="AQ6" s="7" t="s">
        <v>2</v>
      </c>
      <c r="AR6" s="7" t="s">
        <v>4</v>
      </c>
      <c r="AS6" s="7" t="s">
        <v>49</v>
      </c>
      <c r="AT6" s="7" t="s">
        <v>0</v>
      </c>
      <c r="AU6" s="7" t="s">
        <v>1</v>
      </c>
      <c r="AV6" s="7" t="s">
        <v>2</v>
      </c>
      <c r="AW6" s="7" t="s">
        <v>4</v>
      </c>
      <c r="AX6" s="7" t="s">
        <v>49</v>
      </c>
      <c r="AY6" s="7" t="s">
        <v>0</v>
      </c>
      <c r="AZ6" s="7" t="s">
        <v>1</v>
      </c>
      <c r="BA6" s="7" t="s">
        <v>2</v>
      </c>
      <c r="BB6" s="7" t="s">
        <v>4</v>
      </c>
      <c r="BC6" s="7" t="s">
        <v>49</v>
      </c>
      <c r="BD6" s="7" t="s">
        <v>0</v>
      </c>
      <c r="BE6" s="7" t="s">
        <v>1</v>
      </c>
      <c r="BF6" s="7" t="s">
        <v>2</v>
      </c>
      <c r="BG6" s="7" t="s">
        <v>4</v>
      </c>
      <c r="BH6" s="7" t="s">
        <v>49</v>
      </c>
      <c r="BI6" s="7" t="s">
        <v>0</v>
      </c>
      <c r="BJ6" s="7" t="s">
        <v>1</v>
      </c>
      <c r="BK6" s="7" t="s">
        <v>2</v>
      </c>
      <c r="BL6" s="7" t="s">
        <v>4</v>
      </c>
    </row>
    <row r="7" spans="2:64" ht="13.9" customHeight="1">
      <c r="B7" s="15" t="s">
        <v>107</v>
      </c>
      <c r="C7" s="7">
        <v>2013</v>
      </c>
      <c r="D7" s="7">
        <v>2013</v>
      </c>
      <c r="E7" s="7">
        <v>2014</v>
      </c>
      <c r="F7" s="7">
        <v>2014</v>
      </c>
      <c r="G7" s="7">
        <v>2014</v>
      </c>
      <c r="H7" s="7">
        <v>2014</v>
      </c>
      <c r="I7" s="7">
        <v>2014</v>
      </c>
      <c r="J7" s="7">
        <v>2015</v>
      </c>
      <c r="K7" s="7">
        <v>2015</v>
      </c>
      <c r="L7" s="7">
        <v>2015</v>
      </c>
      <c r="M7" s="7">
        <v>2015</v>
      </c>
      <c r="N7" s="7">
        <v>2015</v>
      </c>
      <c r="O7" s="7">
        <v>2016</v>
      </c>
      <c r="P7" s="7">
        <v>2016</v>
      </c>
      <c r="Q7" s="7">
        <v>2016</v>
      </c>
      <c r="R7" s="7">
        <v>2016</v>
      </c>
      <c r="S7" s="7">
        <v>2016</v>
      </c>
      <c r="T7" s="7">
        <v>2017</v>
      </c>
      <c r="U7" s="7">
        <v>2017</v>
      </c>
      <c r="V7" s="7">
        <v>2017</v>
      </c>
      <c r="W7" s="7">
        <v>2017</v>
      </c>
      <c r="X7" s="7">
        <v>2017</v>
      </c>
      <c r="Y7" s="7">
        <v>2018</v>
      </c>
      <c r="Z7" s="7">
        <v>2018</v>
      </c>
      <c r="AA7" s="7">
        <v>2018</v>
      </c>
      <c r="AB7" s="7">
        <v>2018</v>
      </c>
      <c r="AC7" s="7">
        <v>2018</v>
      </c>
      <c r="AD7" s="7">
        <v>2019</v>
      </c>
      <c r="AE7" s="7">
        <v>2019</v>
      </c>
      <c r="AF7" s="7">
        <v>2019</v>
      </c>
      <c r="AG7" s="7">
        <v>2019</v>
      </c>
      <c r="AH7" s="7">
        <v>2019</v>
      </c>
      <c r="AI7" s="7">
        <v>2020</v>
      </c>
      <c r="AJ7" s="7">
        <v>2020</v>
      </c>
      <c r="AK7" s="7">
        <v>2020</v>
      </c>
      <c r="AL7" s="7">
        <v>2020</v>
      </c>
      <c r="AM7" s="7">
        <v>2020</v>
      </c>
      <c r="AN7" s="7">
        <v>2021</v>
      </c>
      <c r="AO7" s="7">
        <v>2021</v>
      </c>
      <c r="AP7" s="7">
        <v>2021</v>
      </c>
      <c r="AQ7" s="7">
        <v>2021</v>
      </c>
      <c r="AR7" s="7">
        <v>2021</v>
      </c>
      <c r="AS7" s="7">
        <v>2022</v>
      </c>
      <c r="AT7" s="7">
        <v>2022</v>
      </c>
      <c r="AU7" s="7">
        <v>2022</v>
      </c>
      <c r="AV7" s="7">
        <v>2022</v>
      </c>
      <c r="AW7" s="7">
        <v>2022</v>
      </c>
      <c r="AX7" s="7">
        <v>2023</v>
      </c>
      <c r="AY7" s="7">
        <v>2023</v>
      </c>
      <c r="AZ7" s="7">
        <v>2023</v>
      </c>
      <c r="BA7" s="7">
        <v>2023</v>
      </c>
      <c r="BB7" s="7">
        <v>2023</v>
      </c>
      <c r="BC7" s="7">
        <v>2024</v>
      </c>
      <c r="BD7" s="7">
        <v>2024</v>
      </c>
      <c r="BE7" s="7">
        <v>2024</v>
      </c>
      <c r="BF7" s="7">
        <v>2024</v>
      </c>
      <c r="BG7" s="7">
        <v>2024</v>
      </c>
      <c r="BH7" s="7">
        <v>2025</v>
      </c>
      <c r="BI7" s="7">
        <v>2025</v>
      </c>
      <c r="BJ7" s="7">
        <v>2025</v>
      </c>
      <c r="BK7" s="7">
        <v>2025</v>
      </c>
      <c r="BL7" s="7">
        <v>2025</v>
      </c>
    </row>
    <row r="8" spans="2:64" ht="4.1500000000000004" customHeight="1">
      <c r="B8" s="373" t="str">
        <f t="shared" ref="B8:AB8" si="0">B6&amp;"/"&amp;B7</f>
        <v>/NIS Millions</v>
      </c>
      <c r="C8" s="373" t="str">
        <f t="shared" si="0"/>
        <v>Q4/2013</v>
      </c>
      <c r="D8" s="373" t="str">
        <f t="shared" si="0"/>
        <v>FY/2013</v>
      </c>
      <c r="E8" s="373" t="str">
        <f t="shared" si="0"/>
        <v>Q1/2014</v>
      </c>
      <c r="F8" s="373" t="str">
        <f t="shared" si="0"/>
        <v>Q2/2014</v>
      </c>
      <c r="G8" s="373" t="str">
        <f t="shared" si="0"/>
        <v>Q3/2014</v>
      </c>
      <c r="H8" s="373" t="str">
        <f t="shared" si="0"/>
        <v>Q4/2014</v>
      </c>
      <c r="I8" s="373" t="str">
        <f t="shared" si="0"/>
        <v>FY/2014</v>
      </c>
      <c r="J8" s="373" t="str">
        <f t="shared" si="0"/>
        <v>Q1/2015</v>
      </c>
      <c r="K8" s="373" t="str">
        <f t="shared" si="0"/>
        <v>Q2/2015</v>
      </c>
      <c r="L8" s="373" t="str">
        <f t="shared" si="0"/>
        <v>Q3/2015</v>
      </c>
      <c r="M8" s="373" t="str">
        <f t="shared" si="0"/>
        <v>Q4/2015</v>
      </c>
      <c r="N8" s="373" t="str">
        <f t="shared" si="0"/>
        <v>FY/2015</v>
      </c>
      <c r="O8" s="373" t="str">
        <f t="shared" si="0"/>
        <v>Q1/2016</v>
      </c>
      <c r="P8" s="373" t="str">
        <f t="shared" si="0"/>
        <v>Q2/2016</v>
      </c>
      <c r="Q8" s="373" t="str">
        <f t="shared" si="0"/>
        <v>Q3/2016</v>
      </c>
      <c r="R8" s="373" t="str">
        <f t="shared" si="0"/>
        <v>Q4/2016</v>
      </c>
      <c r="S8" s="373" t="str">
        <f t="shared" si="0"/>
        <v>FY/2016</v>
      </c>
      <c r="T8" s="373" t="str">
        <f t="shared" si="0"/>
        <v>Q1/2017</v>
      </c>
      <c r="U8" s="373" t="str">
        <f t="shared" si="0"/>
        <v>Q2/2017</v>
      </c>
      <c r="V8" s="373" t="str">
        <f t="shared" si="0"/>
        <v>Q3/2017</v>
      </c>
      <c r="W8" s="373" t="str">
        <f t="shared" si="0"/>
        <v>Q4/2017</v>
      </c>
      <c r="X8" s="373" t="str">
        <f t="shared" si="0"/>
        <v>FY/2017</v>
      </c>
      <c r="Y8" s="373" t="str">
        <f t="shared" si="0"/>
        <v>Q1/2018</v>
      </c>
      <c r="Z8" s="373" t="str">
        <f t="shared" si="0"/>
        <v>Q2/2018</v>
      </c>
      <c r="AA8" s="373" t="str">
        <f t="shared" si="0"/>
        <v>Q3/2018</v>
      </c>
      <c r="AB8" s="373" t="str">
        <f t="shared" si="0"/>
        <v>Q4/2018</v>
      </c>
      <c r="AC8" s="373" t="str">
        <f t="shared" ref="AC8" si="1">AC6&amp;"/"&amp;AC7</f>
        <v>FY/2018</v>
      </c>
      <c r="AD8" s="373" t="str">
        <f t="shared" ref="AD8" si="2">AD6&amp;"/"&amp;AD7</f>
        <v>Q1/2019</v>
      </c>
      <c r="AE8" s="373" t="str">
        <f t="shared" ref="AE8" si="3">AE6&amp;"/"&amp;AE7</f>
        <v>Q2/2019</v>
      </c>
      <c r="AF8" s="373" t="str">
        <f t="shared" ref="AF8" si="4">AF6&amp;"/"&amp;AF7</f>
        <v>Q3/2019</v>
      </c>
      <c r="AG8" s="373" t="str">
        <f t="shared" ref="AG8" si="5">AG6&amp;"/"&amp;AG7</f>
        <v>Q4/2019</v>
      </c>
      <c r="AH8" s="373" t="str">
        <f t="shared" ref="AH8" si="6">AH6&amp;"/"&amp;AH7</f>
        <v>FY/2019</v>
      </c>
      <c r="AI8" s="373" t="str">
        <f t="shared" ref="AI8" si="7">AI6&amp;"/"&amp;AI7</f>
        <v>Q1/2020</v>
      </c>
      <c r="AJ8" s="373" t="str">
        <f t="shared" ref="AJ8" si="8">AJ6&amp;"/"&amp;AJ7</f>
        <v>Q2/2020</v>
      </c>
      <c r="AK8" s="373" t="str">
        <f t="shared" ref="AK8" si="9">AK6&amp;"/"&amp;AK7</f>
        <v>Q3/2020</v>
      </c>
      <c r="AL8" s="373" t="str">
        <f t="shared" ref="AL8" si="10">AL6&amp;"/"&amp;AL7</f>
        <v>Q4/2020</v>
      </c>
      <c r="AM8" s="373" t="str">
        <f t="shared" ref="AM8" si="11">AM6&amp;"/"&amp;AM7</f>
        <v>FY/2020</v>
      </c>
      <c r="AN8" s="373" t="str">
        <f t="shared" ref="AN8" si="12">AN6&amp;"/"&amp;AN7</f>
        <v>Q1/2021</v>
      </c>
      <c r="AO8" s="373" t="str">
        <f t="shared" ref="AO8" si="13">AO6&amp;"/"&amp;AO7</f>
        <v>Q2/2021</v>
      </c>
      <c r="AP8" s="373" t="str">
        <f t="shared" ref="AP8" si="14">AP6&amp;"/"&amp;AP7</f>
        <v>Q3/2021</v>
      </c>
      <c r="AQ8" s="373" t="str">
        <f t="shared" ref="AQ8" si="15">AQ6&amp;"/"&amp;AQ7</f>
        <v>Q4/2021</v>
      </c>
      <c r="AR8" s="373" t="str">
        <f t="shared" ref="AR8" si="16">AR6&amp;"/"&amp;AR7</f>
        <v>FY/2021</v>
      </c>
      <c r="AS8" s="373" t="str">
        <f t="shared" ref="AS8" si="17">AS6&amp;"/"&amp;AS7</f>
        <v>Q1/2022</v>
      </c>
      <c r="AT8" s="373" t="str">
        <f t="shared" ref="AT8" si="18">AT6&amp;"/"&amp;AT7</f>
        <v>Q2/2022</v>
      </c>
      <c r="AU8" s="373" t="str">
        <f t="shared" ref="AU8" si="19">AU6&amp;"/"&amp;AU7</f>
        <v>Q3/2022</v>
      </c>
      <c r="AV8" s="373" t="str">
        <f t="shared" ref="AV8" si="20">AV6&amp;"/"&amp;AV7</f>
        <v>Q4/2022</v>
      </c>
      <c r="AW8" s="373" t="str">
        <f t="shared" ref="AW8" si="21">AW6&amp;"/"&amp;AW7</f>
        <v>FY/2022</v>
      </c>
      <c r="AX8" s="373" t="str">
        <f t="shared" ref="AX8" si="22">AX6&amp;"/"&amp;AX7</f>
        <v>Q1/2023</v>
      </c>
      <c r="AY8" s="373" t="str">
        <f t="shared" ref="AY8" si="23">AY6&amp;"/"&amp;AY7</f>
        <v>Q2/2023</v>
      </c>
      <c r="AZ8" s="373" t="str">
        <f t="shared" ref="AZ8" si="24">AZ6&amp;"/"&amp;AZ7</f>
        <v>Q3/2023</v>
      </c>
      <c r="BA8" s="373" t="str">
        <f t="shared" ref="BA8" si="25">BA6&amp;"/"&amp;BA7</f>
        <v>Q4/2023</v>
      </c>
      <c r="BB8" s="373" t="str">
        <f t="shared" ref="BB8" si="26">BB6&amp;"/"&amp;BB7</f>
        <v>FY/2023</v>
      </c>
      <c r="BC8" s="373" t="str">
        <f t="shared" ref="BC8" si="27">BC6&amp;"/"&amp;BC7</f>
        <v>Q1/2024</v>
      </c>
      <c r="BD8" s="373" t="str">
        <f t="shared" ref="BD8" si="28">BD6&amp;"/"&amp;BD7</f>
        <v>Q2/2024</v>
      </c>
      <c r="BE8" s="373" t="str">
        <f t="shared" ref="BE8" si="29">BE6&amp;"/"&amp;BE7</f>
        <v>Q3/2024</v>
      </c>
      <c r="BF8" s="373" t="str">
        <f t="shared" ref="BF8" si="30">BF6&amp;"/"&amp;BF7</f>
        <v>Q4/2024</v>
      </c>
      <c r="BG8" s="373" t="str">
        <f t="shared" ref="BG8:BK8" si="31">BG6&amp;"/"&amp;BG7</f>
        <v>FY/2024</v>
      </c>
      <c r="BH8" s="373" t="str">
        <f t="shared" si="31"/>
        <v>Q1/2025</v>
      </c>
      <c r="BI8" s="373" t="str">
        <f t="shared" si="31"/>
        <v>Q2/2025</v>
      </c>
      <c r="BJ8" s="373" t="str">
        <f t="shared" si="31"/>
        <v>Q3/2025</v>
      </c>
      <c r="BK8" s="373" t="str">
        <f t="shared" si="31"/>
        <v>Q4/2025</v>
      </c>
      <c r="BL8" s="373" t="str">
        <f t="shared" ref="BL8" si="32">BL6&amp;"/"&amp;BL7</f>
        <v>FY/2025</v>
      </c>
    </row>
    <row r="9" spans="2:64" ht="25.35" customHeight="1">
      <c r="B9" s="177" t="s">
        <v>108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</row>
    <row r="10" spans="2:64" ht="13.9" customHeight="1">
      <c r="B10" s="201" t="s">
        <v>109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3"/>
      <c r="AU10" s="283"/>
      <c r="AV10" s="283"/>
      <c r="AW10" s="283"/>
      <c r="AX10" s="283"/>
      <c r="AY10" s="283"/>
      <c r="AZ10" s="283"/>
      <c r="BA10" s="283"/>
      <c r="BB10" s="283"/>
      <c r="BC10" s="283"/>
      <c r="BD10" s="283"/>
      <c r="BE10" s="283"/>
      <c r="BF10" s="283"/>
      <c r="BG10" s="283"/>
      <c r="BH10" s="283"/>
      <c r="BI10" s="283"/>
      <c r="BJ10" s="283"/>
      <c r="BK10" s="283"/>
      <c r="BL10" s="283"/>
    </row>
    <row r="11" spans="2:64" ht="13.9" customHeight="1">
      <c r="D11" s="8"/>
      <c r="I11" s="8"/>
      <c r="N11" s="8"/>
      <c r="S11" s="8"/>
      <c r="X11" s="8"/>
      <c r="AC11" s="210"/>
      <c r="AD11" s="226"/>
      <c r="AE11" s="226"/>
      <c r="AF11" s="226"/>
      <c r="AG11" s="226"/>
      <c r="AH11" s="210"/>
      <c r="AI11" s="226"/>
      <c r="AJ11" s="226"/>
      <c r="AK11" s="226"/>
      <c r="AL11" s="226"/>
      <c r="AM11" s="210"/>
      <c r="AN11" s="226"/>
      <c r="AO11" s="226"/>
      <c r="AP11" s="226"/>
      <c r="AQ11" s="226"/>
      <c r="AR11" s="210"/>
      <c r="AW11" s="210"/>
      <c r="BB11" s="210"/>
      <c r="BG11" s="210"/>
      <c r="BL11" s="210"/>
    </row>
    <row r="12" spans="2:64" ht="13.9" customHeight="1">
      <c r="B12" s="2" t="s">
        <v>241</v>
      </c>
      <c r="C12" s="61" t="s">
        <v>92</v>
      </c>
      <c r="D12" s="63" t="s">
        <v>92</v>
      </c>
      <c r="E12" s="61" t="s">
        <v>92</v>
      </c>
      <c r="F12" s="61" t="s">
        <v>92</v>
      </c>
      <c r="G12" s="61" t="s">
        <v>92</v>
      </c>
      <c r="H12" s="61" t="s">
        <v>92</v>
      </c>
      <c r="I12" s="16" t="s">
        <v>92</v>
      </c>
      <c r="J12" s="61">
        <v>-12</v>
      </c>
      <c r="K12" s="61" t="s">
        <v>92</v>
      </c>
      <c r="L12" s="61" t="s">
        <v>92</v>
      </c>
      <c r="M12" s="61" t="s">
        <v>92</v>
      </c>
      <c r="N12" s="73">
        <v>-12</v>
      </c>
      <c r="O12" s="61" t="s">
        <v>92</v>
      </c>
      <c r="P12" s="61" t="s">
        <v>92</v>
      </c>
      <c r="Q12" s="61" t="s">
        <v>92</v>
      </c>
      <c r="R12" s="61" t="s">
        <v>92</v>
      </c>
      <c r="S12" s="16" t="s">
        <v>92</v>
      </c>
      <c r="T12" s="61" t="s">
        <v>92</v>
      </c>
      <c r="U12" s="61" t="s">
        <v>92</v>
      </c>
      <c r="V12" s="61" t="s">
        <v>92</v>
      </c>
      <c r="W12" s="61" t="s">
        <v>92</v>
      </c>
      <c r="X12" s="16">
        <v>0</v>
      </c>
      <c r="Y12" s="24">
        <v>0</v>
      </c>
      <c r="Z12" s="24">
        <v>0</v>
      </c>
      <c r="AA12" s="24">
        <v>0</v>
      </c>
      <c r="AB12" s="24">
        <v>0</v>
      </c>
      <c r="AC12" s="215">
        <v>0</v>
      </c>
      <c r="AD12" s="215">
        <v>0</v>
      </c>
      <c r="AE12" s="215">
        <v>0</v>
      </c>
      <c r="AF12" s="215">
        <v>0</v>
      </c>
      <c r="AG12" s="215">
        <v>0</v>
      </c>
      <c r="AH12" s="215">
        <v>0</v>
      </c>
      <c r="AI12" s="215">
        <v>0</v>
      </c>
      <c r="AJ12" s="215">
        <v>0</v>
      </c>
      <c r="AK12" s="215">
        <v>0</v>
      </c>
      <c r="AL12" s="215">
        <v>0</v>
      </c>
      <c r="AM12" s="215">
        <v>0</v>
      </c>
      <c r="AN12" s="215">
        <v>0</v>
      </c>
      <c r="AO12" s="215">
        <v>0</v>
      </c>
      <c r="AP12" s="215">
        <v>0</v>
      </c>
      <c r="AQ12" s="215">
        <v>0</v>
      </c>
      <c r="AR12" s="215">
        <v>0</v>
      </c>
      <c r="AS12" s="24">
        <v>0</v>
      </c>
      <c r="AT12" s="24">
        <v>0</v>
      </c>
      <c r="AU12" s="24">
        <v>0</v>
      </c>
      <c r="AV12" s="24">
        <v>0</v>
      </c>
      <c r="AW12" s="215">
        <v>0</v>
      </c>
      <c r="AX12" s="24">
        <v>0</v>
      </c>
      <c r="AY12" s="24">
        <v>0</v>
      </c>
      <c r="AZ12" s="24">
        <v>0</v>
      </c>
      <c r="BA12" s="24">
        <v>0</v>
      </c>
      <c r="BB12" s="215">
        <v>0</v>
      </c>
      <c r="BC12" s="24">
        <v>0</v>
      </c>
      <c r="BD12" s="24">
        <v>0</v>
      </c>
      <c r="BE12" s="24">
        <v>0</v>
      </c>
      <c r="BF12" s="24">
        <v>0</v>
      </c>
      <c r="BG12" s="215">
        <v>0</v>
      </c>
      <c r="BH12" s="24">
        <v>0</v>
      </c>
      <c r="BI12" s="24">
        <v>0</v>
      </c>
      <c r="BJ12" s="24">
        <v>0</v>
      </c>
      <c r="BK12" s="24">
        <v>0</v>
      </c>
      <c r="BL12" s="215">
        <v>0</v>
      </c>
    </row>
    <row r="13" spans="2:64" ht="13.9" customHeight="1">
      <c r="D13" s="63"/>
      <c r="I13" s="8"/>
      <c r="N13" s="8"/>
      <c r="S13" s="8"/>
      <c r="X13" s="16"/>
      <c r="Y13" s="24"/>
      <c r="Z13" s="24"/>
      <c r="AA13" s="24"/>
      <c r="AC13" s="210"/>
      <c r="AD13" s="215"/>
      <c r="AE13" s="215"/>
      <c r="AF13" s="215"/>
      <c r="AG13" s="215"/>
      <c r="AH13" s="210"/>
      <c r="AI13" s="215"/>
      <c r="AJ13" s="215"/>
      <c r="AK13" s="215"/>
      <c r="AL13" s="215"/>
      <c r="AM13" s="210"/>
      <c r="AN13" s="215"/>
      <c r="AO13" s="215"/>
      <c r="AP13" s="215"/>
      <c r="AQ13" s="215"/>
      <c r="AR13" s="210"/>
      <c r="AS13" s="24"/>
      <c r="AT13" s="24"/>
      <c r="AU13" s="24"/>
      <c r="AV13" s="24"/>
      <c r="AW13" s="210"/>
      <c r="AX13" s="24"/>
      <c r="AY13" s="24"/>
      <c r="AZ13" s="24"/>
      <c r="BA13" s="24"/>
      <c r="BB13" s="210"/>
      <c r="BC13" s="24"/>
      <c r="BD13" s="24"/>
      <c r="BE13" s="24"/>
      <c r="BF13" s="24"/>
      <c r="BG13" s="210"/>
      <c r="BH13" s="24"/>
      <c r="BI13" s="24"/>
      <c r="BJ13" s="24"/>
      <c r="BK13" s="24"/>
      <c r="BL13" s="210"/>
    </row>
    <row r="14" spans="2:64" ht="13.9" customHeight="1">
      <c r="B14" s="2" t="s">
        <v>110</v>
      </c>
      <c r="C14" s="61" t="s">
        <v>92</v>
      </c>
      <c r="D14" s="63" t="s">
        <v>92</v>
      </c>
      <c r="E14" s="61" t="s">
        <v>92</v>
      </c>
      <c r="F14" s="62">
        <v>-582</v>
      </c>
      <c r="G14" s="61" t="s">
        <v>92</v>
      </c>
      <c r="H14" s="61" t="s">
        <v>92</v>
      </c>
      <c r="I14" s="73">
        <v>-582</v>
      </c>
      <c r="J14" s="61" t="s">
        <v>92</v>
      </c>
      <c r="K14" s="61" t="s">
        <v>92</v>
      </c>
      <c r="L14" s="61" t="s">
        <v>92</v>
      </c>
      <c r="M14" s="61" t="s">
        <v>92</v>
      </c>
      <c r="N14" s="16" t="s">
        <v>92</v>
      </c>
      <c r="O14" s="61" t="s">
        <v>92</v>
      </c>
      <c r="P14" s="61" t="s">
        <v>92</v>
      </c>
      <c r="Q14" s="61" t="s">
        <v>92</v>
      </c>
      <c r="R14" s="61" t="s">
        <v>92</v>
      </c>
      <c r="S14" s="16" t="s">
        <v>92</v>
      </c>
      <c r="T14" s="61" t="s">
        <v>92</v>
      </c>
      <c r="U14" s="61" t="s">
        <v>92</v>
      </c>
      <c r="V14" s="61" t="s">
        <v>92</v>
      </c>
      <c r="W14" s="61" t="s">
        <v>92</v>
      </c>
      <c r="X14" s="16">
        <v>0</v>
      </c>
      <c r="Y14" s="24">
        <v>0</v>
      </c>
      <c r="Z14" s="24">
        <v>0</v>
      </c>
      <c r="AA14" s="24">
        <v>0</v>
      </c>
      <c r="AB14" s="24">
        <v>0</v>
      </c>
      <c r="AC14" s="215">
        <v>0</v>
      </c>
      <c r="AD14" s="215">
        <v>0</v>
      </c>
      <c r="AE14" s="215">
        <v>0</v>
      </c>
      <c r="AF14" s="215">
        <v>0</v>
      </c>
      <c r="AG14" s="215">
        <v>0</v>
      </c>
      <c r="AH14" s="215">
        <v>0</v>
      </c>
      <c r="AI14" s="215">
        <v>0</v>
      </c>
      <c r="AJ14" s="215">
        <v>0</v>
      </c>
      <c r="AK14" s="215">
        <v>0</v>
      </c>
      <c r="AL14" s="215">
        <v>0</v>
      </c>
      <c r="AM14" s="215">
        <v>0</v>
      </c>
      <c r="AN14" s="215">
        <v>0</v>
      </c>
      <c r="AO14" s="215">
        <v>0</v>
      </c>
      <c r="AP14" s="215">
        <v>0</v>
      </c>
      <c r="AQ14" s="215">
        <v>0</v>
      </c>
      <c r="AR14" s="215">
        <v>0</v>
      </c>
      <c r="AS14" s="24">
        <v>0</v>
      </c>
      <c r="AT14" s="24">
        <v>0</v>
      </c>
      <c r="AU14" s="24">
        <v>0</v>
      </c>
      <c r="AV14" s="24">
        <v>0</v>
      </c>
      <c r="AW14" s="215">
        <v>0</v>
      </c>
      <c r="AX14" s="24">
        <v>0</v>
      </c>
      <c r="AY14" s="24">
        <v>0</v>
      </c>
      <c r="AZ14" s="24">
        <v>0</v>
      </c>
      <c r="BA14" s="24">
        <v>0</v>
      </c>
      <c r="BB14" s="215">
        <v>0</v>
      </c>
      <c r="BC14" s="24">
        <v>0</v>
      </c>
      <c r="BD14" s="24">
        <v>0</v>
      </c>
      <c r="BE14" s="24">
        <v>0</v>
      </c>
      <c r="BF14" s="24">
        <v>0</v>
      </c>
      <c r="BG14" s="215">
        <v>0</v>
      </c>
      <c r="BH14" s="24">
        <v>0</v>
      </c>
      <c r="BI14" s="24">
        <v>0</v>
      </c>
      <c r="BJ14" s="24">
        <v>0</v>
      </c>
      <c r="BK14" s="24">
        <v>0</v>
      </c>
      <c r="BL14" s="215">
        <v>0</v>
      </c>
    </row>
    <row r="15" spans="2:64" ht="13.9" customHeight="1">
      <c r="B15" s="20"/>
      <c r="C15" s="62"/>
      <c r="D15" s="73"/>
      <c r="E15" s="62"/>
      <c r="F15" s="62"/>
      <c r="G15" s="62"/>
      <c r="H15" s="62"/>
      <c r="I15" s="8"/>
      <c r="J15" s="61"/>
      <c r="K15" s="61"/>
      <c r="L15" s="61"/>
      <c r="M15" s="62"/>
      <c r="N15" s="8"/>
      <c r="O15" s="61"/>
      <c r="P15" s="61"/>
      <c r="Q15" s="61"/>
      <c r="R15" s="62"/>
      <c r="S15" s="8"/>
      <c r="T15" s="61"/>
      <c r="U15" s="61"/>
      <c r="V15" s="61"/>
      <c r="W15" s="62"/>
      <c r="X15" s="16"/>
      <c r="Y15" s="24"/>
      <c r="Z15" s="24"/>
      <c r="AA15" s="24"/>
      <c r="AB15" s="62"/>
      <c r="AC15" s="210"/>
      <c r="AD15" s="215"/>
      <c r="AE15" s="215"/>
      <c r="AF15" s="215"/>
      <c r="AG15" s="215"/>
      <c r="AH15" s="210"/>
      <c r="AI15" s="215"/>
      <c r="AJ15" s="215"/>
      <c r="AK15" s="215"/>
      <c r="AL15" s="215"/>
      <c r="AM15" s="210"/>
      <c r="AN15" s="215"/>
      <c r="AO15" s="215"/>
      <c r="AP15" s="215"/>
      <c r="AQ15" s="215"/>
      <c r="AR15" s="210"/>
      <c r="AS15" s="24"/>
      <c r="AT15" s="24"/>
      <c r="AU15" s="24"/>
      <c r="AV15" s="24"/>
      <c r="AW15" s="210"/>
      <c r="AX15" s="24"/>
      <c r="AY15" s="24"/>
      <c r="AZ15" s="24"/>
      <c r="BA15" s="24"/>
      <c r="BB15" s="210"/>
      <c r="BC15" s="24"/>
      <c r="BD15" s="24"/>
      <c r="BE15" s="24"/>
      <c r="BF15" s="24"/>
      <c r="BG15" s="210"/>
      <c r="BH15" s="24"/>
      <c r="BI15" s="24"/>
      <c r="BJ15" s="24"/>
      <c r="BK15" s="24"/>
      <c r="BL15" s="210"/>
    </row>
    <row r="16" spans="2:64" ht="13.9" customHeight="1">
      <c r="B16" s="2" t="s">
        <v>165</v>
      </c>
      <c r="C16" s="62"/>
      <c r="D16" s="63" t="s">
        <v>92</v>
      </c>
      <c r="E16" s="62"/>
      <c r="F16" s="62"/>
      <c r="G16" s="62"/>
      <c r="H16" s="62"/>
      <c r="I16" s="63" t="s">
        <v>92</v>
      </c>
      <c r="J16" s="61"/>
      <c r="K16" s="61"/>
      <c r="L16" s="61"/>
      <c r="M16" s="62"/>
      <c r="N16" s="63" t="s">
        <v>92</v>
      </c>
      <c r="O16" s="61" t="s">
        <v>92</v>
      </c>
      <c r="P16" s="61" t="s">
        <v>92</v>
      </c>
      <c r="Q16" s="61" t="s">
        <v>92</v>
      </c>
      <c r="R16" s="61" t="s">
        <v>92</v>
      </c>
      <c r="S16" s="63" t="s">
        <v>92</v>
      </c>
      <c r="T16" s="61" t="s">
        <v>92</v>
      </c>
      <c r="U16" s="61" t="s">
        <v>92</v>
      </c>
      <c r="V16" s="61" t="s">
        <v>92</v>
      </c>
      <c r="W16" s="61" t="s">
        <v>92</v>
      </c>
      <c r="X16" s="16">
        <v>0</v>
      </c>
      <c r="Y16" s="24">
        <v>0</v>
      </c>
      <c r="Z16" s="24">
        <v>0</v>
      </c>
      <c r="AA16" s="24">
        <v>0</v>
      </c>
      <c r="AB16" s="61">
        <v>-14</v>
      </c>
      <c r="AC16" s="213">
        <v>-14</v>
      </c>
      <c r="AD16" s="215">
        <v>0</v>
      </c>
      <c r="AE16" s="215">
        <v>0</v>
      </c>
      <c r="AF16" s="215">
        <v>0</v>
      </c>
      <c r="AG16" s="215">
        <v>0</v>
      </c>
      <c r="AH16" s="215">
        <v>0</v>
      </c>
      <c r="AI16" s="215">
        <v>0</v>
      </c>
      <c r="AJ16" s="215">
        <v>0</v>
      </c>
      <c r="AK16" s="215">
        <v>0</v>
      </c>
      <c r="AL16" s="223">
        <f>AM16-AK16-AJ16-AI16</f>
        <v>-22</v>
      </c>
      <c r="AM16" s="213">
        <v>-22</v>
      </c>
      <c r="AN16" s="215">
        <v>0</v>
      </c>
      <c r="AO16" s="215">
        <v>0</v>
      </c>
      <c r="AP16" s="215">
        <v>0</v>
      </c>
      <c r="AQ16" s="215">
        <f>AR16-AP16-AO16-AN16</f>
        <v>0</v>
      </c>
      <c r="AR16" s="215">
        <v>0</v>
      </c>
      <c r="AS16" s="24">
        <v>0</v>
      </c>
      <c r="AT16" s="24">
        <v>0</v>
      </c>
      <c r="AU16" s="24">
        <v>0</v>
      </c>
      <c r="AV16" s="24">
        <f>AW16-AU16-AT16-AS16</f>
        <v>0</v>
      </c>
      <c r="AW16" s="215">
        <v>0</v>
      </c>
      <c r="AX16" s="24">
        <v>0</v>
      </c>
      <c r="AY16" s="24">
        <v>0</v>
      </c>
      <c r="AZ16" s="24">
        <v>0</v>
      </c>
      <c r="BA16" s="24">
        <f>BB16-AZ16-AY16-AX16</f>
        <v>0</v>
      </c>
      <c r="BB16" s="215">
        <v>0</v>
      </c>
      <c r="BC16" s="24">
        <v>0</v>
      </c>
      <c r="BD16" s="24">
        <v>0</v>
      </c>
      <c r="BE16" s="24">
        <v>0</v>
      </c>
      <c r="BF16" s="24">
        <f>BG16-BE16-BD16-BC16</f>
        <v>0</v>
      </c>
      <c r="BG16" s="215">
        <v>0</v>
      </c>
      <c r="BH16" s="24">
        <v>0</v>
      </c>
      <c r="BI16" s="24">
        <v>0</v>
      </c>
      <c r="BJ16" s="24">
        <v>0</v>
      </c>
      <c r="BK16" s="24">
        <f>BL16-BJ16-BI16-BH16</f>
        <v>0</v>
      </c>
      <c r="BL16" s="215">
        <v>0</v>
      </c>
    </row>
    <row r="17" spans="2:64" ht="13.9" customHeight="1">
      <c r="B17" s="20"/>
      <c r="C17" s="62"/>
      <c r="D17" s="73"/>
      <c r="E17" s="62"/>
      <c r="F17" s="62"/>
      <c r="G17" s="62"/>
      <c r="H17" s="62"/>
      <c r="I17" s="8"/>
      <c r="J17" s="61"/>
      <c r="K17" s="61"/>
      <c r="L17" s="61"/>
      <c r="M17" s="62"/>
      <c r="N17" s="8"/>
      <c r="O17" s="61"/>
      <c r="P17" s="61"/>
      <c r="Q17" s="61"/>
      <c r="R17" s="62"/>
      <c r="S17" s="8"/>
      <c r="T17" s="61"/>
      <c r="U17" s="61"/>
      <c r="V17" s="61"/>
      <c r="W17" s="62"/>
      <c r="X17" s="8"/>
      <c r="Y17" s="61"/>
      <c r="Z17" s="61"/>
      <c r="AA17" s="61"/>
      <c r="AB17" s="62"/>
      <c r="AC17" s="210"/>
      <c r="AD17" s="214"/>
      <c r="AE17" s="214"/>
      <c r="AF17" s="214"/>
      <c r="AG17" s="223"/>
      <c r="AH17" s="210"/>
      <c r="AI17" s="214"/>
      <c r="AJ17" s="214"/>
      <c r="AK17" s="214"/>
      <c r="AL17" s="223"/>
      <c r="AM17" s="210"/>
      <c r="AN17" s="214"/>
      <c r="AO17" s="214"/>
      <c r="AP17" s="214"/>
      <c r="AQ17" s="223"/>
      <c r="AR17" s="210"/>
      <c r="AS17" s="61"/>
      <c r="AT17" s="61"/>
      <c r="AU17" s="61"/>
      <c r="AV17" s="62"/>
      <c r="AW17" s="210"/>
      <c r="AX17" s="61"/>
      <c r="AY17" s="61"/>
      <c r="AZ17" s="61"/>
      <c r="BA17" s="62"/>
      <c r="BB17" s="210"/>
      <c r="BC17" s="61"/>
      <c r="BD17" s="61"/>
      <c r="BE17" s="61"/>
      <c r="BF17" s="62"/>
      <c r="BG17" s="210"/>
      <c r="BH17" s="61"/>
      <c r="BI17" s="61"/>
      <c r="BJ17" s="61"/>
      <c r="BK17" s="62"/>
      <c r="BL17" s="210"/>
    </row>
    <row r="18" spans="2:64" ht="24" customHeight="1">
      <c r="B18" s="74" t="s">
        <v>388</v>
      </c>
      <c r="C18" s="62">
        <v>-29</v>
      </c>
      <c r="D18" s="73">
        <v>-120</v>
      </c>
      <c r="E18" s="62">
        <v>-12</v>
      </c>
      <c r="F18" s="62">
        <v>-102</v>
      </c>
      <c r="G18" s="61">
        <v>-27</v>
      </c>
      <c r="H18" s="62">
        <v>-26</v>
      </c>
      <c r="I18" s="73">
        <v>-167</v>
      </c>
      <c r="J18" s="61">
        <v>-11</v>
      </c>
      <c r="K18" s="61">
        <v>-148</v>
      </c>
      <c r="L18" s="61">
        <v>-13</v>
      </c>
      <c r="M18" s="62">
        <f>N18-SUM(J18:L18)</f>
        <v>-62</v>
      </c>
      <c r="N18" s="73">
        <v>-234</v>
      </c>
      <c r="O18" s="61">
        <v>-11</v>
      </c>
      <c r="P18" s="61">
        <v>-29</v>
      </c>
      <c r="Q18" s="61">
        <v>-22</v>
      </c>
      <c r="R18" s="62">
        <f>S18-Q18-P18-O18</f>
        <v>-45</v>
      </c>
      <c r="S18" s="73">
        <v>-107</v>
      </c>
      <c r="T18" s="61">
        <v>-6</v>
      </c>
      <c r="U18" s="61">
        <v>-14</v>
      </c>
      <c r="V18" s="61">
        <v>-45</v>
      </c>
      <c r="W18" s="62">
        <f>X18-V18-U18-T18</f>
        <v>-1</v>
      </c>
      <c r="X18" s="73">
        <v>-66</v>
      </c>
      <c r="Y18" s="61">
        <v>-1</v>
      </c>
      <c r="Z18" s="61">
        <v>-5</v>
      </c>
      <c r="AA18" s="61">
        <v>-1</v>
      </c>
      <c r="AB18" s="62">
        <f>AC18-AA18-Z18-Y18</f>
        <v>6</v>
      </c>
      <c r="AC18" s="213">
        <v>-1</v>
      </c>
      <c r="AD18" s="214">
        <v>-44</v>
      </c>
      <c r="AE18" s="214">
        <v>-417</v>
      </c>
      <c r="AF18" s="214">
        <v>-11</v>
      </c>
      <c r="AG18" s="223">
        <f>AH18-AF18-AE18-AD18</f>
        <v>-36</v>
      </c>
      <c r="AH18" s="213">
        <v>-508</v>
      </c>
      <c r="AI18" s="214">
        <v>-9</v>
      </c>
      <c r="AJ18" s="214">
        <v>4</v>
      </c>
      <c r="AK18" s="214">
        <v>-6</v>
      </c>
      <c r="AL18" s="223">
        <f>AM18-AK18-AJ18-AI18</f>
        <v>-7</v>
      </c>
      <c r="AM18" s="213">
        <v>-18</v>
      </c>
      <c r="AN18" s="214">
        <v>-125</v>
      </c>
      <c r="AO18" s="214">
        <v>-2</v>
      </c>
      <c r="AP18" s="214">
        <v>4</v>
      </c>
      <c r="AQ18" s="223">
        <f>AR18-AP18-AO18-AN18</f>
        <v>-52</v>
      </c>
      <c r="AR18" s="213">
        <v>-175</v>
      </c>
      <c r="AS18" s="61">
        <v>2</v>
      </c>
      <c r="AT18" s="61">
        <v>1</v>
      </c>
      <c r="AU18" s="61">
        <v>-4</v>
      </c>
      <c r="AV18" s="62">
        <f>AW18-AU18-AT18-AS18</f>
        <v>-7</v>
      </c>
      <c r="AW18" s="213">
        <v>-8</v>
      </c>
      <c r="AX18" s="61">
        <v>-1</v>
      </c>
      <c r="AY18" s="61">
        <v>-1</v>
      </c>
      <c r="AZ18" s="61">
        <v>3</v>
      </c>
      <c r="BA18" s="62">
        <f>BB18-AZ18-AY18-AX18</f>
        <v>-3</v>
      </c>
      <c r="BB18" s="213">
        <v>-2</v>
      </c>
      <c r="BC18" s="61">
        <v>-2</v>
      </c>
      <c r="BD18" s="61">
        <v>-10</v>
      </c>
      <c r="BE18" s="61">
        <v>-4</v>
      </c>
      <c r="BF18" s="62">
        <f>BG18-BE18-BD18-BC18</f>
        <v>-1</v>
      </c>
      <c r="BG18" s="213">
        <v>-17</v>
      </c>
      <c r="BH18" s="61">
        <v>-5</v>
      </c>
      <c r="BI18" s="61">
        <v>-2</v>
      </c>
      <c r="BJ18" s="24">
        <v>0</v>
      </c>
      <c r="BK18" s="24">
        <f>BL18-BJ18-BI18-BH18</f>
        <v>0</v>
      </c>
      <c r="BL18" s="213">
        <v>-7</v>
      </c>
    </row>
    <row r="19" spans="2:64" ht="13.9" customHeight="1">
      <c r="B19" s="20"/>
      <c r="C19" s="62"/>
      <c r="D19" s="73"/>
      <c r="E19" s="62"/>
      <c r="F19" s="62"/>
      <c r="G19" s="62"/>
      <c r="H19" s="62"/>
      <c r="I19" s="73"/>
      <c r="J19" s="61"/>
      <c r="K19" s="61"/>
      <c r="L19" s="61"/>
      <c r="M19" s="62"/>
      <c r="N19" s="73"/>
      <c r="O19" s="61"/>
      <c r="P19" s="61"/>
      <c r="Q19" s="61"/>
      <c r="R19" s="62"/>
      <c r="S19" s="73"/>
      <c r="T19" s="61"/>
      <c r="U19" s="61"/>
      <c r="V19" s="61"/>
      <c r="W19" s="62"/>
      <c r="X19" s="73"/>
      <c r="Y19" s="61"/>
      <c r="Z19" s="61"/>
      <c r="AA19" s="61"/>
      <c r="AB19" s="62"/>
      <c r="AC19" s="213"/>
      <c r="AD19" s="214"/>
      <c r="AE19" s="214"/>
      <c r="AF19" s="214"/>
      <c r="AG19" s="223"/>
      <c r="AH19" s="213"/>
      <c r="AI19" s="214"/>
      <c r="AJ19" s="214"/>
      <c r="AK19" s="214"/>
      <c r="AL19" s="223"/>
      <c r="AM19" s="213"/>
      <c r="AN19" s="214"/>
      <c r="AO19" s="214"/>
      <c r="AP19" s="214"/>
      <c r="AQ19" s="223"/>
      <c r="AR19" s="213"/>
      <c r="AS19" s="61"/>
      <c r="AT19" s="61"/>
      <c r="AU19" s="61"/>
      <c r="AV19" s="62"/>
      <c r="AW19" s="213"/>
      <c r="AX19" s="61"/>
      <c r="AY19" s="61"/>
      <c r="AZ19" s="61"/>
      <c r="BA19" s="62"/>
      <c r="BB19" s="213"/>
      <c r="BC19" s="61"/>
      <c r="BD19" s="61"/>
      <c r="BE19" s="61"/>
      <c r="BF19" s="62"/>
      <c r="BG19" s="213"/>
      <c r="BH19" s="61"/>
      <c r="BI19" s="61"/>
      <c r="BJ19" s="61"/>
      <c r="BK19" s="62"/>
      <c r="BL19" s="213"/>
    </row>
    <row r="20" spans="2:64" ht="13.9" customHeight="1">
      <c r="B20" s="2" t="s">
        <v>111</v>
      </c>
      <c r="C20" s="62">
        <v>-7</v>
      </c>
      <c r="D20" s="73">
        <v>-47</v>
      </c>
      <c r="E20" s="62">
        <v>-5</v>
      </c>
      <c r="F20" s="61">
        <v>-2</v>
      </c>
      <c r="G20" s="61">
        <v>-1</v>
      </c>
      <c r="H20" s="61" t="s">
        <v>92</v>
      </c>
      <c r="I20" s="73">
        <v>-8</v>
      </c>
      <c r="J20" s="61" t="s">
        <v>92</v>
      </c>
      <c r="K20" s="61" t="s">
        <v>92</v>
      </c>
      <c r="L20" s="61" t="s">
        <v>92</v>
      </c>
      <c r="M20" s="61" t="s">
        <v>92</v>
      </c>
      <c r="N20" s="16" t="s">
        <v>92</v>
      </c>
      <c r="O20" s="61" t="s">
        <v>92</v>
      </c>
      <c r="P20" s="61" t="s">
        <v>92</v>
      </c>
      <c r="Q20" s="61" t="s">
        <v>92</v>
      </c>
      <c r="R20" s="61" t="s">
        <v>92</v>
      </c>
      <c r="S20" s="16" t="s">
        <v>92</v>
      </c>
      <c r="T20" s="61" t="s">
        <v>92</v>
      </c>
      <c r="U20" s="61" t="s">
        <v>92</v>
      </c>
      <c r="V20" s="61" t="s">
        <v>92</v>
      </c>
      <c r="W20" s="61" t="s">
        <v>92</v>
      </c>
      <c r="X20" s="16">
        <v>0</v>
      </c>
      <c r="Y20" s="24">
        <v>0</v>
      </c>
      <c r="Z20" s="24">
        <v>0</v>
      </c>
      <c r="AA20" s="24">
        <v>0</v>
      </c>
      <c r="AB20" s="24">
        <v>0</v>
      </c>
      <c r="AC20" s="215">
        <v>0</v>
      </c>
      <c r="AD20" s="214" t="s">
        <v>92</v>
      </c>
      <c r="AE20" s="214" t="s">
        <v>92</v>
      </c>
      <c r="AF20" s="214" t="s">
        <v>92</v>
      </c>
      <c r="AG20" s="214" t="s">
        <v>92</v>
      </c>
      <c r="AH20" s="215">
        <v>0</v>
      </c>
      <c r="AI20" s="215">
        <v>0</v>
      </c>
      <c r="AJ20" s="215">
        <v>0</v>
      </c>
      <c r="AK20" s="215">
        <v>0</v>
      </c>
      <c r="AL20" s="215">
        <f>AM20-AK20-AJ20-AI20</f>
        <v>0</v>
      </c>
      <c r="AM20" s="215">
        <v>0</v>
      </c>
      <c r="AN20" s="215">
        <v>0</v>
      </c>
      <c r="AO20" s="215">
        <v>0</v>
      </c>
      <c r="AP20" s="215">
        <v>0</v>
      </c>
      <c r="AQ20" s="215">
        <f>AR20-AP20-AO20-AN20</f>
        <v>0</v>
      </c>
      <c r="AR20" s="215">
        <v>0</v>
      </c>
      <c r="AS20" s="24">
        <v>0</v>
      </c>
      <c r="AT20" s="24">
        <v>0</v>
      </c>
      <c r="AU20" s="24">
        <v>0</v>
      </c>
      <c r="AV20" s="24">
        <f>AW20-AU20-AT20-AS20</f>
        <v>0</v>
      </c>
      <c r="AW20" s="215">
        <v>0</v>
      </c>
      <c r="AX20" s="24">
        <v>0</v>
      </c>
      <c r="AY20" s="24">
        <v>0</v>
      </c>
      <c r="AZ20" s="24">
        <v>0</v>
      </c>
      <c r="BA20" s="24">
        <f>BB20-AZ20-AY20-AX20</f>
        <v>0</v>
      </c>
      <c r="BB20" s="215">
        <v>0</v>
      </c>
      <c r="BC20" s="24">
        <v>0</v>
      </c>
      <c r="BD20" s="24">
        <v>0</v>
      </c>
      <c r="BE20" s="24">
        <v>0</v>
      </c>
      <c r="BF20" s="24">
        <f>BG20-BE20-BD20-BC20</f>
        <v>0</v>
      </c>
      <c r="BG20" s="215">
        <v>0</v>
      </c>
      <c r="BH20" s="24">
        <v>0</v>
      </c>
      <c r="BI20" s="24">
        <v>0</v>
      </c>
      <c r="BJ20" s="24">
        <v>0</v>
      </c>
      <c r="BK20" s="24">
        <f>BL20-BJ20-BI20-BH20</f>
        <v>0</v>
      </c>
      <c r="BL20" s="215">
        <v>0</v>
      </c>
    </row>
    <row r="21" spans="2:64" ht="13.9" customHeight="1">
      <c r="B21" s="20"/>
      <c r="C21" s="62"/>
      <c r="D21" s="73"/>
      <c r="E21" s="62"/>
      <c r="F21" s="62"/>
      <c r="G21" s="62"/>
      <c r="H21" s="62"/>
      <c r="I21" s="73"/>
      <c r="J21" s="62"/>
      <c r="K21" s="62"/>
      <c r="L21" s="62"/>
      <c r="M21" s="62"/>
      <c r="N21" s="73"/>
      <c r="O21" s="62"/>
      <c r="P21" s="62"/>
      <c r="Q21" s="62"/>
      <c r="R21" s="62"/>
      <c r="S21" s="73"/>
      <c r="T21" s="62"/>
      <c r="U21" s="62"/>
      <c r="V21" s="62"/>
      <c r="W21" s="62"/>
      <c r="X21" s="73"/>
      <c r="Y21" s="24"/>
      <c r="Z21" s="24"/>
      <c r="AA21" s="24"/>
      <c r="AB21" s="24"/>
      <c r="AC21" s="213"/>
      <c r="AD21" s="223"/>
      <c r="AE21" s="223"/>
      <c r="AF21" s="223"/>
      <c r="AG21" s="223"/>
      <c r="AH21" s="213"/>
      <c r="AI21" s="215"/>
      <c r="AJ21" s="215"/>
      <c r="AK21" s="215"/>
      <c r="AL21" s="223"/>
      <c r="AM21" s="213"/>
      <c r="AN21" s="215"/>
      <c r="AO21" s="215"/>
      <c r="AP21" s="215"/>
      <c r="AQ21" s="223"/>
      <c r="AR21" s="213"/>
      <c r="AS21" s="24"/>
      <c r="AT21" s="24"/>
      <c r="AU21" s="24"/>
      <c r="AV21" s="62"/>
      <c r="AW21" s="213"/>
      <c r="AX21" s="24"/>
      <c r="AY21" s="24"/>
      <c r="AZ21" s="24"/>
      <c r="BA21" s="62"/>
      <c r="BB21" s="213"/>
      <c r="BC21" s="24"/>
      <c r="BD21" s="24"/>
      <c r="BE21" s="24"/>
      <c r="BF21" s="62"/>
      <c r="BG21" s="213"/>
      <c r="BH21" s="24"/>
      <c r="BI21" s="24"/>
      <c r="BJ21" s="24"/>
      <c r="BK21" s="62"/>
      <c r="BL21" s="213"/>
    </row>
    <row r="22" spans="2:64" ht="13.9" customHeight="1">
      <c r="B22" s="2" t="s">
        <v>112</v>
      </c>
      <c r="C22" s="62">
        <v>2</v>
      </c>
      <c r="D22" s="63" t="s">
        <v>92</v>
      </c>
      <c r="E22" s="61" t="s">
        <v>92</v>
      </c>
      <c r="F22" s="61" t="s">
        <v>92</v>
      </c>
      <c r="G22" s="61">
        <v>-5</v>
      </c>
      <c r="H22" s="62">
        <f>I22-G22</f>
        <v>-18</v>
      </c>
      <c r="I22" s="73">
        <v>-23</v>
      </c>
      <c r="J22" s="62">
        <v>6</v>
      </c>
      <c r="K22" s="62">
        <v>6</v>
      </c>
      <c r="L22" s="61" t="s">
        <v>92</v>
      </c>
      <c r="M22" s="62">
        <f>N22-SUM(J22:L22)</f>
        <v>22</v>
      </c>
      <c r="N22" s="73">
        <v>34</v>
      </c>
      <c r="O22" s="61" t="s">
        <v>92</v>
      </c>
      <c r="P22" s="61" t="s">
        <v>92</v>
      </c>
      <c r="Q22" s="61" t="s">
        <v>92</v>
      </c>
      <c r="R22" s="62"/>
      <c r="S22" s="73"/>
      <c r="T22" s="61" t="s">
        <v>92</v>
      </c>
      <c r="U22" s="61" t="s">
        <v>92</v>
      </c>
      <c r="V22" s="61" t="s">
        <v>92</v>
      </c>
      <c r="W22" s="61" t="s">
        <v>92</v>
      </c>
      <c r="X22" s="16">
        <v>0</v>
      </c>
      <c r="Y22" s="24">
        <v>0</v>
      </c>
      <c r="Z22" s="24">
        <v>0</v>
      </c>
      <c r="AA22" s="24">
        <v>0</v>
      </c>
      <c r="AB22" s="24">
        <v>0</v>
      </c>
      <c r="AC22" s="215">
        <v>0</v>
      </c>
      <c r="AD22" s="214" t="s">
        <v>92</v>
      </c>
      <c r="AE22" s="214" t="s">
        <v>92</v>
      </c>
      <c r="AF22" s="214" t="s">
        <v>92</v>
      </c>
      <c r="AG22" s="214" t="s">
        <v>92</v>
      </c>
      <c r="AH22" s="215">
        <v>0</v>
      </c>
      <c r="AI22" s="215">
        <v>0</v>
      </c>
      <c r="AJ22" s="215">
        <v>0</v>
      </c>
      <c r="AK22" s="215">
        <v>0</v>
      </c>
      <c r="AL22" s="215">
        <f>AM22-AK22-AJ22-AI22</f>
        <v>0</v>
      </c>
      <c r="AM22" s="215">
        <v>0</v>
      </c>
      <c r="AN22" s="215">
        <v>0</v>
      </c>
      <c r="AO22" s="215">
        <v>0</v>
      </c>
      <c r="AP22" s="215">
        <v>0</v>
      </c>
      <c r="AQ22" s="215">
        <f>AR22-AP22-AO22-AN22</f>
        <v>0</v>
      </c>
      <c r="AR22" s="215">
        <v>0</v>
      </c>
      <c r="AS22" s="24">
        <v>0</v>
      </c>
      <c r="AT22" s="24">
        <v>0</v>
      </c>
      <c r="AU22" s="24">
        <v>0</v>
      </c>
      <c r="AV22" s="24">
        <f>AW22-AU22-AT22-AS22</f>
        <v>0</v>
      </c>
      <c r="AW22" s="215">
        <v>0</v>
      </c>
      <c r="AX22" s="24">
        <v>0</v>
      </c>
      <c r="AY22" s="24">
        <v>0</v>
      </c>
      <c r="AZ22" s="24">
        <v>0</v>
      </c>
      <c r="BA22" s="24">
        <f>BB22-AZ22-AY22-AX22</f>
        <v>0</v>
      </c>
      <c r="BB22" s="215">
        <v>0</v>
      </c>
      <c r="BC22" s="24">
        <v>0</v>
      </c>
      <c r="BD22" s="24">
        <v>0</v>
      </c>
      <c r="BE22" s="24">
        <v>0</v>
      </c>
      <c r="BF22" s="24">
        <f>BG22-BE22-BD22-BC22</f>
        <v>0</v>
      </c>
      <c r="BG22" s="215">
        <v>0</v>
      </c>
      <c r="BH22" s="24">
        <v>0</v>
      </c>
      <c r="BI22" s="24">
        <v>0</v>
      </c>
      <c r="BJ22" s="24">
        <v>0</v>
      </c>
      <c r="BK22" s="24">
        <f>BL22-BJ22-BI22-BH22</f>
        <v>0</v>
      </c>
      <c r="BL22" s="215">
        <v>0</v>
      </c>
    </row>
    <row r="23" spans="2:64" ht="13.9" customHeight="1">
      <c r="B23" s="20"/>
      <c r="C23" s="62"/>
      <c r="D23" s="73"/>
      <c r="E23" s="62"/>
      <c r="F23" s="62"/>
      <c r="G23" s="62"/>
      <c r="H23" s="62"/>
      <c r="I23" s="8"/>
      <c r="J23" s="62"/>
      <c r="K23" s="62"/>
      <c r="L23" s="62"/>
      <c r="M23" s="62"/>
      <c r="N23" s="8"/>
      <c r="O23" s="62"/>
      <c r="P23" s="62"/>
      <c r="Q23" s="62"/>
      <c r="R23" s="62"/>
      <c r="S23" s="8"/>
      <c r="T23" s="62"/>
      <c r="U23" s="62"/>
      <c r="V23" s="62"/>
      <c r="W23" s="62"/>
      <c r="X23" s="8"/>
      <c r="Y23" s="24"/>
      <c r="Z23" s="24"/>
      <c r="AA23" s="24"/>
      <c r="AB23" s="24"/>
      <c r="AC23" s="210"/>
      <c r="AD23" s="223"/>
      <c r="AE23" s="223"/>
      <c r="AF23" s="223"/>
      <c r="AG23" s="223"/>
      <c r="AH23" s="210"/>
      <c r="AI23" s="223"/>
      <c r="AJ23" s="223"/>
      <c r="AK23" s="223"/>
      <c r="AL23" s="223"/>
      <c r="AM23" s="210"/>
      <c r="AN23" s="223"/>
      <c r="AO23" s="223"/>
      <c r="AP23" s="223"/>
      <c r="AQ23" s="223"/>
      <c r="AR23" s="210"/>
      <c r="AS23" s="62"/>
      <c r="AT23" s="62"/>
      <c r="AU23" s="62"/>
      <c r="AV23" s="62"/>
      <c r="AW23" s="210"/>
      <c r="AX23" s="62"/>
      <c r="AY23" s="62"/>
      <c r="AZ23" s="62"/>
      <c r="BA23" s="62"/>
      <c r="BB23" s="210"/>
      <c r="BC23" s="62"/>
      <c r="BD23" s="62"/>
      <c r="BE23" s="62"/>
      <c r="BF23" s="62"/>
      <c r="BG23" s="210"/>
      <c r="BH23" s="62"/>
      <c r="BI23" s="62"/>
      <c r="BJ23" s="62"/>
      <c r="BK23" s="62"/>
      <c r="BL23" s="210"/>
    </row>
    <row r="24" spans="2:64" ht="27.6" customHeight="1">
      <c r="B24" s="74" t="s">
        <v>213</v>
      </c>
      <c r="C24" s="62">
        <v>53</v>
      </c>
      <c r="D24" s="73">
        <v>90</v>
      </c>
      <c r="E24" s="62">
        <v>8</v>
      </c>
      <c r="F24" s="62">
        <v>117</v>
      </c>
      <c r="G24" s="62">
        <v>8</v>
      </c>
      <c r="H24" s="62">
        <v>43</v>
      </c>
      <c r="I24" s="16">
        <v>176</v>
      </c>
      <c r="J24" s="61" t="s">
        <v>92</v>
      </c>
      <c r="K24" s="61">
        <v>1</v>
      </c>
      <c r="L24" s="61" t="s">
        <v>92</v>
      </c>
      <c r="M24" s="62">
        <f>N24-SUM(J24:L24)</f>
        <v>116</v>
      </c>
      <c r="N24" s="73">
        <v>117</v>
      </c>
      <c r="O24" s="61">
        <v>1</v>
      </c>
      <c r="P24" s="61">
        <v>14</v>
      </c>
      <c r="Q24" s="61">
        <v>3</v>
      </c>
      <c r="R24" s="62">
        <f>S24-Q24-P24-O24</f>
        <v>78</v>
      </c>
      <c r="S24" s="73">
        <v>96</v>
      </c>
      <c r="T24" s="61" t="s">
        <v>92</v>
      </c>
      <c r="U24" s="61">
        <v>12</v>
      </c>
      <c r="V24" s="61">
        <v>3</v>
      </c>
      <c r="W24" s="62">
        <f>X24-V24-U24</f>
        <v>8</v>
      </c>
      <c r="X24" s="73">
        <v>23</v>
      </c>
      <c r="Y24" s="61">
        <v>12</v>
      </c>
      <c r="Z24" s="61">
        <v>81</v>
      </c>
      <c r="AA24" s="61">
        <v>6</v>
      </c>
      <c r="AB24" s="62">
        <f>AC24-Y24-Z24-AA24</f>
        <v>448</v>
      </c>
      <c r="AC24" s="213">
        <v>547</v>
      </c>
      <c r="AD24" s="214">
        <v>-25</v>
      </c>
      <c r="AE24" s="214">
        <v>1</v>
      </c>
      <c r="AF24" s="214">
        <v>3</v>
      </c>
      <c r="AG24" s="223">
        <f>AH24-AD24-AE24-AF24</f>
        <v>130</v>
      </c>
      <c r="AH24" s="213">
        <v>109</v>
      </c>
      <c r="AI24" s="214">
        <v>5</v>
      </c>
      <c r="AJ24" s="214">
        <v>-5</v>
      </c>
      <c r="AK24" s="215">
        <v>0</v>
      </c>
      <c r="AL24" s="215">
        <f>AM24-AI24-AJ24-AK24</f>
        <v>64</v>
      </c>
      <c r="AM24" s="215">
        <v>64</v>
      </c>
      <c r="AN24" s="214">
        <v>2</v>
      </c>
      <c r="AO24" s="214">
        <v>6</v>
      </c>
      <c r="AP24" s="214">
        <v>3</v>
      </c>
      <c r="AQ24" s="215">
        <f>AR24-AN24-AO24-AP24</f>
        <v>84</v>
      </c>
      <c r="AR24" s="215">
        <v>95</v>
      </c>
      <c r="AS24" s="61">
        <v>2</v>
      </c>
      <c r="AT24" s="61">
        <v>2</v>
      </c>
      <c r="AU24" s="24">
        <v>7</v>
      </c>
      <c r="AV24" s="24">
        <f>AW24-AS24-AT24-AU24</f>
        <v>67</v>
      </c>
      <c r="AW24" s="215">
        <v>78</v>
      </c>
      <c r="AX24" s="61">
        <v>3</v>
      </c>
      <c r="AY24" s="24">
        <v>1</v>
      </c>
      <c r="AZ24" s="61">
        <v>-4</v>
      </c>
      <c r="BA24" s="62">
        <f>BB24-AZ24-AY24-AX24</f>
        <v>57</v>
      </c>
      <c r="BB24" s="215">
        <v>57</v>
      </c>
      <c r="BC24" s="24">
        <v>3</v>
      </c>
      <c r="BD24" s="24">
        <v>2</v>
      </c>
      <c r="BE24" s="24">
        <v>8</v>
      </c>
      <c r="BF24" s="62">
        <f>BG24-BE24-BD24-BC24</f>
        <v>91</v>
      </c>
      <c r="BG24" s="215">
        <v>104</v>
      </c>
      <c r="BH24" s="24">
        <v>0</v>
      </c>
      <c r="BI24" s="24">
        <v>2</v>
      </c>
      <c r="BJ24" s="24">
        <v>19</v>
      </c>
      <c r="BK24" s="62">
        <f>BL24-BJ24-BI24-BH24</f>
        <v>246</v>
      </c>
      <c r="BL24" s="215">
        <v>267</v>
      </c>
    </row>
    <row r="25" spans="2:64" ht="13.9" customHeight="1">
      <c r="B25" s="20"/>
      <c r="C25" s="62"/>
      <c r="D25" s="73"/>
      <c r="E25" s="62"/>
      <c r="F25" s="62"/>
      <c r="G25" s="62"/>
      <c r="H25" s="62"/>
      <c r="I25" s="8"/>
      <c r="J25" s="62"/>
      <c r="K25" s="62"/>
      <c r="L25" s="62"/>
      <c r="M25" s="62"/>
      <c r="N25" s="8"/>
      <c r="O25" s="62"/>
      <c r="P25" s="62"/>
      <c r="Q25" s="62"/>
      <c r="R25" s="62"/>
      <c r="S25" s="8"/>
      <c r="T25" s="62"/>
      <c r="U25" s="62"/>
      <c r="V25" s="62"/>
      <c r="W25" s="62"/>
      <c r="X25" s="8"/>
      <c r="Y25" s="62"/>
      <c r="Z25" s="62"/>
      <c r="AA25" s="62"/>
      <c r="AB25" s="62"/>
      <c r="AC25" s="210"/>
      <c r="AD25" s="223"/>
      <c r="AE25" s="223"/>
      <c r="AF25" s="223"/>
      <c r="AG25" s="223"/>
      <c r="AH25" s="210"/>
      <c r="AI25" s="223"/>
      <c r="AJ25" s="223"/>
      <c r="AK25" s="223"/>
      <c r="AL25" s="223"/>
      <c r="AM25" s="210"/>
      <c r="AN25" s="223"/>
      <c r="AO25" s="223"/>
      <c r="AP25" s="223"/>
      <c r="AQ25" s="223"/>
      <c r="AR25" s="210"/>
      <c r="AS25" s="62"/>
      <c r="AT25" s="62"/>
      <c r="AU25" s="62"/>
      <c r="AV25" s="62"/>
      <c r="AW25" s="210"/>
      <c r="AX25" s="62"/>
      <c r="AY25" s="62"/>
      <c r="AZ25" s="62"/>
      <c r="BA25" s="62"/>
      <c r="BB25" s="210"/>
      <c r="BC25" s="62"/>
      <c r="BD25" s="62"/>
      <c r="BE25" s="62"/>
      <c r="BF25" s="62"/>
      <c r="BG25" s="210"/>
      <c r="BH25" s="62"/>
      <c r="BI25" s="62"/>
      <c r="BJ25" s="62"/>
      <c r="BK25" s="62"/>
      <c r="BL25" s="210"/>
    </row>
    <row r="26" spans="2:64" ht="25.15" customHeight="1">
      <c r="B26" s="74" t="s">
        <v>212</v>
      </c>
      <c r="C26" s="62">
        <v>61</v>
      </c>
      <c r="D26" s="73">
        <v>61</v>
      </c>
      <c r="E26" s="61" t="s">
        <v>92</v>
      </c>
      <c r="F26" s="61" t="s">
        <v>92</v>
      </c>
      <c r="G26" s="61" t="s">
        <v>92</v>
      </c>
      <c r="H26" s="62">
        <v>18</v>
      </c>
      <c r="I26" s="73">
        <v>18</v>
      </c>
      <c r="J26" s="61" t="s">
        <v>92</v>
      </c>
      <c r="K26" s="61" t="s">
        <v>92</v>
      </c>
      <c r="L26" s="61" t="s">
        <v>92</v>
      </c>
      <c r="M26" s="61" t="s">
        <v>92</v>
      </c>
      <c r="N26" s="16" t="s">
        <v>92</v>
      </c>
      <c r="O26" s="61" t="s">
        <v>92</v>
      </c>
      <c r="P26" s="61" t="s">
        <v>92</v>
      </c>
      <c r="Q26" s="61" t="s">
        <v>92</v>
      </c>
      <c r="R26" s="61" t="s">
        <v>92</v>
      </c>
      <c r="S26" s="16" t="s">
        <v>92</v>
      </c>
      <c r="T26" s="61" t="s">
        <v>92</v>
      </c>
      <c r="U26" s="61" t="s">
        <v>92</v>
      </c>
      <c r="V26" s="61" t="s">
        <v>92</v>
      </c>
      <c r="W26" s="61" t="s">
        <v>92</v>
      </c>
      <c r="X26" s="16">
        <v>3</v>
      </c>
      <c r="Y26" s="24">
        <v>0</v>
      </c>
      <c r="Z26" s="61">
        <v>2</v>
      </c>
      <c r="AA26" s="61">
        <v>6</v>
      </c>
      <c r="AB26" s="61">
        <v>4</v>
      </c>
      <c r="AC26" s="215">
        <v>12</v>
      </c>
      <c r="AD26" s="214">
        <v>45</v>
      </c>
      <c r="AE26" s="214" t="s">
        <v>92</v>
      </c>
      <c r="AF26" s="214">
        <v>45</v>
      </c>
      <c r="AG26" s="214">
        <v>77</v>
      </c>
      <c r="AH26" s="213">
        <f>AG26+AF26+AD26</f>
        <v>167</v>
      </c>
      <c r="AI26" s="215">
        <v>0</v>
      </c>
      <c r="AJ26" s="214">
        <v>-5</v>
      </c>
      <c r="AK26" s="215">
        <v>0</v>
      </c>
      <c r="AL26" s="215">
        <f>AM26-AK26-AJ26-AI26</f>
        <v>14</v>
      </c>
      <c r="AM26" s="215">
        <v>9</v>
      </c>
      <c r="AN26" s="215">
        <v>0</v>
      </c>
      <c r="AO26" s="215">
        <v>0</v>
      </c>
      <c r="AP26" s="214">
        <v>1</v>
      </c>
      <c r="AQ26" s="215">
        <f>AR26-AP26-AO26-AN26</f>
        <v>36</v>
      </c>
      <c r="AR26" s="215">
        <v>37</v>
      </c>
      <c r="AS26" s="24">
        <v>0</v>
      </c>
      <c r="AT26" s="24">
        <v>0</v>
      </c>
      <c r="AU26" s="24">
        <v>2</v>
      </c>
      <c r="AV26" s="24">
        <f>AW26-AU26-AT26-AS26</f>
        <v>100</v>
      </c>
      <c r="AW26" s="215">
        <v>102</v>
      </c>
      <c r="AX26" s="24">
        <v>0</v>
      </c>
      <c r="AY26" s="24">
        <v>4</v>
      </c>
      <c r="AZ26" s="24">
        <v>2</v>
      </c>
      <c r="BA26" s="62">
        <f>BB26-AZ26-AY26-AX26</f>
        <v>11</v>
      </c>
      <c r="BB26" s="215">
        <v>17</v>
      </c>
      <c r="BC26" s="24">
        <v>4</v>
      </c>
      <c r="BD26" s="24">
        <v>1</v>
      </c>
      <c r="BE26" s="24">
        <v>3</v>
      </c>
      <c r="BF26" s="62">
        <f>BG26-BE26-BD26-BC26</f>
        <v>83</v>
      </c>
      <c r="BG26" s="215">
        <v>91</v>
      </c>
      <c r="BH26" s="24">
        <v>9</v>
      </c>
      <c r="BI26" s="24">
        <v>1</v>
      </c>
      <c r="BJ26" s="24">
        <v>0</v>
      </c>
      <c r="BK26" s="62">
        <f>BL26-BJ26-BI26-BH26</f>
        <v>-6</v>
      </c>
      <c r="BL26" s="215">
        <v>4</v>
      </c>
    </row>
    <row r="27" spans="2:64" ht="13.9" customHeight="1">
      <c r="B27" s="20"/>
      <c r="C27" s="62"/>
      <c r="D27" s="73"/>
      <c r="E27" s="62"/>
      <c r="F27" s="62"/>
      <c r="G27" s="62"/>
      <c r="H27" s="62"/>
      <c r="I27" s="8"/>
      <c r="J27" s="62"/>
      <c r="K27" s="62"/>
      <c r="L27" s="62"/>
      <c r="M27" s="62"/>
      <c r="N27" s="8"/>
      <c r="O27" s="62"/>
      <c r="P27" s="62"/>
      <c r="Q27" s="62"/>
      <c r="R27" s="62"/>
      <c r="S27" s="8"/>
      <c r="T27" s="62"/>
      <c r="U27" s="62"/>
      <c r="V27" s="62"/>
      <c r="W27" s="62"/>
      <c r="X27" s="8"/>
      <c r="Y27" s="62"/>
      <c r="Z27" s="62"/>
      <c r="AA27" s="62"/>
      <c r="AB27" s="62"/>
      <c r="AC27" s="210"/>
      <c r="AD27" s="223"/>
      <c r="AE27" s="223"/>
      <c r="AF27" s="223"/>
      <c r="AG27" s="223"/>
      <c r="AH27" s="210"/>
      <c r="AI27" s="223"/>
      <c r="AJ27" s="223"/>
      <c r="AK27" s="223"/>
      <c r="AL27" s="223"/>
      <c r="AM27" s="210"/>
      <c r="AN27" s="223"/>
      <c r="AO27" s="223"/>
      <c r="AP27" s="223"/>
      <c r="AQ27" s="223"/>
      <c r="AR27" s="210"/>
      <c r="AS27" s="62"/>
      <c r="AT27" s="62"/>
      <c r="AU27" s="62"/>
      <c r="AV27" s="62"/>
      <c r="AW27" s="210"/>
      <c r="AX27" s="62"/>
      <c r="AY27" s="62"/>
      <c r="AZ27" s="62"/>
      <c r="BA27" s="62"/>
      <c r="BB27" s="210"/>
      <c r="BC27" s="62"/>
      <c r="BD27" s="62"/>
      <c r="BE27" s="62"/>
      <c r="BF27" s="62"/>
      <c r="BG27" s="210"/>
      <c r="BH27" s="62"/>
      <c r="BI27" s="62"/>
      <c r="BJ27" s="62"/>
      <c r="BK27" s="62"/>
      <c r="BL27" s="210"/>
    </row>
    <row r="28" spans="2:64" ht="13.9" customHeight="1">
      <c r="B28" s="2" t="s">
        <v>398</v>
      </c>
      <c r="C28" s="62"/>
      <c r="D28" s="73"/>
      <c r="E28" s="62"/>
      <c r="F28" s="62"/>
      <c r="G28" s="62"/>
      <c r="H28" s="62"/>
      <c r="I28" s="8"/>
      <c r="J28" s="62"/>
      <c r="K28" s="62"/>
      <c r="L28" s="62"/>
      <c r="M28" s="62"/>
      <c r="N28" s="8"/>
      <c r="O28" s="62"/>
      <c r="P28" s="62"/>
      <c r="Q28" s="62"/>
      <c r="R28" s="62"/>
      <c r="S28" s="8"/>
      <c r="T28" s="62"/>
      <c r="U28" s="62"/>
      <c r="V28" s="62"/>
      <c r="W28" s="62"/>
      <c r="X28" s="8"/>
      <c r="Y28" s="62"/>
      <c r="Z28" s="62"/>
      <c r="AA28" s="62"/>
      <c r="AB28" s="62"/>
      <c r="AC28" s="215">
        <v>0</v>
      </c>
      <c r="AD28" s="215">
        <v>0</v>
      </c>
      <c r="AE28" s="215">
        <v>0</v>
      </c>
      <c r="AF28" s="215">
        <v>0</v>
      </c>
      <c r="AG28" s="215">
        <v>0</v>
      </c>
      <c r="AH28" s="215">
        <v>0</v>
      </c>
      <c r="AI28" s="215">
        <v>0</v>
      </c>
      <c r="AJ28" s="215">
        <v>0</v>
      </c>
      <c r="AK28" s="215">
        <v>0</v>
      </c>
      <c r="AL28" s="215">
        <v>0</v>
      </c>
      <c r="AM28" s="215">
        <v>0</v>
      </c>
      <c r="AN28" s="215">
        <v>0</v>
      </c>
      <c r="AO28" s="215">
        <v>0</v>
      </c>
      <c r="AP28" s="215">
        <v>0</v>
      </c>
      <c r="AQ28" s="215">
        <v>0</v>
      </c>
      <c r="AR28" s="215">
        <v>0</v>
      </c>
      <c r="AS28" s="24">
        <v>0</v>
      </c>
      <c r="AT28" s="24">
        <v>0</v>
      </c>
      <c r="AU28" s="24">
        <v>0</v>
      </c>
      <c r="AV28" s="24">
        <v>0</v>
      </c>
      <c r="AW28" s="215">
        <v>0</v>
      </c>
      <c r="AX28" s="24">
        <v>0</v>
      </c>
      <c r="AY28" s="24">
        <v>0</v>
      </c>
      <c r="AZ28" s="62">
        <v>75</v>
      </c>
      <c r="BA28" s="24">
        <f>BB28-AZ28-AY28-AX28</f>
        <v>0</v>
      </c>
      <c r="BB28" s="215">
        <v>75</v>
      </c>
      <c r="BC28" s="24">
        <v>0</v>
      </c>
      <c r="BD28" s="24">
        <v>0</v>
      </c>
      <c r="BE28" s="24">
        <v>0</v>
      </c>
      <c r="BF28" s="24">
        <f>BG28-BE28-BD28-BC28</f>
        <v>0</v>
      </c>
      <c r="BG28" s="215">
        <v>0</v>
      </c>
      <c r="BH28" s="24">
        <v>0</v>
      </c>
      <c r="BI28" s="24">
        <v>0</v>
      </c>
      <c r="BJ28" s="24">
        <v>0</v>
      </c>
      <c r="BK28" s="24">
        <f>BL28-BJ28-BI28-BH28</f>
        <v>0</v>
      </c>
      <c r="BL28" s="215">
        <v>0</v>
      </c>
    </row>
    <row r="29" spans="2:64" ht="13.9" customHeight="1">
      <c r="B29" s="20"/>
      <c r="C29" s="62"/>
      <c r="D29" s="73"/>
      <c r="E29" s="62"/>
      <c r="F29" s="62"/>
      <c r="G29" s="62"/>
      <c r="H29" s="62"/>
      <c r="I29" s="8"/>
      <c r="J29" s="62"/>
      <c r="K29" s="62"/>
      <c r="L29" s="62"/>
      <c r="M29" s="62"/>
      <c r="N29" s="8"/>
      <c r="O29" s="62"/>
      <c r="P29" s="62"/>
      <c r="Q29" s="62"/>
      <c r="R29" s="62"/>
      <c r="S29" s="8"/>
      <c r="T29" s="62"/>
      <c r="U29" s="62"/>
      <c r="V29" s="62"/>
      <c r="W29" s="62"/>
      <c r="X29" s="8"/>
      <c r="Y29" s="62"/>
      <c r="Z29" s="62"/>
      <c r="AA29" s="62"/>
      <c r="AB29" s="62"/>
      <c r="AC29" s="210"/>
      <c r="AD29" s="223"/>
      <c r="AE29" s="223"/>
      <c r="AF29" s="223"/>
      <c r="AG29" s="223"/>
      <c r="AH29" s="210"/>
      <c r="AI29" s="223"/>
      <c r="AJ29" s="223"/>
      <c r="AK29" s="223"/>
      <c r="AL29" s="223"/>
      <c r="AM29" s="210"/>
      <c r="AN29" s="223"/>
      <c r="AO29" s="223"/>
      <c r="AP29" s="223"/>
      <c r="AQ29" s="223"/>
      <c r="AR29" s="210"/>
      <c r="AS29" s="62"/>
      <c r="AT29" s="62"/>
      <c r="AU29" s="62"/>
      <c r="AV29" s="62"/>
      <c r="AW29" s="210"/>
      <c r="AX29" s="62"/>
      <c r="AY29" s="62"/>
      <c r="AZ29" s="62"/>
      <c r="BA29" s="62"/>
      <c r="BB29" s="210"/>
      <c r="BC29" s="62"/>
      <c r="BD29" s="62"/>
      <c r="BE29" s="62"/>
      <c r="BF29" s="62"/>
      <c r="BG29" s="210"/>
      <c r="BH29" s="62"/>
      <c r="BI29" s="62"/>
      <c r="BJ29" s="62"/>
      <c r="BK29" s="62"/>
      <c r="BL29" s="210"/>
    </row>
    <row r="30" spans="2:64" ht="25.5" customHeight="1">
      <c r="B30" s="74" t="s">
        <v>113</v>
      </c>
      <c r="C30" s="61">
        <v>1</v>
      </c>
      <c r="D30" s="73">
        <v>1</v>
      </c>
      <c r="E30" s="61" t="s">
        <v>92</v>
      </c>
      <c r="F30" s="61" t="s">
        <v>92</v>
      </c>
      <c r="G30" s="61" t="s">
        <v>92</v>
      </c>
      <c r="H30" s="61" t="s">
        <v>92</v>
      </c>
      <c r="I30" s="16" t="s">
        <v>92</v>
      </c>
      <c r="J30" s="61" t="s">
        <v>92</v>
      </c>
      <c r="K30" s="61" t="s">
        <v>92</v>
      </c>
      <c r="L30" s="61" t="s">
        <v>92</v>
      </c>
      <c r="M30" s="61" t="s">
        <v>92</v>
      </c>
      <c r="N30" s="16" t="s">
        <v>92</v>
      </c>
      <c r="O30" s="61" t="s">
        <v>92</v>
      </c>
      <c r="P30" s="61" t="s">
        <v>92</v>
      </c>
      <c r="Q30" s="61" t="s">
        <v>92</v>
      </c>
      <c r="R30" s="61" t="s">
        <v>92</v>
      </c>
      <c r="S30" s="16" t="s">
        <v>92</v>
      </c>
      <c r="T30" s="61" t="s">
        <v>92</v>
      </c>
      <c r="U30" s="61" t="s">
        <v>92</v>
      </c>
      <c r="V30" s="61" t="s">
        <v>92</v>
      </c>
      <c r="W30" s="61" t="s">
        <v>92</v>
      </c>
      <c r="X30" s="16">
        <v>0</v>
      </c>
      <c r="Y30" s="24">
        <v>0</v>
      </c>
      <c r="Z30" s="24">
        <v>0</v>
      </c>
      <c r="AA30" s="24">
        <v>0</v>
      </c>
      <c r="AB30" s="24">
        <v>0</v>
      </c>
      <c r="AC30" s="215">
        <v>0</v>
      </c>
      <c r="AD30" s="215">
        <v>0</v>
      </c>
      <c r="AE30" s="215">
        <v>0</v>
      </c>
      <c r="AF30" s="215">
        <v>0</v>
      </c>
      <c r="AG30" s="215">
        <v>0</v>
      </c>
      <c r="AH30" s="215">
        <v>0</v>
      </c>
      <c r="AI30" s="215">
        <v>0</v>
      </c>
      <c r="AJ30" s="215">
        <v>0</v>
      </c>
      <c r="AK30" s="215">
        <v>0</v>
      </c>
      <c r="AL30" s="215">
        <v>0</v>
      </c>
      <c r="AM30" s="215">
        <v>0</v>
      </c>
      <c r="AN30" s="215">
        <v>0</v>
      </c>
      <c r="AO30" s="215">
        <v>0</v>
      </c>
      <c r="AP30" s="215">
        <v>0</v>
      </c>
      <c r="AQ30" s="215">
        <v>0</v>
      </c>
      <c r="AR30" s="215">
        <v>0</v>
      </c>
      <c r="AS30" s="24">
        <v>0</v>
      </c>
      <c r="AT30" s="24">
        <v>0</v>
      </c>
      <c r="AU30" s="24">
        <v>0</v>
      </c>
      <c r="AV30" s="24">
        <v>0</v>
      </c>
      <c r="AW30" s="215">
        <v>0</v>
      </c>
      <c r="AX30" s="24">
        <v>0</v>
      </c>
      <c r="AY30" s="24">
        <v>0</v>
      </c>
      <c r="AZ30" s="24">
        <v>0</v>
      </c>
      <c r="BA30" s="24">
        <v>0</v>
      </c>
      <c r="BB30" s="215">
        <v>0</v>
      </c>
      <c r="BC30" s="24">
        <v>0</v>
      </c>
      <c r="BD30" s="24">
        <v>0</v>
      </c>
      <c r="BE30" s="24">
        <v>0</v>
      </c>
      <c r="BF30" s="24">
        <v>0</v>
      </c>
      <c r="BG30" s="215">
        <v>0</v>
      </c>
      <c r="BH30" s="24">
        <v>0</v>
      </c>
      <c r="BI30" s="24">
        <v>0</v>
      </c>
      <c r="BJ30" s="24">
        <v>0</v>
      </c>
      <c r="BK30" s="24">
        <v>0</v>
      </c>
      <c r="BL30" s="215">
        <v>0</v>
      </c>
    </row>
    <row r="31" spans="2:64" ht="13.9" customHeight="1">
      <c r="B31" s="20"/>
      <c r="C31" s="61"/>
      <c r="D31" s="73"/>
      <c r="E31" s="61"/>
      <c r="F31" s="61"/>
      <c r="G31" s="61"/>
      <c r="H31" s="61"/>
      <c r="I31" s="16"/>
      <c r="J31" s="61"/>
      <c r="K31" s="61"/>
      <c r="L31" s="61"/>
      <c r="M31" s="61"/>
      <c r="N31" s="16"/>
      <c r="O31" s="61"/>
      <c r="P31" s="61"/>
      <c r="Q31" s="61"/>
      <c r="R31" s="61"/>
      <c r="S31" s="16"/>
      <c r="T31" s="61"/>
      <c r="U31" s="61"/>
      <c r="V31" s="61"/>
      <c r="W31" s="61"/>
      <c r="X31" s="16"/>
      <c r="Y31" s="61"/>
      <c r="Z31" s="61"/>
      <c r="AA31" s="61"/>
      <c r="AB31" s="61"/>
      <c r="AC31" s="215"/>
      <c r="AD31" s="215"/>
      <c r="AE31" s="215"/>
      <c r="AF31" s="215"/>
      <c r="AG31" s="215"/>
      <c r="AH31" s="215"/>
      <c r="AI31" s="214"/>
      <c r="AJ31" s="214"/>
      <c r="AK31" s="214"/>
      <c r="AL31" s="214"/>
      <c r="AM31" s="215"/>
      <c r="AN31" s="214"/>
      <c r="AO31" s="214"/>
      <c r="AP31" s="214"/>
      <c r="AQ31" s="214"/>
      <c r="AR31" s="215"/>
      <c r="AS31" s="61"/>
      <c r="AT31" s="61"/>
      <c r="AU31" s="61"/>
      <c r="AV31" s="61"/>
      <c r="AW31" s="215"/>
      <c r="AX31" s="61"/>
      <c r="AY31" s="61"/>
      <c r="AZ31" s="61"/>
      <c r="BA31" s="61"/>
      <c r="BB31" s="215"/>
      <c r="BC31" s="61"/>
      <c r="BD31" s="61"/>
      <c r="BE31" s="61"/>
      <c r="BF31" s="61"/>
      <c r="BG31" s="215"/>
      <c r="BH31" s="61"/>
      <c r="BI31" s="61"/>
      <c r="BJ31" s="61"/>
      <c r="BK31" s="61"/>
      <c r="BL31" s="215"/>
    </row>
    <row r="32" spans="2:64" ht="13.9" customHeight="1">
      <c r="B32" s="74" t="s">
        <v>214</v>
      </c>
      <c r="C32" s="61"/>
      <c r="D32" s="73"/>
      <c r="E32" s="61"/>
      <c r="F32" s="61"/>
      <c r="G32" s="61"/>
      <c r="H32" s="61"/>
      <c r="I32" s="16"/>
      <c r="J32" s="61"/>
      <c r="K32" s="61"/>
      <c r="L32" s="61"/>
      <c r="M32" s="61"/>
      <c r="N32" s="16"/>
      <c r="O32" s="61"/>
      <c r="P32" s="61"/>
      <c r="Q32" s="61"/>
      <c r="R32" s="61"/>
      <c r="S32" s="16"/>
      <c r="T32" s="61"/>
      <c r="U32" s="61"/>
      <c r="V32" s="61"/>
      <c r="W32" s="61"/>
      <c r="X32" s="16">
        <v>0</v>
      </c>
      <c r="Y32" s="24">
        <v>0</v>
      </c>
      <c r="Z32" s="24">
        <v>0</v>
      </c>
      <c r="AA32" s="24">
        <v>0</v>
      </c>
      <c r="AB32" s="24">
        <v>0</v>
      </c>
      <c r="AC32" s="215">
        <v>0</v>
      </c>
      <c r="AD32" s="215">
        <v>0</v>
      </c>
      <c r="AE32" s="215">
        <v>0</v>
      </c>
      <c r="AF32" s="215">
        <v>0</v>
      </c>
      <c r="AG32" s="215">
        <v>0</v>
      </c>
      <c r="AH32" s="215">
        <v>0</v>
      </c>
      <c r="AI32" s="215">
        <v>0</v>
      </c>
      <c r="AJ32" s="214">
        <v>-9</v>
      </c>
      <c r="AK32" s="215">
        <v>0</v>
      </c>
      <c r="AL32" s="215">
        <f>AM32-AK32-AJ32-AI32</f>
        <v>0</v>
      </c>
      <c r="AM32" s="213">
        <v>-9</v>
      </c>
      <c r="AN32" s="215">
        <v>0</v>
      </c>
      <c r="AO32" s="215">
        <v>0</v>
      </c>
      <c r="AP32" s="215">
        <v>0</v>
      </c>
      <c r="AQ32" s="214">
        <f>AR32-AP32-AO32-AN32</f>
        <v>-5</v>
      </c>
      <c r="AR32" s="213">
        <v>-5</v>
      </c>
      <c r="AS32" s="24">
        <v>0</v>
      </c>
      <c r="AT32" s="24">
        <v>0</v>
      </c>
      <c r="AU32" s="24">
        <v>0</v>
      </c>
      <c r="AV32" s="24">
        <f>AW32-AU32-AT32-AS32</f>
        <v>0</v>
      </c>
      <c r="AW32" s="215">
        <v>0</v>
      </c>
      <c r="AX32" s="24">
        <v>0</v>
      </c>
      <c r="AY32" s="24">
        <v>0</v>
      </c>
      <c r="AZ32" s="24">
        <v>0</v>
      </c>
      <c r="BA32" s="24">
        <f>BB32-AZ32-AY32-AX32</f>
        <v>0</v>
      </c>
      <c r="BB32" s="215">
        <v>0</v>
      </c>
      <c r="BC32" s="24">
        <v>0</v>
      </c>
      <c r="BD32" s="24">
        <v>0</v>
      </c>
      <c r="BE32" s="24">
        <v>0</v>
      </c>
      <c r="BF32" s="24">
        <f>BG32-BE32-BD32-BC32</f>
        <v>0</v>
      </c>
      <c r="BG32" s="215">
        <v>0</v>
      </c>
      <c r="BH32" s="24">
        <v>0</v>
      </c>
      <c r="BI32" s="24">
        <v>0</v>
      </c>
      <c r="BJ32" s="24">
        <v>0</v>
      </c>
      <c r="BK32" s="24">
        <f>BL32-BJ32-BI32-BH32</f>
        <v>0</v>
      </c>
      <c r="BL32" s="215">
        <v>0</v>
      </c>
    </row>
    <row r="33" spans="2:64" ht="13.9" customHeight="1">
      <c r="B33" s="20"/>
      <c r="C33" s="61"/>
      <c r="D33" s="73"/>
      <c r="E33" s="61"/>
      <c r="F33" s="61"/>
      <c r="G33" s="61"/>
      <c r="H33" s="61"/>
      <c r="I33" s="16"/>
      <c r="J33" s="61"/>
      <c r="K33" s="61"/>
      <c r="L33" s="61"/>
      <c r="M33" s="61"/>
      <c r="N33" s="16"/>
      <c r="O33" s="61"/>
      <c r="P33" s="61"/>
      <c r="Q33" s="61"/>
      <c r="R33" s="61"/>
      <c r="S33" s="16"/>
      <c r="T33" s="61"/>
      <c r="U33" s="61"/>
      <c r="V33" s="61"/>
      <c r="W33" s="61"/>
      <c r="X33" s="16"/>
      <c r="Y33" s="61"/>
      <c r="Z33" s="61"/>
      <c r="AA33" s="61"/>
      <c r="AB33" s="61"/>
      <c r="AC33" s="215"/>
      <c r="AD33" s="214"/>
      <c r="AE33" s="214"/>
      <c r="AF33" s="214"/>
      <c r="AG33" s="214"/>
      <c r="AH33" s="215"/>
      <c r="AI33" s="214"/>
      <c r="AJ33" s="214"/>
      <c r="AK33" s="214"/>
      <c r="AL33" s="214"/>
      <c r="AM33" s="215"/>
      <c r="AN33" s="214"/>
      <c r="AO33" s="214"/>
      <c r="AP33" s="214"/>
      <c r="AQ33" s="214"/>
      <c r="AR33" s="215"/>
      <c r="AS33" s="61"/>
      <c r="AT33" s="61"/>
      <c r="AU33" s="61"/>
      <c r="AV33" s="61"/>
      <c r="AW33" s="215"/>
      <c r="AX33" s="61"/>
      <c r="AY33" s="61"/>
      <c r="AZ33" s="61"/>
      <c r="BA33" s="61"/>
      <c r="BB33" s="215"/>
      <c r="BC33" s="61"/>
      <c r="BD33" s="61"/>
      <c r="BE33" s="61"/>
      <c r="BF33" s="61"/>
      <c r="BG33" s="215"/>
      <c r="BH33" s="61"/>
      <c r="BI33" s="61"/>
      <c r="BJ33" s="61"/>
      <c r="BK33" s="61"/>
      <c r="BL33" s="215"/>
    </row>
    <row r="34" spans="2:64" ht="13.9" customHeight="1">
      <c r="B34" s="74" t="s">
        <v>245</v>
      </c>
      <c r="C34" s="61"/>
      <c r="D34" s="73"/>
      <c r="E34" s="61"/>
      <c r="F34" s="61"/>
      <c r="G34" s="61"/>
      <c r="H34" s="61"/>
      <c r="I34" s="16"/>
      <c r="J34" s="61"/>
      <c r="K34" s="61"/>
      <c r="L34" s="61"/>
      <c r="M34" s="61"/>
      <c r="N34" s="16"/>
      <c r="O34" s="61"/>
      <c r="P34" s="61"/>
      <c r="Q34" s="61"/>
      <c r="R34" s="61"/>
      <c r="S34" s="16"/>
      <c r="T34" s="61"/>
      <c r="U34" s="61"/>
      <c r="V34" s="61"/>
      <c r="W34" s="61"/>
      <c r="X34" s="16">
        <v>0</v>
      </c>
      <c r="Y34" s="24">
        <v>0</v>
      </c>
      <c r="Z34" s="24">
        <v>0</v>
      </c>
      <c r="AA34" s="24">
        <v>0</v>
      </c>
      <c r="AB34" s="24">
        <v>0</v>
      </c>
      <c r="AC34" s="215">
        <v>0</v>
      </c>
      <c r="AD34" s="215">
        <v>0</v>
      </c>
      <c r="AE34" s="215">
        <v>0</v>
      </c>
      <c r="AF34" s="215">
        <v>0</v>
      </c>
      <c r="AG34" s="215">
        <v>0</v>
      </c>
      <c r="AH34" s="215">
        <v>0</v>
      </c>
      <c r="AI34" s="215">
        <v>0</v>
      </c>
      <c r="AJ34" s="215">
        <v>0</v>
      </c>
      <c r="AK34" s="215">
        <v>0</v>
      </c>
      <c r="AL34" s="215">
        <f>AM34-AK34-AJ34-AI34</f>
        <v>40</v>
      </c>
      <c r="AM34" s="213">
        <v>40</v>
      </c>
      <c r="AN34" s="215">
        <v>0</v>
      </c>
      <c r="AO34" s="215">
        <v>0</v>
      </c>
      <c r="AP34" s="215">
        <v>0</v>
      </c>
      <c r="AQ34" s="215">
        <f>AR34-AP34-AO34-AN34</f>
        <v>0</v>
      </c>
      <c r="AR34" s="215">
        <v>0</v>
      </c>
      <c r="AS34" s="24">
        <v>0</v>
      </c>
      <c r="AT34" s="24">
        <v>0</v>
      </c>
      <c r="AU34" s="24">
        <v>0</v>
      </c>
      <c r="AV34" s="24">
        <f>AW34-AU34-AT34-AS34</f>
        <v>0</v>
      </c>
      <c r="AW34" s="215">
        <v>0</v>
      </c>
      <c r="AX34" s="24">
        <v>0</v>
      </c>
      <c r="AY34" s="24">
        <v>0</v>
      </c>
      <c r="AZ34" s="24">
        <v>0</v>
      </c>
      <c r="BA34" s="24">
        <f>BB34-AZ34-AY34-AX34</f>
        <v>0</v>
      </c>
      <c r="BB34" s="215">
        <v>0</v>
      </c>
      <c r="BC34" s="24">
        <v>0</v>
      </c>
      <c r="BD34" s="24">
        <v>0</v>
      </c>
      <c r="BE34" s="24">
        <v>0</v>
      </c>
      <c r="BF34" s="24">
        <f>BG34-BE34-BD34-BC34</f>
        <v>0</v>
      </c>
      <c r="BG34" s="215">
        <v>0</v>
      </c>
      <c r="BH34" s="24">
        <v>0</v>
      </c>
      <c r="BI34" s="24">
        <v>0</v>
      </c>
      <c r="BJ34" s="24">
        <v>0</v>
      </c>
      <c r="BK34" s="24">
        <f>BL34-BJ34-BI34-BH34</f>
        <v>0</v>
      </c>
      <c r="BL34" s="215">
        <v>0</v>
      </c>
    </row>
    <row r="35" spans="2:64" ht="13.9" customHeight="1">
      <c r="B35" s="20"/>
      <c r="C35" s="61"/>
      <c r="D35" s="73"/>
      <c r="E35" s="61"/>
      <c r="F35" s="61"/>
      <c r="G35" s="61"/>
      <c r="H35" s="61"/>
      <c r="I35" s="16"/>
      <c r="J35" s="61"/>
      <c r="K35" s="61"/>
      <c r="L35" s="61"/>
      <c r="M35" s="61"/>
      <c r="N35" s="16"/>
      <c r="O35" s="61"/>
      <c r="P35" s="61"/>
      <c r="Q35" s="61"/>
      <c r="R35" s="61"/>
      <c r="S35" s="16"/>
      <c r="T35" s="61"/>
      <c r="U35" s="61"/>
      <c r="V35" s="61"/>
      <c r="W35" s="61"/>
      <c r="X35" s="16"/>
      <c r="Y35" s="61"/>
      <c r="Z35" s="61"/>
      <c r="AA35" s="61"/>
      <c r="AB35" s="61"/>
      <c r="AC35" s="215"/>
      <c r="AD35" s="214"/>
      <c r="AE35" s="214"/>
      <c r="AF35" s="214"/>
      <c r="AG35" s="214"/>
      <c r="AH35" s="215"/>
      <c r="AI35" s="214"/>
      <c r="AJ35" s="214"/>
      <c r="AK35" s="214"/>
      <c r="AL35" s="214"/>
      <c r="AM35" s="215"/>
      <c r="AN35" s="214"/>
      <c r="AO35" s="214"/>
      <c r="AP35" s="214"/>
      <c r="AQ35" s="214"/>
      <c r="AR35" s="215"/>
      <c r="AS35" s="61"/>
      <c r="AT35" s="61"/>
      <c r="AU35" s="61"/>
      <c r="AV35" s="61"/>
      <c r="AW35" s="215"/>
      <c r="AX35" s="61"/>
      <c r="AY35" s="61"/>
      <c r="AZ35" s="61"/>
      <c r="BA35" s="61"/>
      <c r="BB35" s="215"/>
      <c r="BC35" s="61"/>
      <c r="BD35" s="61"/>
      <c r="BE35" s="61"/>
      <c r="BF35" s="61"/>
      <c r="BG35" s="215"/>
      <c r="BH35" s="61"/>
      <c r="BI35" s="61"/>
      <c r="BJ35" s="61"/>
      <c r="BK35" s="61"/>
      <c r="BL35" s="215"/>
    </row>
    <row r="36" spans="2:64" ht="13.9" customHeight="1">
      <c r="B36" s="74" t="s">
        <v>441</v>
      </c>
      <c r="C36" s="61"/>
      <c r="D36" s="73"/>
      <c r="E36" s="61"/>
      <c r="F36" s="61"/>
      <c r="G36" s="61"/>
      <c r="H36" s="61"/>
      <c r="I36" s="16"/>
      <c r="J36" s="61"/>
      <c r="K36" s="61"/>
      <c r="L36" s="61"/>
      <c r="M36" s="61"/>
      <c r="N36" s="16"/>
      <c r="O36" s="61"/>
      <c r="P36" s="61"/>
      <c r="Q36" s="61"/>
      <c r="R36" s="61"/>
      <c r="S36" s="16"/>
      <c r="T36" s="61"/>
      <c r="U36" s="61"/>
      <c r="V36" s="61"/>
      <c r="W36" s="61"/>
      <c r="X36" s="16"/>
      <c r="Y36" s="61"/>
      <c r="Z36" s="61"/>
      <c r="AA36" s="61"/>
      <c r="AB36" s="61"/>
      <c r="AC36" s="215">
        <v>0</v>
      </c>
      <c r="AD36" s="214"/>
      <c r="AE36" s="214"/>
      <c r="AF36" s="214"/>
      <c r="AG36" s="214"/>
      <c r="AH36" s="215">
        <v>0</v>
      </c>
      <c r="AI36" s="214"/>
      <c r="AJ36" s="214"/>
      <c r="AK36" s="214"/>
      <c r="AL36" s="214"/>
      <c r="AM36" s="215">
        <v>0</v>
      </c>
      <c r="AN36" s="214"/>
      <c r="AO36" s="214"/>
      <c r="AP36" s="214"/>
      <c r="AQ36" s="214"/>
      <c r="AR36" s="215">
        <v>0</v>
      </c>
      <c r="AS36" s="24">
        <v>0</v>
      </c>
      <c r="AT36" s="24">
        <v>0</v>
      </c>
      <c r="AU36" s="24">
        <v>0</v>
      </c>
      <c r="AV36" s="24">
        <f>AW36-AU36-AT36-AS36</f>
        <v>0</v>
      </c>
      <c r="AW36" s="215">
        <v>0</v>
      </c>
      <c r="AX36" s="24">
        <v>0</v>
      </c>
      <c r="AY36" s="24">
        <v>0</v>
      </c>
      <c r="AZ36" s="24">
        <v>0</v>
      </c>
      <c r="BA36" s="24">
        <f>BB36-AZ36-AY36-AX36</f>
        <v>0</v>
      </c>
      <c r="BB36" s="215">
        <v>0</v>
      </c>
      <c r="BC36" s="24">
        <v>0</v>
      </c>
      <c r="BD36" s="24">
        <v>0</v>
      </c>
      <c r="BE36" s="61">
        <v>10</v>
      </c>
      <c r="BF36" s="62">
        <f>BG36-BE36-BD36-BC36</f>
        <v>-1</v>
      </c>
      <c r="BG36" s="215">
        <v>9</v>
      </c>
      <c r="BH36" s="24">
        <v>2</v>
      </c>
      <c r="BI36" s="24">
        <v>0</v>
      </c>
      <c r="BJ36" s="24">
        <v>0</v>
      </c>
      <c r="BK36" s="24">
        <f>BL36-BJ36-BI36-BH36</f>
        <v>0</v>
      </c>
      <c r="BL36" s="215">
        <v>2</v>
      </c>
    </row>
    <row r="37" spans="2:64" ht="13.9" customHeight="1">
      <c r="B37" s="74"/>
      <c r="C37" s="61"/>
      <c r="D37" s="73"/>
      <c r="E37" s="61"/>
      <c r="F37" s="61"/>
      <c r="G37" s="61"/>
      <c r="H37" s="61"/>
      <c r="I37" s="16"/>
      <c r="J37" s="61"/>
      <c r="K37" s="61"/>
      <c r="L37" s="61"/>
      <c r="M37" s="61"/>
      <c r="N37" s="16"/>
      <c r="O37" s="61"/>
      <c r="P37" s="61"/>
      <c r="Q37" s="61"/>
      <c r="R37" s="61"/>
      <c r="S37" s="16"/>
      <c r="T37" s="61"/>
      <c r="U37" s="61"/>
      <c r="V37" s="61"/>
      <c r="W37" s="61"/>
      <c r="X37" s="16"/>
      <c r="Y37" s="61"/>
      <c r="Z37" s="61"/>
      <c r="AA37" s="61"/>
      <c r="AB37" s="61"/>
      <c r="AC37" s="215"/>
      <c r="AD37" s="214"/>
      <c r="AE37" s="214"/>
      <c r="AF37" s="214"/>
      <c r="AG37" s="214"/>
      <c r="AH37" s="215"/>
      <c r="AI37" s="214"/>
      <c r="AJ37" s="214"/>
      <c r="AK37" s="214"/>
      <c r="AL37" s="214"/>
      <c r="AM37" s="215"/>
      <c r="AN37" s="214"/>
      <c r="AO37" s="214"/>
      <c r="AP37" s="214"/>
      <c r="AQ37" s="214"/>
      <c r="AR37" s="215"/>
      <c r="AS37" s="24"/>
      <c r="AT37" s="24"/>
      <c r="AU37" s="24"/>
      <c r="AV37" s="24"/>
      <c r="AW37" s="215"/>
      <c r="AX37" s="24"/>
      <c r="AY37" s="24"/>
      <c r="AZ37" s="24"/>
      <c r="BA37" s="24"/>
      <c r="BB37" s="215"/>
      <c r="BC37" s="24"/>
      <c r="BD37" s="24"/>
      <c r="BE37" s="61"/>
      <c r="BF37" s="62"/>
      <c r="BG37" s="215"/>
      <c r="BH37" s="24"/>
      <c r="BI37" s="24"/>
      <c r="BJ37" s="24"/>
      <c r="BK37" s="24"/>
      <c r="BL37" s="215"/>
    </row>
    <row r="38" spans="2:64" ht="13.9" customHeight="1">
      <c r="B38" s="74" t="s">
        <v>551</v>
      </c>
      <c r="C38" s="61"/>
      <c r="D38" s="73"/>
      <c r="E38" s="61"/>
      <c r="F38" s="61"/>
      <c r="G38" s="61"/>
      <c r="H38" s="61"/>
      <c r="I38" s="16"/>
      <c r="J38" s="61"/>
      <c r="K38" s="61"/>
      <c r="L38" s="61"/>
      <c r="M38" s="61"/>
      <c r="N38" s="16"/>
      <c r="O38" s="61"/>
      <c r="P38" s="61"/>
      <c r="Q38" s="61"/>
      <c r="R38" s="61"/>
      <c r="S38" s="16"/>
      <c r="T38" s="61"/>
      <c r="U38" s="61"/>
      <c r="V38" s="61"/>
      <c r="W38" s="61"/>
      <c r="X38" s="16"/>
      <c r="Y38" s="61"/>
      <c r="Z38" s="61"/>
      <c r="AA38" s="61"/>
      <c r="AB38" s="61"/>
      <c r="AC38" s="215">
        <v>0</v>
      </c>
      <c r="AD38" s="214"/>
      <c r="AE38" s="214"/>
      <c r="AF38" s="214"/>
      <c r="AG38" s="214"/>
      <c r="AH38" s="215">
        <v>0</v>
      </c>
      <c r="AI38" s="214"/>
      <c r="AJ38" s="214"/>
      <c r="AK38" s="214"/>
      <c r="AL38" s="214"/>
      <c r="AM38" s="215">
        <v>0</v>
      </c>
      <c r="AN38" s="214"/>
      <c r="AO38" s="214"/>
      <c r="AP38" s="214"/>
      <c r="AQ38" s="214"/>
      <c r="AR38" s="215">
        <v>0</v>
      </c>
      <c r="AS38" s="24"/>
      <c r="AT38" s="24"/>
      <c r="AU38" s="24"/>
      <c r="AV38" s="24"/>
      <c r="AW38" s="215">
        <v>0</v>
      </c>
      <c r="AX38" s="24"/>
      <c r="AY38" s="24"/>
      <c r="AZ38" s="24"/>
      <c r="BA38" s="24"/>
      <c r="BB38" s="215">
        <v>0</v>
      </c>
      <c r="BC38" s="24">
        <v>0</v>
      </c>
      <c r="BD38" s="24">
        <v>0</v>
      </c>
      <c r="BE38" s="24">
        <v>0</v>
      </c>
      <c r="BF38" s="24">
        <v>0</v>
      </c>
      <c r="BG38" s="215">
        <v>0</v>
      </c>
      <c r="BH38" s="24">
        <v>0</v>
      </c>
      <c r="BI38" s="24">
        <v>0</v>
      </c>
      <c r="BJ38" s="24">
        <v>0</v>
      </c>
      <c r="BK38" s="24">
        <v>0</v>
      </c>
      <c r="BL38" s="213">
        <v>-36</v>
      </c>
    </row>
    <row r="39" spans="2:64" ht="13.9" customHeight="1">
      <c r="B39" s="20"/>
      <c r="C39" s="61"/>
      <c r="D39" s="73"/>
      <c r="E39" s="61"/>
      <c r="F39" s="61"/>
      <c r="G39" s="61"/>
      <c r="H39" s="61"/>
      <c r="I39" s="16"/>
      <c r="J39" s="61"/>
      <c r="K39" s="61"/>
      <c r="L39" s="61"/>
      <c r="M39" s="61"/>
      <c r="N39" s="16"/>
      <c r="O39" s="61"/>
      <c r="P39" s="61"/>
      <c r="Q39" s="61"/>
      <c r="R39" s="61"/>
      <c r="S39" s="16"/>
      <c r="T39" s="61"/>
      <c r="U39" s="61"/>
      <c r="V39" s="61"/>
      <c r="W39" s="61"/>
      <c r="X39" s="16"/>
      <c r="Y39" s="61"/>
      <c r="Z39" s="61"/>
      <c r="AA39" s="61"/>
      <c r="AB39" s="61"/>
      <c r="AC39" s="215"/>
      <c r="AD39" s="214"/>
      <c r="AE39" s="214"/>
      <c r="AF39" s="214"/>
      <c r="AG39" s="214"/>
      <c r="AH39" s="215"/>
      <c r="AI39" s="214"/>
      <c r="AJ39" s="214"/>
      <c r="AK39" s="214"/>
      <c r="AL39" s="214"/>
      <c r="AM39" s="215"/>
      <c r="AN39" s="214"/>
      <c r="AO39" s="214"/>
      <c r="AP39" s="214"/>
      <c r="AQ39" s="214"/>
      <c r="AR39" s="215"/>
      <c r="AS39" s="61"/>
      <c r="AT39" s="61"/>
      <c r="AU39" s="61"/>
      <c r="AV39" s="61"/>
      <c r="AW39" s="215"/>
      <c r="AX39" s="61"/>
      <c r="AY39" s="61"/>
      <c r="AZ39" s="61"/>
      <c r="BA39" s="61"/>
      <c r="BB39" s="215"/>
      <c r="BC39" s="61"/>
      <c r="BD39" s="61"/>
      <c r="BE39" s="61"/>
      <c r="BF39" s="61"/>
      <c r="BG39" s="215"/>
      <c r="BH39" s="61"/>
      <c r="BI39" s="61"/>
      <c r="BJ39" s="61"/>
      <c r="BK39" s="61"/>
      <c r="BL39" s="215"/>
    </row>
    <row r="40" spans="2:64" ht="13.9" customHeight="1">
      <c r="B40" s="74" t="s">
        <v>440</v>
      </c>
      <c r="C40" s="61" t="s">
        <v>92</v>
      </c>
      <c r="D40" s="63" t="s">
        <v>92</v>
      </c>
      <c r="E40" s="62">
        <v>1</v>
      </c>
      <c r="F40" s="62">
        <v>1</v>
      </c>
      <c r="G40" s="61" t="s">
        <v>92</v>
      </c>
      <c r="H40" s="61">
        <v>-2</v>
      </c>
      <c r="I40" s="16" t="s">
        <v>92</v>
      </c>
      <c r="J40" s="61" t="s">
        <v>92</v>
      </c>
      <c r="K40" s="61" t="s">
        <v>92</v>
      </c>
      <c r="L40" s="61" t="s">
        <v>92</v>
      </c>
      <c r="M40" s="61" t="s">
        <v>92</v>
      </c>
      <c r="N40" s="16" t="s">
        <v>92</v>
      </c>
      <c r="O40" s="61">
        <v>15</v>
      </c>
      <c r="P40" s="61">
        <v>3</v>
      </c>
      <c r="Q40" s="61">
        <v>-7</v>
      </c>
      <c r="R40" s="61" t="s">
        <v>92</v>
      </c>
      <c r="S40" s="16">
        <v>11</v>
      </c>
      <c r="T40" s="61">
        <v>2</v>
      </c>
      <c r="U40" s="61">
        <v>1</v>
      </c>
      <c r="V40" s="61">
        <v>19</v>
      </c>
      <c r="W40" s="62">
        <f>X40-V40-U40-T40</f>
        <v>-1</v>
      </c>
      <c r="X40" s="16">
        <v>21</v>
      </c>
      <c r="Y40" s="61">
        <v>12</v>
      </c>
      <c r="Z40" s="61">
        <v>8</v>
      </c>
      <c r="AA40" s="61">
        <v>1</v>
      </c>
      <c r="AB40" s="62">
        <f>AC40-AA40-Z40-Y40</f>
        <v>69</v>
      </c>
      <c r="AC40" s="213">
        <v>90</v>
      </c>
      <c r="AD40" s="214">
        <v>-1</v>
      </c>
      <c r="AE40" s="214">
        <v>2</v>
      </c>
      <c r="AF40" s="214">
        <v>2</v>
      </c>
      <c r="AG40" s="223">
        <f>AH40-AF40-AE40-AD40</f>
        <v>8</v>
      </c>
      <c r="AH40" s="213">
        <v>11</v>
      </c>
      <c r="AI40" s="214">
        <v>1</v>
      </c>
      <c r="AJ40" s="214">
        <v>-4</v>
      </c>
      <c r="AK40" s="214">
        <v>-1</v>
      </c>
      <c r="AL40" s="223">
        <f>AM40-AK40-AJ40-AI40</f>
        <v>14</v>
      </c>
      <c r="AM40" s="215">
        <v>10</v>
      </c>
      <c r="AN40" s="214">
        <v>-29</v>
      </c>
      <c r="AO40" s="214">
        <v>-2</v>
      </c>
      <c r="AP40" s="214">
        <v>-1</v>
      </c>
      <c r="AQ40" s="223">
        <f>AR40-AP40-AO40-AN40</f>
        <v>3</v>
      </c>
      <c r="AR40" s="213">
        <v>-29</v>
      </c>
      <c r="AS40" s="61">
        <v>42</v>
      </c>
      <c r="AT40" s="24">
        <v>0</v>
      </c>
      <c r="AU40" s="24">
        <v>5</v>
      </c>
      <c r="AV40" s="62">
        <f>AW40-AU40-AT40-AS40</f>
        <v>1</v>
      </c>
      <c r="AW40" s="213">
        <v>48</v>
      </c>
      <c r="AX40" s="61">
        <v>5</v>
      </c>
      <c r="AY40" s="61">
        <v>5</v>
      </c>
      <c r="AZ40" s="61">
        <v>1</v>
      </c>
      <c r="BA40" s="62">
        <f>BB40-AZ40-AY40-AX40</f>
        <v>3</v>
      </c>
      <c r="BB40" s="213">
        <v>14</v>
      </c>
      <c r="BC40" s="61">
        <v>-4</v>
      </c>
      <c r="BD40" s="61">
        <v>3</v>
      </c>
      <c r="BE40" s="61">
        <v>12</v>
      </c>
      <c r="BF40" s="62">
        <f>BG40-BE40-BD40-BC40</f>
        <v>1</v>
      </c>
      <c r="BG40" s="213">
        <f>20-8</f>
        <v>12</v>
      </c>
      <c r="BH40" s="24">
        <v>7</v>
      </c>
      <c r="BI40" s="61">
        <v>-9</v>
      </c>
      <c r="BJ40" s="61">
        <v>20</v>
      </c>
      <c r="BK40" s="62">
        <f>BL40-BJ40-BI40-BH40</f>
        <v>31</v>
      </c>
      <c r="BL40" s="213">
        <f>29+20</f>
        <v>49</v>
      </c>
    </row>
    <row r="41" spans="2:64" ht="13.9" customHeight="1">
      <c r="B41" s="75"/>
      <c r="C41" s="62"/>
      <c r="D41" s="73"/>
      <c r="E41" s="62"/>
      <c r="F41" s="62"/>
      <c r="G41" s="62"/>
      <c r="H41" s="62"/>
      <c r="I41" s="73"/>
      <c r="J41" s="62"/>
      <c r="K41" s="62"/>
      <c r="L41" s="62"/>
      <c r="M41" s="62"/>
      <c r="N41" s="73"/>
      <c r="O41" s="62"/>
      <c r="P41" s="62"/>
      <c r="Q41" s="62"/>
      <c r="R41" s="62"/>
      <c r="S41" s="73"/>
      <c r="T41" s="62"/>
      <c r="U41" s="62"/>
      <c r="V41" s="62"/>
      <c r="W41" s="62"/>
      <c r="X41" s="73"/>
      <c r="Y41" s="62"/>
      <c r="Z41" s="62"/>
      <c r="AA41" s="62"/>
      <c r="AB41" s="62"/>
      <c r="AC41" s="213"/>
      <c r="AD41" s="223"/>
      <c r="AE41" s="223"/>
      <c r="AF41" s="223"/>
      <c r="AG41" s="223"/>
      <c r="AH41" s="213"/>
      <c r="AI41" s="223"/>
      <c r="AJ41" s="223"/>
      <c r="AK41" s="223"/>
      <c r="AL41" s="223"/>
      <c r="AM41" s="213"/>
      <c r="AN41" s="223"/>
      <c r="AO41" s="223"/>
      <c r="AP41" s="223"/>
      <c r="AQ41" s="223"/>
      <c r="AR41" s="213"/>
      <c r="AS41" s="62"/>
      <c r="AT41" s="62"/>
      <c r="AU41" s="62"/>
      <c r="AV41" s="62"/>
      <c r="AW41" s="213"/>
      <c r="AX41" s="62"/>
      <c r="AY41" s="62"/>
      <c r="AZ41" s="62"/>
      <c r="BA41" s="101"/>
      <c r="BB41" s="213"/>
      <c r="BC41" s="62"/>
      <c r="BD41" s="62"/>
      <c r="BE41" s="62"/>
      <c r="BF41" s="101"/>
      <c r="BG41" s="213"/>
      <c r="BH41" s="62"/>
      <c r="BI41" s="62"/>
      <c r="BJ41" s="62"/>
      <c r="BK41" s="101"/>
      <c r="BL41" s="213"/>
    </row>
    <row r="42" spans="2:64" ht="13.9" customHeight="1">
      <c r="B42" s="76" t="s">
        <v>114</v>
      </c>
      <c r="C42" s="77">
        <f t="shared" ref="C42:T42" si="33">SUM(C12:C40)</f>
        <v>81</v>
      </c>
      <c r="D42" s="78">
        <f t="shared" si="33"/>
        <v>-15</v>
      </c>
      <c r="E42" s="77">
        <f t="shared" si="33"/>
        <v>-8</v>
      </c>
      <c r="F42" s="77">
        <f t="shared" si="33"/>
        <v>-568</v>
      </c>
      <c r="G42" s="77">
        <f t="shared" si="33"/>
        <v>-25</v>
      </c>
      <c r="H42" s="77">
        <f t="shared" si="33"/>
        <v>15</v>
      </c>
      <c r="I42" s="78">
        <f t="shared" si="33"/>
        <v>-586</v>
      </c>
      <c r="J42" s="77">
        <f t="shared" si="33"/>
        <v>-17</v>
      </c>
      <c r="K42" s="77">
        <f t="shared" si="33"/>
        <v>-141</v>
      </c>
      <c r="L42" s="77">
        <f t="shared" si="33"/>
        <v>-13</v>
      </c>
      <c r="M42" s="77">
        <f t="shared" si="33"/>
        <v>76</v>
      </c>
      <c r="N42" s="78">
        <f t="shared" si="33"/>
        <v>-95</v>
      </c>
      <c r="O42" s="77">
        <f t="shared" si="33"/>
        <v>5</v>
      </c>
      <c r="P42" s="77">
        <f t="shared" si="33"/>
        <v>-12</v>
      </c>
      <c r="Q42" s="77">
        <f t="shared" si="33"/>
        <v>-26</v>
      </c>
      <c r="R42" s="77">
        <f t="shared" si="33"/>
        <v>33</v>
      </c>
      <c r="S42" s="78">
        <f t="shared" si="33"/>
        <v>0</v>
      </c>
      <c r="T42" s="77">
        <f t="shared" si="33"/>
        <v>-4</v>
      </c>
      <c r="U42" s="77">
        <f>SUM(U12:U40)</f>
        <v>-1</v>
      </c>
      <c r="V42" s="77">
        <f>SUM(V12:V40)</f>
        <v>-23</v>
      </c>
      <c r="W42" s="77">
        <f>SUM(W12:W40)</f>
        <v>6</v>
      </c>
      <c r="X42" s="78">
        <f>SUM(X12:X41)</f>
        <v>-19</v>
      </c>
      <c r="Y42" s="77">
        <f>SUM(Y12:Y40)</f>
        <v>23</v>
      </c>
      <c r="Z42" s="77">
        <f>SUM(Z12:Z40)</f>
        <v>86</v>
      </c>
      <c r="AA42" s="77">
        <f>SUM(AA12:AA40)</f>
        <v>12</v>
      </c>
      <c r="AB42" s="77">
        <f>SUM(AB12:AB40)</f>
        <v>513</v>
      </c>
      <c r="AC42" s="233">
        <f>SUM(AC12:AC41)</f>
        <v>634</v>
      </c>
      <c r="AD42" s="232">
        <f>SUM(AD12:AD40)</f>
        <v>-25</v>
      </c>
      <c r="AE42" s="232">
        <f>SUM(AE12:AE40)</f>
        <v>-414</v>
      </c>
      <c r="AF42" s="232">
        <f>SUM(AF12:AF40)</f>
        <v>39</v>
      </c>
      <c r="AG42" s="232">
        <f>AH42-AF42-AE42-AD42</f>
        <v>179</v>
      </c>
      <c r="AH42" s="233">
        <f>SUM(AH12:AH41)</f>
        <v>-221</v>
      </c>
      <c r="AI42" s="232">
        <f>SUM(AI12:AI40)</f>
        <v>-3</v>
      </c>
      <c r="AJ42" s="232">
        <f>SUM(AJ12:AJ40)</f>
        <v>-19</v>
      </c>
      <c r="AK42" s="232">
        <f>SUM(AK12:AK40)</f>
        <v>-7</v>
      </c>
      <c r="AL42" s="232">
        <f>AM42-AK42-AJ42-AI42</f>
        <v>103</v>
      </c>
      <c r="AM42" s="233">
        <f>SUM(AM12:AM41)</f>
        <v>74</v>
      </c>
      <c r="AN42" s="232">
        <f>SUM(AN12:AN40)</f>
        <v>-152</v>
      </c>
      <c r="AO42" s="232">
        <f>SUM(AO12:AO40)</f>
        <v>2</v>
      </c>
      <c r="AP42" s="232">
        <f>SUM(AP12:AP40)</f>
        <v>7</v>
      </c>
      <c r="AQ42" s="232">
        <f>AR42-AP42-AO42-AN42</f>
        <v>66</v>
      </c>
      <c r="AR42" s="233">
        <f>SUM(AR12:AR41)</f>
        <v>-77</v>
      </c>
      <c r="AS42" s="77">
        <f>SUM(AS12:AS40)</f>
        <v>46</v>
      </c>
      <c r="AT42" s="77">
        <f>SUM(AT12:AT40)</f>
        <v>3</v>
      </c>
      <c r="AU42" s="77">
        <f>SUM(AU12:AU40)</f>
        <v>10</v>
      </c>
      <c r="AV42" s="77">
        <f>AW42-AU42-AT42-AS42</f>
        <v>161</v>
      </c>
      <c r="AW42" s="233">
        <f>SUM(AW12:AW41)</f>
        <v>220</v>
      </c>
      <c r="AX42" s="77">
        <f>SUM(AX12:AX40)</f>
        <v>7</v>
      </c>
      <c r="AY42" s="77">
        <f>SUM(AY12:AY40)</f>
        <v>9</v>
      </c>
      <c r="AZ42" s="77">
        <f>SUM(AZ12:AZ40)</f>
        <v>77</v>
      </c>
      <c r="BA42" s="77">
        <f>BB42-AZ42-AY42-AX42</f>
        <v>68</v>
      </c>
      <c r="BB42" s="233">
        <f>SUM(BB12:BB41)</f>
        <v>161</v>
      </c>
      <c r="BC42" s="77">
        <f>SUM(BC12:BC40)</f>
        <v>1</v>
      </c>
      <c r="BD42" s="77">
        <f>SUM(BD12:BD40)</f>
        <v>-4</v>
      </c>
      <c r="BE42" s="77">
        <f>SUM(BE12:BE40)</f>
        <v>29</v>
      </c>
      <c r="BF42" s="77">
        <f>BG42-BE42-BD42-BC42</f>
        <v>173</v>
      </c>
      <c r="BG42" s="233">
        <f>SUM(BG12:BG41)</f>
        <v>199</v>
      </c>
      <c r="BH42" s="77">
        <f>SUM(BH12:BH40)</f>
        <v>13</v>
      </c>
      <c r="BI42" s="77">
        <f>SUM(BI12:BI40)</f>
        <v>-8</v>
      </c>
      <c r="BJ42" s="77">
        <f>SUM(BJ12:BJ40)</f>
        <v>39</v>
      </c>
      <c r="BK42" s="77">
        <f>BL42-BJ42-BI42-BH42</f>
        <v>235</v>
      </c>
      <c r="BL42" s="233">
        <f>SUM(BL12:BL41)</f>
        <v>279</v>
      </c>
    </row>
    <row r="43" spans="2:64" ht="4.1500000000000004" customHeight="1">
      <c r="B43" s="180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181"/>
      <c r="BB43" s="181"/>
      <c r="BC43" s="181"/>
      <c r="BD43" s="181"/>
      <c r="BE43" s="181"/>
      <c r="BF43" s="181"/>
      <c r="BG43" s="181"/>
      <c r="BH43" s="181"/>
      <c r="BI43" s="181"/>
      <c r="BJ43" s="181"/>
      <c r="BK43" s="181"/>
      <c r="BL43" s="181"/>
    </row>
    <row r="44" spans="2:64" ht="25.35" customHeight="1">
      <c r="B44" s="177" t="s">
        <v>269</v>
      </c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  <c r="BB44" s="182"/>
      <c r="BC44" s="182"/>
      <c r="BD44" s="182"/>
      <c r="BE44" s="182"/>
      <c r="BF44" s="182"/>
      <c r="BG44" s="182"/>
      <c r="BH44" s="182"/>
      <c r="BI44" s="182"/>
      <c r="BJ44" s="182"/>
      <c r="BK44" s="182"/>
      <c r="BL44" s="182"/>
    </row>
    <row r="45" spans="2:64" ht="13.9" customHeight="1">
      <c r="B45" s="201" t="s">
        <v>252</v>
      </c>
      <c r="C45" s="283"/>
      <c r="D45" s="283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3"/>
      <c r="AG45" s="283"/>
      <c r="AH45" s="283"/>
      <c r="AI45" s="283"/>
      <c r="AJ45" s="283"/>
      <c r="AK45" s="283"/>
      <c r="AL45" s="283"/>
      <c r="AM45" s="283"/>
      <c r="AN45" s="283"/>
      <c r="AO45" s="283"/>
      <c r="AP45" s="283"/>
      <c r="AQ45" s="283"/>
      <c r="AR45" s="283"/>
      <c r="AS45" s="283"/>
      <c r="AT45" s="283"/>
      <c r="AU45" s="283"/>
      <c r="AV45" s="283"/>
      <c r="AW45" s="283"/>
      <c r="AX45" s="283"/>
      <c r="AY45" s="283"/>
      <c r="AZ45" s="283"/>
      <c r="BA45" s="283"/>
      <c r="BB45" s="283"/>
      <c r="BC45" s="283"/>
      <c r="BD45" s="283"/>
      <c r="BE45" s="283"/>
      <c r="BF45" s="283"/>
      <c r="BG45" s="283"/>
      <c r="BH45" s="283"/>
      <c r="BI45" s="283"/>
      <c r="BJ45" s="283"/>
      <c r="BK45" s="283"/>
      <c r="BL45" s="283"/>
    </row>
    <row r="46" spans="2:64" ht="13.9" customHeight="1">
      <c r="B46" s="2" t="s">
        <v>261</v>
      </c>
      <c r="X46" s="16"/>
      <c r="AC46" s="213"/>
      <c r="AD46" s="234"/>
      <c r="AE46" s="234"/>
      <c r="AF46" s="234"/>
      <c r="AG46" s="234"/>
      <c r="AH46" s="213"/>
      <c r="AI46" s="234"/>
      <c r="AJ46" s="234"/>
      <c r="AK46" s="234"/>
      <c r="AL46" s="234"/>
      <c r="AM46" s="213"/>
      <c r="AN46" s="234"/>
      <c r="AO46" s="234"/>
      <c r="AP46" s="234"/>
      <c r="AQ46" s="234"/>
      <c r="AR46" s="213"/>
      <c r="AS46" s="2"/>
      <c r="AT46" s="2"/>
      <c r="AU46" s="2"/>
      <c r="AV46" s="24"/>
      <c r="AW46" s="213">
        <v>211</v>
      </c>
      <c r="AX46" s="2">
        <v>57</v>
      </c>
      <c r="AY46" s="2">
        <v>60</v>
      </c>
      <c r="AZ46" s="2">
        <v>60</v>
      </c>
      <c r="BA46" s="24">
        <f>BB46-AZ46-AY46-AX46</f>
        <v>59</v>
      </c>
      <c r="BB46" s="213">
        <v>236</v>
      </c>
      <c r="BC46" s="2">
        <v>68</v>
      </c>
      <c r="BD46" s="2">
        <v>70</v>
      </c>
      <c r="BE46" s="2">
        <v>68</v>
      </c>
      <c r="BF46" s="24">
        <f>BG46-BE46-BD46-BC46</f>
        <v>68</v>
      </c>
      <c r="BG46" s="213">
        <v>274</v>
      </c>
      <c r="BH46" s="2">
        <v>69</v>
      </c>
      <c r="BI46" s="2">
        <v>69</v>
      </c>
      <c r="BJ46" s="2">
        <v>70</v>
      </c>
      <c r="BK46" s="24">
        <f>BL46-BJ46-BI46-BH46</f>
        <v>69</v>
      </c>
      <c r="BL46" s="213">
        <v>277</v>
      </c>
    </row>
    <row r="47" spans="2:64" ht="13.9" customHeight="1">
      <c r="B47" s="74" t="s">
        <v>262</v>
      </c>
      <c r="X47" s="16"/>
      <c r="AC47" s="215"/>
      <c r="AD47" s="215"/>
      <c r="AE47" s="215"/>
      <c r="AF47" s="234"/>
      <c r="AG47" s="234"/>
      <c r="AH47" s="213"/>
      <c r="AI47" s="215"/>
      <c r="AJ47" s="234"/>
      <c r="AK47" s="215"/>
      <c r="AL47" s="234"/>
      <c r="AM47" s="213"/>
      <c r="AN47" s="215"/>
      <c r="AO47" s="215"/>
      <c r="AP47" s="234"/>
      <c r="AQ47" s="215"/>
      <c r="AR47" s="213"/>
      <c r="AS47" s="2"/>
      <c r="AT47" s="24"/>
      <c r="AU47" s="24"/>
      <c r="AV47" s="24"/>
      <c r="AW47" s="213">
        <v>26</v>
      </c>
      <c r="AX47" s="2"/>
      <c r="AY47" s="24">
        <v>0</v>
      </c>
      <c r="AZ47" s="24">
        <v>0</v>
      </c>
      <c r="BA47" s="24">
        <f t="shared" ref="BA47:BA50" si="34">BB47-AZ47-AY47-AX47</f>
        <v>0</v>
      </c>
      <c r="BB47" s="215">
        <v>0</v>
      </c>
      <c r="BC47" s="24">
        <v>0</v>
      </c>
      <c r="BD47" s="24">
        <v>0</v>
      </c>
      <c r="BE47" s="24">
        <v>0</v>
      </c>
      <c r="BF47" s="24">
        <v>0</v>
      </c>
      <c r="BG47" s="215">
        <v>0</v>
      </c>
      <c r="BH47" s="24">
        <v>0</v>
      </c>
      <c r="BI47" s="24">
        <v>0</v>
      </c>
      <c r="BJ47" s="24">
        <v>0</v>
      </c>
      <c r="BK47" s="24">
        <v>0</v>
      </c>
      <c r="BL47" s="215">
        <v>0</v>
      </c>
    </row>
    <row r="48" spans="2:64" ht="13.9" customHeight="1">
      <c r="B48" s="2" t="s">
        <v>263</v>
      </c>
      <c r="X48" s="16"/>
      <c r="AC48" s="213"/>
      <c r="AD48" s="234"/>
      <c r="AE48" s="234"/>
      <c r="AF48" s="234"/>
      <c r="AG48" s="234"/>
      <c r="AH48" s="213"/>
      <c r="AI48" s="234"/>
      <c r="AJ48" s="234"/>
      <c r="AK48" s="234"/>
      <c r="AL48" s="234"/>
      <c r="AM48" s="213"/>
      <c r="AN48" s="234"/>
      <c r="AO48" s="234"/>
      <c r="AP48" s="234"/>
      <c r="AQ48" s="234"/>
      <c r="AR48" s="213"/>
      <c r="AS48" s="2"/>
      <c r="AT48" s="2"/>
      <c r="AU48" s="2"/>
      <c r="AV48" s="24"/>
      <c r="AW48" s="213">
        <v>43</v>
      </c>
      <c r="AX48" s="2">
        <v>12</v>
      </c>
      <c r="AY48" s="2">
        <v>16</v>
      </c>
      <c r="AZ48" s="2">
        <v>17</v>
      </c>
      <c r="BA48" s="24">
        <f t="shared" si="34"/>
        <v>18</v>
      </c>
      <c r="BB48" s="213">
        <v>63</v>
      </c>
      <c r="BC48" s="2">
        <v>16</v>
      </c>
      <c r="BD48" s="2">
        <v>18</v>
      </c>
      <c r="BE48" s="2">
        <v>18</v>
      </c>
      <c r="BF48" s="24">
        <f t="shared" ref="BF48:BF52" si="35">BG48-BE48-BD48-BC48</f>
        <v>20</v>
      </c>
      <c r="BG48" s="213">
        <v>72</v>
      </c>
      <c r="BH48" s="2">
        <v>19</v>
      </c>
      <c r="BI48" s="2">
        <v>19</v>
      </c>
      <c r="BJ48" s="2">
        <v>21</v>
      </c>
      <c r="BK48" s="24">
        <f t="shared" ref="BK48:BK50" si="36">BL48-BJ48-BI48-BH48</f>
        <v>18</v>
      </c>
      <c r="BL48" s="213">
        <v>77</v>
      </c>
    </row>
    <row r="49" spans="2:64" ht="13.9" customHeight="1">
      <c r="B49" s="2" t="s">
        <v>264</v>
      </c>
      <c r="X49" s="16"/>
      <c r="AC49" s="213"/>
      <c r="AD49" s="234"/>
      <c r="AE49" s="234"/>
      <c r="AF49" s="215"/>
      <c r="AG49" s="234"/>
      <c r="AH49" s="213"/>
      <c r="AI49" s="234"/>
      <c r="AJ49" s="234"/>
      <c r="AK49" s="234"/>
      <c r="AL49" s="234"/>
      <c r="AM49" s="213"/>
      <c r="AN49" s="234"/>
      <c r="AO49" s="234"/>
      <c r="AP49" s="234"/>
      <c r="AQ49" s="234"/>
      <c r="AR49" s="213"/>
      <c r="AS49" s="2"/>
      <c r="AT49" s="2"/>
      <c r="AU49" s="2"/>
      <c r="AV49" s="24"/>
      <c r="AW49" s="213">
        <v>125</v>
      </c>
      <c r="AX49" s="2">
        <v>21</v>
      </c>
      <c r="AY49" s="2">
        <v>31</v>
      </c>
      <c r="AZ49" s="2">
        <v>20</v>
      </c>
      <c r="BA49" s="24">
        <f t="shared" si="34"/>
        <v>18</v>
      </c>
      <c r="BB49" s="213">
        <f>78+12</f>
        <v>90</v>
      </c>
      <c r="BC49" s="2">
        <v>7</v>
      </c>
      <c r="BD49" s="2">
        <v>32</v>
      </c>
      <c r="BE49" s="2">
        <v>30</v>
      </c>
      <c r="BF49" s="24">
        <f t="shared" si="35"/>
        <v>2</v>
      </c>
      <c r="BG49" s="213">
        <v>71</v>
      </c>
      <c r="BH49" s="2">
        <v>10</v>
      </c>
      <c r="BI49" s="2">
        <v>30</v>
      </c>
      <c r="BJ49" s="2">
        <v>29</v>
      </c>
      <c r="BK49" s="61">
        <f t="shared" si="36"/>
        <v>-5</v>
      </c>
      <c r="BL49" s="213">
        <f>57+7</f>
        <v>64</v>
      </c>
    </row>
    <row r="50" spans="2:64" ht="13.9" customHeight="1">
      <c r="B50" s="2" t="s">
        <v>265</v>
      </c>
      <c r="X50" s="16"/>
      <c r="AC50" s="213"/>
      <c r="AD50" s="234"/>
      <c r="AE50" s="234"/>
      <c r="AF50" s="234"/>
      <c r="AG50" s="234"/>
      <c r="AH50" s="213"/>
      <c r="AI50" s="214"/>
      <c r="AJ50" s="234"/>
      <c r="AK50" s="234"/>
      <c r="AL50" s="215"/>
      <c r="AM50" s="213"/>
      <c r="AN50" s="214"/>
      <c r="AO50" s="234"/>
      <c r="AP50" s="234"/>
      <c r="AQ50" s="214"/>
      <c r="AR50" s="215"/>
      <c r="AS50" s="24"/>
      <c r="AT50" s="24"/>
      <c r="AU50" s="24"/>
      <c r="AV50" s="24"/>
      <c r="AW50" s="213">
        <v>-40</v>
      </c>
      <c r="AX50" s="24">
        <v>4</v>
      </c>
      <c r="AY50" s="24">
        <v>4</v>
      </c>
      <c r="AZ50" s="24">
        <v>0</v>
      </c>
      <c r="BA50" s="24">
        <f t="shared" si="34"/>
        <v>2</v>
      </c>
      <c r="BB50" s="213">
        <v>10</v>
      </c>
      <c r="BC50" s="2">
        <v>4</v>
      </c>
      <c r="BD50" s="2">
        <v>5</v>
      </c>
      <c r="BE50" s="24">
        <v>4</v>
      </c>
      <c r="BF50" s="24">
        <f t="shared" si="35"/>
        <v>8</v>
      </c>
      <c r="BG50" s="213">
        <v>21</v>
      </c>
      <c r="BH50" s="2">
        <v>5</v>
      </c>
      <c r="BI50" s="2">
        <v>4</v>
      </c>
      <c r="BJ50" s="2">
        <v>5</v>
      </c>
      <c r="BK50" s="24">
        <f t="shared" si="36"/>
        <v>10</v>
      </c>
      <c r="BL50" s="213">
        <v>24</v>
      </c>
    </row>
    <row r="51" spans="2:64" ht="13.9" customHeight="1">
      <c r="B51" s="2" t="s">
        <v>467</v>
      </c>
      <c r="X51" s="16"/>
      <c r="AC51" s="213"/>
      <c r="AD51" s="234"/>
      <c r="AE51" s="234"/>
      <c r="AF51" s="234"/>
      <c r="AG51" s="234"/>
      <c r="AH51" s="213"/>
      <c r="AI51" s="214"/>
      <c r="AJ51" s="234"/>
      <c r="AK51" s="234"/>
      <c r="AL51" s="215"/>
      <c r="AM51" s="213"/>
      <c r="AN51" s="214"/>
      <c r="AO51" s="234"/>
      <c r="AP51" s="234"/>
      <c r="AQ51" s="214"/>
      <c r="AR51" s="215"/>
      <c r="AS51" s="24"/>
      <c r="AT51" s="24"/>
      <c r="AU51" s="24"/>
      <c r="AV51" s="24"/>
      <c r="AW51" s="215">
        <v>0</v>
      </c>
      <c r="AX51" s="24"/>
      <c r="AY51" s="24"/>
      <c r="AZ51" s="24"/>
      <c r="BA51" s="24"/>
      <c r="BB51" s="215">
        <v>0</v>
      </c>
      <c r="BC51" s="24">
        <v>0</v>
      </c>
      <c r="BD51" s="24">
        <v>0</v>
      </c>
      <c r="BE51" s="24">
        <v>0</v>
      </c>
      <c r="BF51" s="24">
        <v>0</v>
      </c>
      <c r="BG51" s="215">
        <v>0</v>
      </c>
      <c r="BH51" s="61">
        <v>-12</v>
      </c>
      <c r="BI51" s="2">
        <v>48</v>
      </c>
      <c r="BJ51" s="2">
        <v>1</v>
      </c>
      <c r="BK51" s="24">
        <v>0</v>
      </c>
      <c r="BL51" s="213">
        <v>46</v>
      </c>
    </row>
    <row r="52" spans="2:64" ht="13.9" customHeight="1">
      <c r="B52" s="2" t="s">
        <v>266</v>
      </c>
      <c r="X52" s="16"/>
      <c r="AC52" s="213"/>
      <c r="AD52" s="234"/>
      <c r="AE52" s="234"/>
      <c r="AF52" s="234"/>
      <c r="AG52" s="234"/>
      <c r="AH52" s="213"/>
      <c r="AI52" s="234"/>
      <c r="AJ52" s="234"/>
      <c r="AK52" s="234"/>
      <c r="AL52" s="215"/>
      <c r="AM52" s="213"/>
      <c r="AN52" s="234"/>
      <c r="AO52" s="234"/>
      <c r="AP52" s="234"/>
      <c r="AQ52" s="215"/>
      <c r="AR52" s="213"/>
      <c r="AS52" s="2"/>
      <c r="AT52" s="2"/>
      <c r="AU52" s="2"/>
      <c r="AV52" s="24"/>
      <c r="AW52" s="213">
        <v>19</v>
      </c>
      <c r="AX52" s="2">
        <v>4</v>
      </c>
      <c r="AY52" s="2">
        <v>3</v>
      </c>
      <c r="AZ52" s="2">
        <v>3</v>
      </c>
      <c r="BA52" s="61">
        <f t="shared" ref="BA52" si="37">BB52-AZ52-AY52-AX52</f>
        <v>-1</v>
      </c>
      <c r="BB52" s="213">
        <v>9</v>
      </c>
      <c r="BC52" s="2">
        <v>2</v>
      </c>
      <c r="BD52" s="2">
        <v>13</v>
      </c>
      <c r="BE52" s="61">
        <v>-7</v>
      </c>
      <c r="BF52" s="24">
        <f t="shared" si="35"/>
        <v>0</v>
      </c>
      <c r="BG52" s="213">
        <v>8</v>
      </c>
      <c r="BH52" s="2">
        <v>2</v>
      </c>
      <c r="BI52" s="2">
        <v>5</v>
      </c>
      <c r="BJ52" s="2">
        <v>1</v>
      </c>
      <c r="BK52" s="24">
        <f t="shared" ref="BK52" si="38">BL52-BJ52-BI52-BH52</f>
        <v>2</v>
      </c>
      <c r="BL52" s="213">
        <v>10</v>
      </c>
    </row>
    <row r="53" spans="2:64" ht="13.9" customHeight="1">
      <c r="B53" s="201"/>
      <c r="C53" s="283"/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  <c r="P53" s="283"/>
      <c r="Q53" s="283"/>
      <c r="R53" s="283"/>
      <c r="S53" s="283"/>
      <c r="T53" s="283"/>
      <c r="U53" s="283"/>
      <c r="V53" s="283"/>
      <c r="W53" s="283"/>
      <c r="X53" s="283"/>
      <c r="Y53" s="283"/>
      <c r="Z53" s="283"/>
      <c r="AA53" s="283"/>
      <c r="AB53" s="283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1"/>
      <c r="BA53" s="201"/>
      <c r="BB53" s="201"/>
      <c r="BC53" s="201"/>
      <c r="BD53" s="284"/>
      <c r="BE53" s="201"/>
      <c r="BF53" s="201"/>
      <c r="BG53" s="201"/>
      <c r="BH53" s="296"/>
      <c r="BI53" s="284"/>
      <c r="BJ53" s="201"/>
      <c r="BK53" s="201"/>
      <c r="BL53" s="201"/>
    </row>
    <row r="54" spans="2:64" ht="13.9" customHeight="1">
      <c r="B54" s="2"/>
      <c r="X54" s="16"/>
      <c r="AC54" s="215"/>
      <c r="AD54" s="234"/>
      <c r="AE54" s="234"/>
      <c r="AF54" s="234"/>
      <c r="AG54" s="234"/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"/>
      <c r="AT54" s="2"/>
      <c r="AU54" s="2"/>
      <c r="AV54" s="61"/>
      <c r="AW54" s="215"/>
      <c r="AX54" s="24">
        <v>0</v>
      </c>
      <c r="AY54" s="24">
        <v>0</v>
      </c>
      <c r="AZ54" s="61">
        <v>-4</v>
      </c>
      <c r="BA54" s="24">
        <f>BB54-AZ54-AY54-AX54</f>
        <v>4</v>
      </c>
      <c r="BB54" s="215"/>
      <c r="BC54" s="24"/>
      <c r="BD54" s="24"/>
      <c r="BE54" s="61"/>
      <c r="BF54" s="24"/>
      <c r="BG54" s="215"/>
      <c r="BH54" s="24"/>
      <c r="BI54" s="24"/>
      <c r="BJ54" s="61"/>
      <c r="BK54" s="24"/>
      <c r="BL54" s="215"/>
    </row>
    <row r="55" spans="2:64" ht="13.9" customHeight="1">
      <c r="B55" s="2" t="s">
        <v>267</v>
      </c>
      <c r="X55" s="16"/>
      <c r="AC55" s="213"/>
      <c r="AD55" s="234"/>
      <c r="AE55" s="234"/>
      <c r="AF55" s="234"/>
      <c r="AG55" s="234"/>
      <c r="AH55" s="213"/>
      <c r="AI55" s="234"/>
      <c r="AJ55" s="234"/>
      <c r="AK55" s="234"/>
      <c r="AL55" s="234"/>
      <c r="AM55" s="213"/>
      <c r="AN55" s="234"/>
      <c r="AO55" s="234"/>
      <c r="AP55" s="234"/>
      <c r="AQ55" s="234"/>
      <c r="AR55" s="213"/>
      <c r="AS55" s="2"/>
      <c r="AT55" s="2"/>
      <c r="AU55" s="2"/>
      <c r="AV55" s="24"/>
      <c r="AW55" s="213">
        <v>20</v>
      </c>
      <c r="AX55" s="2">
        <v>7</v>
      </c>
      <c r="AY55" s="2">
        <v>4</v>
      </c>
      <c r="AZ55" s="2">
        <v>6</v>
      </c>
      <c r="BA55" s="24">
        <f>BB55-AZ55-AY55-AX55</f>
        <v>5</v>
      </c>
      <c r="BB55" s="213">
        <v>22</v>
      </c>
      <c r="BC55" s="2">
        <v>7</v>
      </c>
      <c r="BD55" s="2">
        <v>6</v>
      </c>
      <c r="BE55" s="2">
        <v>8</v>
      </c>
      <c r="BF55" s="24">
        <f t="shared" ref="BF55:BF58" si="39">BG55-BE55-BD55-BC55</f>
        <v>5</v>
      </c>
      <c r="BG55" s="213">
        <v>26</v>
      </c>
      <c r="BH55" s="2">
        <v>7</v>
      </c>
      <c r="BI55" s="2">
        <v>8</v>
      </c>
      <c r="BJ55" s="2">
        <v>6</v>
      </c>
      <c r="BK55" s="24">
        <f t="shared" ref="BK55:BK58" si="40">BL55-BJ55-BI55-BH55</f>
        <v>7</v>
      </c>
      <c r="BL55" s="213">
        <v>28</v>
      </c>
    </row>
    <row r="56" spans="2:64" ht="13.9" customHeight="1">
      <c r="B56" s="2" t="s">
        <v>464</v>
      </c>
      <c r="X56" s="16"/>
      <c r="AC56" s="213"/>
      <c r="AD56" s="234"/>
      <c r="AE56" s="234"/>
      <c r="AF56" s="234"/>
      <c r="AG56" s="234"/>
      <c r="AH56" s="213"/>
      <c r="AI56" s="234"/>
      <c r="AJ56" s="234"/>
      <c r="AK56" s="234"/>
      <c r="AL56" s="215"/>
      <c r="AM56" s="213"/>
      <c r="AN56" s="234"/>
      <c r="AO56" s="234"/>
      <c r="AP56" s="234"/>
      <c r="AQ56" s="215"/>
      <c r="AR56" s="213"/>
      <c r="AS56" s="2"/>
      <c r="AT56" s="2"/>
      <c r="AU56" s="2"/>
      <c r="AV56" s="24"/>
      <c r="AW56" s="213">
        <v>16</v>
      </c>
      <c r="AX56" s="2">
        <v>18</v>
      </c>
      <c r="AY56" s="2">
        <v>35</v>
      </c>
      <c r="AZ56" s="2">
        <v>25</v>
      </c>
      <c r="BA56" s="24">
        <f>BB56-AZ56-AY56-AX56</f>
        <v>-50</v>
      </c>
      <c r="BB56" s="213">
        <v>28</v>
      </c>
      <c r="BC56" s="2">
        <v>5</v>
      </c>
      <c r="BD56" s="2">
        <v>17</v>
      </c>
      <c r="BE56" s="2">
        <v>7</v>
      </c>
      <c r="BF56" s="24">
        <f t="shared" si="39"/>
        <v>2</v>
      </c>
      <c r="BG56" s="213">
        <v>31</v>
      </c>
      <c r="BH56" s="2">
        <v>12</v>
      </c>
      <c r="BI56" s="2">
        <v>10</v>
      </c>
      <c r="BJ56" s="2">
        <v>6</v>
      </c>
      <c r="BK56" s="24">
        <f t="shared" si="40"/>
        <v>19</v>
      </c>
      <c r="BL56" s="213">
        <v>47</v>
      </c>
    </row>
    <row r="57" spans="2:64" ht="13.9" customHeight="1">
      <c r="B57" s="2" t="s">
        <v>461</v>
      </c>
      <c r="X57" s="16"/>
      <c r="AC57" s="213"/>
      <c r="AD57" s="234"/>
      <c r="AE57" s="234"/>
      <c r="AF57" s="234"/>
      <c r="AG57" s="234"/>
      <c r="AH57" s="213"/>
      <c r="AI57" s="234"/>
      <c r="AJ57" s="234"/>
      <c r="AK57" s="234"/>
      <c r="AL57" s="215"/>
      <c r="AM57" s="213"/>
      <c r="AN57" s="234"/>
      <c r="AO57" s="234"/>
      <c r="AP57" s="234"/>
      <c r="AQ57" s="215"/>
      <c r="AR57" s="213"/>
      <c r="AS57" s="2"/>
      <c r="AT57" s="2"/>
      <c r="AU57" s="2"/>
      <c r="AV57" s="24"/>
      <c r="AW57" s="213">
        <v>24</v>
      </c>
      <c r="AX57" s="2"/>
      <c r="AY57" s="2"/>
      <c r="AZ57" s="2"/>
      <c r="BA57" s="24"/>
      <c r="BB57" s="213">
        <v>89</v>
      </c>
      <c r="BC57" s="2">
        <v>20</v>
      </c>
      <c r="BD57" s="2">
        <v>14</v>
      </c>
      <c r="BE57" s="2">
        <v>22</v>
      </c>
      <c r="BF57" s="24">
        <f t="shared" si="39"/>
        <v>24</v>
      </c>
      <c r="BG57" s="213">
        <v>80</v>
      </c>
      <c r="BH57" s="2">
        <v>18</v>
      </c>
      <c r="BI57" s="2">
        <v>16</v>
      </c>
      <c r="BJ57" s="2">
        <v>19</v>
      </c>
      <c r="BK57" s="24">
        <f t="shared" si="40"/>
        <v>14</v>
      </c>
      <c r="BL57" s="213">
        <v>67</v>
      </c>
    </row>
    <row r="58" spans="2:64" ht="13.9" customHeight="1">
      <c r="B58" s="2" t="s">
        <v>467</v>
      </c>
      <c r="X58" s="16"/>
      <c r="AC58" s="213"/>
      <c r="AD58" s="234"/>
      <c r="AE58" s="234"/>
      <c r="AF58" s="234"/>
      <c r="AG58" s="215"/>
      <c r="AH58" s="215"/>
      <c r="AI58" s="214"/>
      <c r="AJ58" s="234"/>
      <c r="AK58" s="215"/>
      <c r="AL58" s="234"/>
      <c r="AM58" s="213"/>
      <c r="AN58" s="214"/>
      <c r="AO58" s="234"/>
      <c r="AP58" s="234"/>
      <c r="AQ58" s="214"/>
      <c r="AR58" s="215"/>
      <c r="AS58" s="61"/>
      <c r="AT58" s="61"/>
      <c r="AU58" s="61"/>
      <c r="AV58" s="24"/>
      <c r="AW58" s="213">
        <v>23</v>
      </c>
      <c r="AX58" s="61">
        <v>-8</v>
      </c>
      <c r="AY58" s="61">
        <v>-12</v>
      </c>
      <c r="AZ58" s="61">
        <v>-19</v>
      </c>
      <c r="BA58" s="24">
        <f>BB58-AZ58-AY58-AX58</f>
        <v>64</v>
      </c>
      <c r="BB58" s="213">
        <v>25</v>
      </c>
      <c r="BC58" s="61">
        <v>19</v>
      </c>
      <c r="BD58" s="61">
        <v>30</v>
      </c>
      <c r="BE58" s="61">
        <v>6</v>
      </c>
      <c r="BF58" s="24">
        <f t="shared" si="39"/>
        <v>4</v>
      </c>
      <c r="BG58" s="213">
        <v>59</v>
      </c>
      <c r="BH58" s="2">
        <v>11</v>
      </c>
      <c r="BI58" s="61">
        <v>14</v>
      </c>
      <c r="BJ58" s="61">
        <v>14</v>
      </c>
      <c r="BK58" s="24">
        <f t="shared" si="40"/>
        <v>10</v>
      </c>
      <c r="BL58" s="213">
        <v>49</v>
      </c>
    </row>
    <row r="59" spans="2:64" ht="13.9" customHeight="1">
      <c r="B59" s="2"/>
      <c r="X59" s="16"/>
      <c r="AC59" s="215"/>
      <c r="AD59" s="215"/>
      <c r="AE59" s="215"/>
      <c r="AF59" s="215"/>
      <c r="AG59" s="234"/>
      <c r="AH59" s="213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4"/>
      <c r="AT59" s="24"/>
      <c r="AU59" s="24"/>
      <c r="AV59" s="24"/>
      <c r="AW59" s="215">
        <v>0</v>
      </c>
      <c r="AX59" s="24">
        <v>0</v>
      </c>
      <c r="AY59" s="24">
        <v>0</v>
      </c>
      <c r="AZ59" s="24">
        <v>0</v>
      </c>
      <c r="BA59" s="24">
        <f>BB59-AZ59-AY59-AX59</f>
        <v>0</v>
      </c>
      <c r="BB59" s="215">
        <v>0</v>
      </c>
      <c r="BC59" s="24"/>
      <c r="BD59" s="24"/>
      <c r="BE59" s="24"/>
      <c r="BF59" s="24"/>
      <c r="BG59" s="215">
        <v>0</v>
      </c>
      <c r="BH59" s="24">
        <v>0</v>
      </c>
      <c r="BI59" s="24"/>
      <c r="BJ59" s="24"/>
      <c r="BK59" s="24"/>
      <c r="BL59" s="215">
        <v>0</v>
      </c>
    </row>
    <row r="60" spans="2:64" ht="13.9" customHeight="1">
      <c r="B60" s="201" t="s">
        <v>268</v>
      </c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96">
        <v>435</v>
      </c>
      <c r="AD60" s="296">
        <v>99</v>
      </c>
      <c r="AE60" s="296">
        <v>136</v>
      </c>
      <c r="AF60" s="296">
        <v>205</v>
      </c>
      <c r="AG60" s="296">
        <v>109</v>
      </c>
      <c r="AH60" s="296">
        <v>549</v>
      </c>
      <c r="AI60" s="296">
        <v>34</v>
      </c>
      <c r="AJ60" s="296">
        <v>159</v>
      </c>
      <c r="AK60" s="296">
        <v>80</v>
      </c>
      <c r="AL60" s="296">
        <v>98</v>
      </c>
      <c r="AM60" s="296">
        <v>371</v>
      </c>
      <c r="AN60" s="296">
        <v>51</v>
      </c>
      <c r="AO60" s="296">
        <v>84</v>
      </c>
      <c r="AP60" s="296">
        <v>100</v>
      </c>
      <c r="AQ60" s="296">
        <v>70</v>
      </c>
      <c r="AR60" s="296">
        <v>305</v>
      </c>
      <c r="AS60" s="296"/>
      <c r="AT60" s="296"/>
      <c r="AU60" s="296"/>
      <c r="AV60" s="296"/>
      <c r="AW60" s="119">
        <f>AW46+AW47+AW48+AW49+AW50+AW52-AW54-AW55-AW56-AW57-AW58-AW59</f>
        <v>301</v>
      </c>
      <c r="AX60" s="296" t="e">
        <f>AX46+AX47+AX48+AX49+AX50+AX58+AX52+#REF!-AX54-AX55-AX56-AX59</f>
        <v>#REF!</v>
      </c>
      <c r="AY60" s="296" t="e">
        <f>AY46+AY47+AY48+AY49+AY50+AY58+AY52+#REF!-AY54-AY55-AY56-AY59</f>
        <v>#REF!</v>
      </c>
      <c r="AZ60" s="296" t="e">
        <f>AZ46+AZ47+AZ48+AZ49+AZ50+AZ58+AZ52+#REF!-AZ54-AZ55-AZ56-AZ59</f>
        <v>#REF!</v>
      </c>
      <c r="BA60" s="296" t="e">
        <f>BB60-AZ60-AY60-AX60</f>
        <v>#REF!</v>
      </c>
      <c r="BB60" s="119">
        <f>BB46+BB47+BB48+BB49+BB50+BB52-BB54-BB55-BB56-BB57-BB58-BB59</f>
        <v>244</v>
      </c>
      <c r="BC60" s="119">
        <f>BC46+BC47+BC48+BC49+BC50+BC52-BC54-BC55-BC56-BC57-BC58-BC59</f>
        <v>46</v>
      </c>
      <c r="BD60" s="119">
        <f>BD46+BD47+BD48+BD49+BD50+BD52-BD54-BD55-BD56-BD57-BD58-BD59</f>
        <v>71</v>
      </c>
      <c r="BE60" s="119">
        <f>BE46+BE47+BE48+BE49+BE50+BE52-BE54-BE55-BE56-BE57-BE58-BE59</f>
        <v>70</v>
      </c>
      <c r="BF60" s="296">
        <f>BG60-BE60-BD60-BC60</f>
        <v>63</v>
      </c>
      <c r="BG60" s="119">
        <f>SUM(BG46:BG52)-SUM(BG55:BG59)</f>
        <v>250</v>
      </c>
      <c r="BH60" s="119">
        <f>BH46+BH48+BH49+BH50+BH51+BH52-BH55-BH56-BH57-BH58</f>
        <v>45</v>
      </c>
      <c r="BI60" s="119">
        <f>BI46+BI48+BI49+BI50+BI51+BI52-BI55-BI56-BI57-BI58</f>
        <v>127</v>
      </c>
      <c r="BJ60" s="119">
        <f>SUM(BJ46:BJ52)-SUM(BJ55:BJ58)</f>
        <v>82</v>
      </c>
      <c r="BK60" s="296">
        <f>BL60-BJ60-BI60-BH60</f>
        <v>53</v>
      </c>
      <c r="BL60" s="119">
        <f>SUM(BL46:BL52)-SUM(BL55:BL59)</f>
        <v>307</v>
      </c>
    </row>
    <row r="61" spans="2:64" ht="3.4" customHeight="1">
      <c r="B61" s="297"/>
      <c r="C61" s="202"/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2"/>
      <c r="AT61" s="202"/>
      <c r="AU61" s="202"/>
      <c r="AV61" s="202"/>
      <c r="AW61" s="202"/>
      <c r="AX61" s="202"/>
      <c r="AY61" s="202"/>
      <c r="AZ61" s="202"/>
      <c r="BA61" s="202"/>
      <c r="BB61" s="202"/>
      <c r="BC61" s="202"/>
      <c r="BD61" s="202"/>
      <c r="BE61" s="202"/>
      <c r="BF61" s="202"/>
      <c r="BG61" s="202"/>
      <c r="BH61" s="202" t="s">
        <v>98</v>
      </c>
      <c r="BI61" s="202"/>
      <c r="BJ61" s="202"/>
      <c r="BK61" s="202"/>
      <c r="BL61" s="202"/>
    </row>
    <row r="62" spans="2:64" ht="13.9" customHeight="1"/>
    <row r="63" spans="2:64" ht="4.1500000000000004" customHeight="1">
      <c r="B63" s="198"/>
      <c r="C63" s="199"/>
      <c r="D63" s="199"/>
      <c r="E63" s="199"/>
      <c r="F63" s="199"/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  <c r="T63" s="199"/>
      <c r="U63" s="199"/>
      <c r="V63" s="199"/>
      <c r="W63" s="199"/>
      <c r="X63" s="199"/>
      <c r="Y63" s="199"/>
      <c r="Z63" s="199"/>
      <c r="AA63" s="199"/>
      <c r="AB63" s="199"/>
      <c r="AC63" s="199"/>
      <c r="AD63" s="199"/>
      <c r="AE63" s="199"/>
      <c r="AF63" s="199"/>
      <c r="AG63" s="199"/>
      <c r="AH63" s="199"/>
      <c r="AI63" s="199"/>
      <c r="AJ63" s="199"/>
      <c r="AK63" s="199"/>
      <c r="AL63" s="199"/>
      <c r="AM63" s="199"/>
      <c r="AN63" s="199"/>
      <c r="AO63" s="199"/>
      <c r="AP63" s="199"/>
      <c r="AQ63" s="199"/>
      <c r="AR63" s="199"/>
      <c r="AS63" s="199"/>
      <c r="AT63" s="199"/>
      <c r="AU63" s="199"/>
      <c r="AV63" s="199"/>
      <c r="AW63" s="199"/>
      <c r="AX63" s="199"/>
      <c r="AY63" s="199"/>
      <c r="AZ63" s="199"/>
      <c r="BA63" s="199"/>
      <c r="BB63" s="199"/>
      <c r="BC63" s="199"/>
      <c r="BD63" s="199"/>
      <c r="BE63" s="199"/>
      <c r="BF63" s="199"/>
      <c r="BG63" s="199"/>
      <c r="BH63" s="199"/>
      <c r="BI63" s="199"/>
      <c r="BJ63" s="199"/>
      <c r="BK63" s="199"/>
      <c r="BL63" s="199"/>
    </row>
    <row r="64" spans="2:64" ht="25.35" customHeight="1">
      <c r="B64" s="177" t="s">
        <v>270</v>
      </c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</row>
    <row r="65" spans="2:64" ht="13.9" customHeight="1">
      <c r="B65" s="201" t="s">
        <v>253</v>
      </c>
      <c r="C65" s="283"/>
      <c r="D65" s="283"/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83"/>
      <c r="P65" s="283"/>
      <c r="Q65" s="283"/>
      <c r="R65" s="283"/>
      <c r="S65" s="283"/>
      <c r="T65" s="283"/>
      <c r="U65" s="283"/>
      <c r="V65" s="283"/>
      <c r="W65" s="283"/>
      <c r="X65" s="283"/>
      <c r="Y65" s="283"/>
      <c r="Z65" s="283"/>
      <c r="AA65" s="283"/>
      <c r="AB65" s="283"/>
      <c r="AC65" s="283"/>
      <c r="AD65" s="283"/>
      <c r="AE65" s="283"/>
      <c r="AF65" s="283"/>
      <c r="AG65" s="283"/>
      <c r="AH65" s="283"/>
      <c r="AI65" s="283"/>
      <c r="AJ65" s="283"/>
      <c r="AK65" s="283"/>
      <c r="AL65" s="283"/>
      <c r="AM65" s="283"/>
      <c r="AN65" s="283"/>
      <c r="AO65" s="283"/>
      <c r="AP65" s="283"/>
      <c r="AQ65" s="283"/>
      <c r="AR65" s="283"/>
      <c r="AS65" s="283"/>
      <c r="AT65" s="283"/>
      <c r="AU65" s="283"/>
      <c r="AV65" s="283"/>
      <c r="AW65" s="283"/>
      <c r="AX65" s="283"/>
      <c r="AY65" s="283"/>
      <c r="AZ65" s="283"/>
      <c r="BA65" s="283"/>
      <c r="BB65" s="283"/>
      <c r="BC65" s="283"/>
      <c r="BD65" s="283"/>
      <c r="BE65" s="283"/>
      <c r="BF65" s="283"/>
      <c r="BG65" s="283"/>
      <c r="BH65" s="283"/>
      <c r="BI65" s="283"/>
      <c r="BJ65" s="283"/>
      <c r="BK65" s="283"/>
      <c r="BL65" s="283"/>
    </row>
    <row r="66" spans="2:64" ht="13.9" customHeight="1">
      <c r="B66" s="2" t="s">
        <v>257</v>
      </c>
      <c r="X66" s="16"/>
      <c r="AC66" s="215">
        <v>0</v>
      </c>
      <c r="AD66" s="215">
        <v>0</v>
      </c>
      <c r="AE66" s="215">
        <v>0</v>
      </c>
      <c r="AF66" s="215">
        <v>0</v>
      </c>
      <c r="AG66" s="210">
        <f>AH66</f>
        <v>196</v>
      </c>
      <c r="AH66" s="215">
        <v>196</v>
      </c>
      <c r="AI66" s="215">
        <v>0</v>
      </c>
      <c r="AJ66" s="215">
        <v>0</v>
      </c>
      <c r="AK66" s="210">
        <v>282</v>
      </c>
      <c r="AL66" s="210">
        <v>25</v>
      </c>
      <c r="AM66" s="215">
        <v>307</v>
      </c>
      <c r="AN66" s="215">
        <v>0</v>
      </c>
      <c r="AO66" s="215">
        <v>0</v>
      </c>
      <c r="AP66" s="215">
        <v>0</v>
      </c>
      <c r="AQ66" s="215">
        <v>0</v>
      </c>
      <c r="AR66" s="215">
        <v>0</v>
      </c>
      <c r="AS66" s="24">
        <v>0</v>
      </c>
      <c r="AT66" s="24">
        <v>0</v>
      </c>
      <c r="AU66" s="24">
        <v>0</v>
      </c>
      <c r="AV66" s="24">
        <v>0</v>
      </c>
      <c r="AW66" s="215">
        <v>0</v>
      </c>
      <c r="AX66" s="24">
        <v>0</v>
      </c>
      <c r="AY66" s="24">
        <v>0</v>
      </c>
      <c r="AZ66" s="24">
        <v>0</v>
      </c>
      <c r="BA66" s="24">
        <v>0</v>
      </c>
      <c r="BB66" s="215">
        <v>0</v>
      </c>
      <c r="BC66" s="24">
        <v>0</v>
      </c>
      <c r="BD66" s="24">
        <v>0</v>
      </c>
      <c r="BE66" s="24">
        <v>0</v>
      </c>
      <c r="BF66" s="24">
        <v>0</v>
      </c>
      <c r="BG66" s="215">
        <v>0</v>
      </c>
      <c r="BH66" s="24">
        <v>0</v>
      </c>
      <c r="BI66" s="24">
        <v>0</v>
      </c>
      <c r="BJ66" s="24">
        <v>0</v>
      </c>
      <c r="BK66" s="24">
        <v>0</v>
      </c>
      <c r="BL66" s="215">
        <v>0</v>
      </c>
    </row>
    <row r="67" spans="2:64" ht="13.9" customHeight="1">
      <c r="B67" s="2" t="s">
        <v>258</v>
      </c>
      <c r="X67" s="16"/>
      <c r="AC67" s="215">
        <v>37</v>
      </c>
      <c r="AD67" s="215">
        <v>0</v>
      </c>
      <c r="AE67" s="215">
        <v>0</v>
      </c>
      <c r="AF67" s="215">
        <v>0</v>
      </c>
      <c r="AG67" s="215">
        <v>0</v>
      </c>
      <c r="AH67" s="215">
        <v>0</v>
      </c>
      <c r="AI67" s="215">
        <v>0</v>
      </c>
      <c r="AJ67" s="215">
        <v>0</v>
      </c>
      <c r="AK67" s="223">
        <f>AM67</f>
        <v>-14</v>
      </c>
      <c r="AL67" s="215">
        <v>0</v>
      </c>
      <c r="AM67" s="213">
        <v>-14</v>
      </c>
      <c r="AN67" s="215">
        <v>0</v>
      </c>
      <c r="AO67" s="215">
        <v>0</v>
      </c>
      <c r="AP67" s="215">
        <v>0</v>
      </c>
      <c r="AQ67" s="215">
        <v>0</v>
      </c>
      <c r="AR67" s="215">
        <v>0</v>
      </c>
      <c r="AS67" s="24">
        <v>0</v>
      </c>
      <c r="AT67" s="24">
        <v>0</v>
      </c>
      <c r="AU67" s="24">
        <v>0</v>
      </c>
      <c r="AV67" s="24">
        <v>0</v>
      </c>
      <c r="AW67" s="215">
        <v>0</v>
      </c>
      <c r="AX67" s="24">
        <v>0</v>
      </c>
      <c r="AY67" s="24">
        <v>0</v>
      </c>
      <c r="AZ67" s="24">
        <v>0</v>
      </c>
      <c r="BA67" s="24">
        <v>0</v>
      </c>
      <c r="BB67" s="215">
        <v>0</v>
      </c>
      <c r="BC67" s="24">
        <v>0</v>
      </c>
      <c r="BD67" s="24">
        <v>0</v>
      </c>
      <c r="BE67" s="24">
        <v>0</v>
      </c>
      <c r="BF67" s="24">
        <v>0</v>
      </c>
      <c r="BG67" s="215">
        <v>0</v>
      </c>
      <c r="BH67" s="24">
        <v>0</v>
      </c>
      <c r="BI67" s="24">
        <v>0</v>
      </c>
      <c r="BJ67" s="24">
        <v>0</v>
      </c>
      <c r="BK67" s="24">
        <v>0</v>
      </c>
      <c r="BL67" s="215">
        <v>0</v>
      </c>
    </row>
    <row r="68" spans="2:64" ht="13.9" customHeight="1">
      <c r="B68" s="2" t="s">
        <v>259</v>
      </c>
      <c r="X68" s="16"/>
      <c r="AC68" s="215">
        <v>0</v>
      </c>
      <c r="AD68" s="215">
        <v>0</v>
      </c>
      <c r="AE68" s="210">
        <v>951</v>
      </c>
      <c r="AF68" s="215">
        <v>0</v>
      </c>
      <c r="AG68" s="215">
        <v>0</v>
      </c>
      <c r="AH68" s="215">
        <v>951</v>
      </c>
      <c r="AI68" s="215">
        <v>0</v>
      </c>
      <c r="AJ68" s="215">
        <v>0</v>
      </c>
      <c r="AK68" s="215">
        <v>0</v>
      </c>
      <c r="AL68" s="215">
        <v>0</v>
      </c>
      <c r="AM68" s="215">
        <v>0</v>
      </c>
      <c r="AN68" s="215">
        <v>0</v>
      </c>
      <c r="AO68" s="215">
        <v>0</v>
      </c>
      <c r="AP68" s="215">
        <v>0</v>
      </c>
      <c r="AQ68" s="215">
        <v>0</v>
      </c>
      <c r="AR68" s="215">
        <v>0</v>
      </c>
      <c r="AS68" s="24">
        <v>0</v>
      </c>
      <c r="AT68" s="24">
        <v>0</v>
      </c>
      <c r="AU68" s="24">
        <v>0</v>
      </c>
      <c r="AV68" s="24">
        <v>0</v>
      </c>
      <c r="AW68" s="215">
        <v>0</v>
      </c>
      <c r="AX68" s="24">
        <v>0</v>
      </c>
      <c r="AY68" s="24">
        <v>0</v>
      </c>
      <c r="AZ68" s="24">
        <v>0</v>
      </c>
      <c r="BA68" s="24">
        <v>0</v>
      </c>
      <c r="BB68" s="215">
        <v>0</v>
      </c>
      <c r="BC68" s="24">
        <v>0</v>
      </c>
      <c r="BD68" s="24">
        <v>0</v>
      </c>
      <c r="BE68" s="24">
        <v>0</v>
      </c>
      <c r="BF68" s="24">
        <v>0</v>
      </c>
      <c r="BG68" s="215">
        <v>0</v>
      </c>
      <c r="BH68" s="24">
        <v>0</v>
      </c>
      <c r="BI68" s="24">
        <v>0</v>
      </c>
      <c r="BJ68" s="24">
        <v>0</v>
      </c>
      <c r="BK68" s="24">
        <v>0</v>
      </c>
      <c r="BL68" s="215">
        <v>0</v>
      </c>
    </row>
    <row r="69" spans="2:64" ht="13.9" customHeight="1">
      <c r="B69" s="2" t="s">
        <v>260</v>
      </c>
      <c r="X69" s="16"/>
      <c r="AC69" s="215">
        <v>1638</v>
      </c>
      <c r="AD69" s="215">
        <v>0</v>
      </c>
      <c r="AE69" s="215">
        <v>0</v>
      </c>
      <c r="AF69" s="215">
        <v>0</v>
      </c>
      <c r="AG69" s="215">
        <v>0</v>
      </c>
      <c r="AH69" s="215">
        <v>0</v>
      </c>
      <c r="AI69" s="215">
        <v>0</v>
      </c>
      <c r="AJ69" s="215">
        <v>0</v>
      </c>
      <c r="AK69" s="215">
        <v>0</v>
      </c>
      <c r="AL69" s="215">
        <v>0</v>
      </c>
      <c r="AM69" s="215">
        <v>0</v>
      </c>
      <c r="AN69" s="215">
        <v>0</v>
      </c>
      <c r="AO69" s="215">
        <v>0</v>
      </c>
      <c r="AP69" s="215">
        <v>0</v>
      </c>
      <c r="AQ69" s="215">
        <v>0</v>
      </c>
      <c r="AR69" s="215">
        <v>0</v>
      </c>
      <c r="AS69" s="24">
        <v>0</v>
      </c>
      <c r="AT69" s="24">
        <v>0</v>
      </c>
      <c r="AU69" s="24">
        <v>0</v>
      </c>
      <c r="AV69" s="24">
        <v>0</v>
      </c>
      <c r="AW69" s="215">
        <v>0</v>
      </c>
      <c r="AX69" s="24">
        <v>0</v>
      </c>
      <c r="AY69" s="24">
        <v>0</v>
      </c>
      <c r="AZ69" s="24">
        <v>0</v>
      </c>
      <c r="BA69" s="24">
        <v>0</v>
      </c>
      <c r="BB69" s="215">
        <v>0</v>
      </c>
      <c r="BC69" s="24">
        <v>0</v>
      </c>
      <c r="BD69" s="24">
        <v>0</v>
      </c>
      <c r="BE69" s="24">
        <v>0</v>
      </c>
      <c r="BF69" s="24">
        <v>0</v>
      </c>
      <c r="BG69" s="215">
        <v>0</v>
      </c>
      <c r="BH69" s="24">
        <v>0</v>
      </c>
      <c r="BI69" s="24">
        <v>0</v>
      </c>
      <c r="BJ69" s="24">
        <v>0</v>
      </c>
      <c r="BK69" s="24">
        <v>0</v>
      </c>
      <c r="BL69" s="215">
        <v>0</v>
      </c>
    </row>
    <row r="70" spans="2:64" ht="13.9" customHeight="1">
      <c r="B70" s="201" t="s">
        <v>194</v>
      </c>
      <c r="C70" s="283"/>
      <c r="D70" s="283"/>
      <c r="E70" s="283"/>
      <c r="F70" s="283"/>
      <c r="G70" s="283"/>
      <c r="H70" s="283"/>
      <c r="I70" s="283"/>
      <c r="J70" s="283"/>
      <c r="K70" s="283"/>
      <c r="L70" s="283"/>
      <c r="M70" s="283"/>
      <c r="N70" s="283"/>
      <c r="O70" s="283"/>
      <c r="P70" s="283"/>
      <c r="Q70" s="283"/>
      <c r="R70" s="283"/>
      <c r="S70" s="283"/>
      <c r="T70" s="283"/>
      <c r="U70" s="283"/>
      <c r="V70" s="283"/>
      <c r="W70" s="283"/>
      <c r="X70" s="283"/>
      <c r="Y70" s="283"/>
      <c r="Z70" s="283"/>
      <c r="AA70" s="283"/>
      <c r="AB70" s="283"/>
      <c r="AC70" s="119">
        <f t="shared" ref="AC70:AR70" si="41">SUM(AC66:AC69)</f>
        <v>1675</v>
      </c>
      <c r="AD70" s="119">
        <f t="shared" si="41"/>
        <v>0</v>
      </c>
      <c r="AE70" s="119">
        <f t="shared" si="41"/>
        <v>951</v>
      </c>
      <c r="AF70" s="119">
        <f t="shared" si="41"/>
        <v>0</v>
      </c>
      <c r="AG70" s="119">
        <f t="shared" si="41"/>
        <v>196</v>
      </c>
      <c r="AH70" s="119">
        <f t="shared" si="41"/>
        <v>1147</v>
      </c>
      <c r="AI70" s="119">
        <f t="shared" si="41"/>
        <v>0</v>
      </c>
      <c r="AJ70" s="119">
        <f t="shared" si="41"/>
        <v>0</v>
      </c>
      <c r="AK70" s="119">
        <f t="shared" si="41"/>
        <v>268</v>
      </c>
      <c r="AL70" s="119">
        <f t="shared" si="41"/>
        <v>25</v>
      </c>
      <c r="AM70" s="201">
        <f t="shared" si="41"/>
        <v>293</v>
      </c>
      <c r="AN70" s="119">
        <f t="shared" si="41"/>
        <v>0</v>
      </c>
      <c r="AO70" s="119">
        <f t="shared" si="41"/>
        <v>0</v>
      </c>
      <c r="AP70" s="119">
        <f t="shared" si="41"/>
        <v>0</v>
      </c>
      <c r="AQ70" s="119">
        <f t="shared" si="41"/>
        <v>0</v>
      </c>
      <c r="AR70" s="119">
        <f t="shared" si="41"/>
        <v>0</v>
      </c>
      <c r="AS70" s="119">
        <f t="shared" ref="AS70:AZ70" si="42">SUM(AS66:AS69)</f>
        <v>0</v>
      </c>
      <c r="AT70" s="119">
        <f t="shared" si="42"/>
        <v>0</v>
      </c>
      <c r="AU70" s="119">
        <f t="shared" si="42"/>
        <v>0</v>
      </c>
      <c r="AV70" s="119">
        <f t="shared" si="42"/>
        <v>0</v>
      </c>
      <c r="AW70" s="119">
        <f t="shared" si="42"/>
        <v>0</v>
      </c>
      <c r="AX70" s="119">
        <f t="shared" si="42"/>
        <v>0</v>
      </c>
      <c r="AY70" s="119">
        <f t="shared" si="42"/>
        <v>0</v>
      </c>
      <c r="AZ70" s="119">
        <f t="shared" si="42"/>
        <v>0</v>
      </c>
      <c r="BA70" s="119">
        <f t="shared" ref="BA70:BC70" si="43">SUM(BA66:BA69)</f>
        <v>0</v>
      </c>
      <c r="BB70" s="119">
        <f t="shared" si="43"/>
        <v>0</v>
      </c>
      <c r="BC70" s="119">
        <f t="shared" si="43"/>
        <v>0</v>
      </c>
      <c r="BD70" s="119">
        <f t="shared" ref="BD70:BH70" si="44">SUM(BD66:BD69)</f>
        <v>0</v>
      </c>
      <c r="BE70" s="119">
        <f t="shared" si="44"/>
        <v>0</v>
      </c>
      <c r="BF70" s="119">
        <f t="shared" si="44"/>
        <v>0</v>
      </c>
      <c r="BG70" s="119">
        <f t="shared" si="44"/>
        <v>0</v>
      </c>
      <c r="BH70" s="119">
        <f t="shared" si="44"/>
        <v>0</v>
      </c>
      <c r="BI70" s="119">
        <f t="shared" ref="BI70:BL70" si="45">SUM(BI66:BI69)</f>
        <v>0</v>
      </c>
      <c r="BJ70" s="119">
        <f t="shared" si="45"/>
        <v>0</v>
      </c>
      <c r="BK70" s="119">
        <f t="shared" si="45"/>
        <v>0</v>
      </c>
      <c r="BL70" s="119">
        <f t="shared" si="45"/>
        <v>0</v>
      </c>
    </row>
    <row r="71" spans="2:64" ht="2.25" customHeight="1">
      <c r="B71" s="297"/>
      <c r="C71" s="202"/>
      <c r="D71" s="202"/>
      <c r="E71" s="202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202"/>
      <c r="X71" s="202"/>
      <c r="Y71" s="202"/>
      <c r="Z71" s="202"/>
      <c r="AA71" s="202"/>
      <c r="AB71" s="202"/>
      <c r="AC71" s="202"/>
      <c r="AD71" s="202"/>
      <c r="AE71" s="202"/>
      <c r="AF71" s="202"/>
      <c r="AG71" s="202"/>
      <c r="AH71" s="202"/>
      <c r="AI71" s="202"/>
      <c r="AJ71" s="202"/>
      <c r="AK71" s="202"/>
      <c r="AL71" s="202"/>
      <c r="AM71" s="202"/>
      <c r="AN71" s="202"/>
      <c r="AO71" s="202"/>
      <c r="AP71" s="202"/>
      <c r="AQ71" s="202"/>
      <c r="AR71" s="202"/>
      <c r="AS71" s="202"/>
      <c r="AT71" s="202"/>
      <c r="AU71" s="202"/>
      <c r="AV71" s="202"/>
      <c r="AW71" s="202"/>
      <c r="AX71" s="202"/>
      <c r="AY71" s="202"/>
      <c r="AZ71" s="202"/>
      <c r="BA71" s="202"/>
      <c r="BB71" s="202"/>
      <c r="BC71" s="202"/>
      <c r="BD71" s="202"/>
      <c r="BE71" s="202"/>
      <c r="BF71" s="202"/>
      <c r="BG71" s="202"/>
      <c r="BH71" s="202"/>
      <c r="BI71" s="202"/>
      <c r="BJ71" s="202"/>
      <c r="BK71" s="202"/>
      <c r="BL71" s="202"/>
    </row>
    <row r="72" spans="2:64" ht="13.9" customHeight="1"/>
    <row r="73" spans="2:64" ht="4.1500000000000004" customHeight="1">
      <c r="B73" s="198"/>
      <c r="C73" s="199"/>
      <c r="D73" s="199"/>
      <c r="E73" s="199"/>
      <c r="F73" s="199"/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  <c r="T73" s="199"/>
      <c r="U73" s="199"/>
      <c r="V73" s="199"/>
      <c r="W73" s="199"/>
      <c r="X73" s="199"/>
      <c r="Y73" s="199"/>
      <c r="Z73" s="199"/>
      <c r="AA73" s="199"/>
      <c r="AB73" s="199"/>
      <c r="AC73" s="199"/>
      <c r="AD73" s="199"/>
      <c r="AE73" s="199"/>
      <c r="AF73" s="199"/>
      <c r="AG73" s="199"/>
      <c r="AH73" s="199"/>
      <c r="AI73" s="199"/>
      <c r="AJ73" s="199"/>
      <c r="AK73" s="199"/>
      <c r="AL73" s="199"/>
      <c r="AM73" s="199"/>
      <c r="AN73" s="199"/>
      <c r="AO73" s="199"/>
      <c r="AP73" s="199"/>
      <c r="AQ73" s="199"/>
      <c r="AR73" s="199"/>
      <c r="AS73" s="199"/>
      <c r="AT73" s="199"/>
      <c r="AU73" s="199"/>
      <c r="AV73" s="199"/>
      <c r="AW73" s="199"/>
      <c r="AX73" s="199"/>
      <c r="AY73" s="199"/>
      <c r="AZ73" s="199"/>
      <c r="BA73" s="199"/>
      <c r="BB73" s="199"/>
      <c r="BC73" s="199"/>
      <c r="BD73" s="199"/>
      <c r="BE73" s="199"/>
      <c r="BF73" s="199"/>
      <c r="BG73" s="199"/>
      <c r="BH73" s="199"/>
      <c r="BI73" s="199"/>
      <c r="BJ73" s="199"/>
      <c r="BK73" s="199"/>
      <c r="BL73" s="199"/>
    </row>
    <row r="74" spans="2:64" ht="25.35" customHeight="1">
      <c r="B74" s="177" t="s">
        <v>271</v>
      </c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  <c r="AC74" s="182"/>
      <c r="AD74" s="182"/>
      <c r="AE74" s="182"/>
      <c r="AF74" s="182"/>
      <c r="AG74" s="182"/>
      <c r="AH74" s="182"/>
      <c r="AI74" s="182"/>
      <c r="AJ74" s="182"/>
      <c r="AK74" s="182"/>
      <c r="AL74" s="182"/>
      <c r="AM74" s="182"/>
      <c r="AN74" s="182"/>
      <c r="AO74" s="182"/>
      <c r="AP74" s="182"/>
      <c r="AQ74" s="182"/>
      <c r="AR74" s="182"/>
      <c r="AS74" s="182"/>
      <c r="AT74" s="182"/>
      <c r="AU74" s="182"/>
      <c r="AV74" s="182"/>
      <c r="AW74" s="182"/>
      <c r="AX74" s="182"/>
      <c r="AY74" s="182"/>
      <c r="AZ74" s="182"/>
      <c r="BA74" s="182"/>
      <c r="BB74" s="182"/>
      <c r="BC74" s="182"/>
      <c r="BD74" s="182"/>
      <c r="BE74" s="182"/>
      <c r="BF74" s="182"/>
      <c r="BG74" s="182"/>
      <c r="BH74" s="182"/>
      <c r="BI74" s="182"/>
      <c r="BJ74" s="182"/>
      <c r="BK74" s="182"/>
      <c r="BL74" s="182"/>
    </row>
    <row r="75" spans="2:64" ht="13.9" customHeight="1">
      <c r="B75" s="201" t="s">
        <v>40</v>
      </c>
      <c r="C75" s="283"/>
      <c r="D75" s="283"/>
      <c r="E75" s="283"/>
      <c r="F75" s="283"/>
      <c r="G75" s="283"/>
      <c r="H75" s="283"/>
      <c r="I75" s="283"/>
      <c r="J75" s="283"/>
      <c r="K75" s="283"/>
      <c r="L75" s="283"/>
      <c r="M75" s="283"/>
      <c r="N75" s="283"/>
      <c r="O75" s="283"/>
      <c r="P75" s="283"/>
      <c r="Q75" s="283"/>
      <c r="R75" s="283"/>
      <c r="S75" s="283"/>
      <c r="T75" s="283"/>
      <c r="U75" s="283"/>
      <c r="V75" s="283"/>
      <c r="W75" s="283"/>
      <c r="X75" s="283"/>
      <c r="Y75" s="283"/>
      <c r="Z75" s="283"/>
      <c r="AA75" s="283"/>
      <c r="AB75" s="283"/>
      <c r="AC75" s="283"/>
      <c r="AD75" s="283"/>
      <c r="AE75" s="283"/>
      <c r="AF75" s="283"/>
      <c r="AG75" s="283"/>
      <c r="AH75" s="283"/>
      <c r="AI75" s="283"/>
      <c r="AJ75" s="283"/>
      <c r="AK75" s="283"/>
      <c r="AL75" s="283"/>
      <c r="AM75" s="283"/>
      <c r="AN75" s="283"/>
      <c r="AO75" s="283"/>
      <c r="AP75" s="283"/>
      <c r="AQ75" s="283"/>
      <c r="AR75" s="283"/>
      <c r="AS75" s="283"/>
      <c r="AT75" s="283"/>
      <c r="AU75" s="283"/>
      <c r="AV75" s="283"/>
      <c r="AW75" s="283"/>
      <c r="AX75" s="283"/>
      <c r="AY75" s="283"/>
      <c r="AZ75" s="283"/>
      <c r="BA75" s="283"/>
      <c r="BB75" s="283"/>
      <c r="BC75" s="283"/>
      <c r="BD75" s="283"/>
      <c r="BE75" s="283"/>
      <c r="BF75" s="283"/>
      <c r="BG75" s="283"/>
      <c r="BH75" s="283"/>
      <c r="BI75" s="283"/>
      <c r="BJ75" s="283"/>
      <c r="BK75" s="283"/>
      <c r="BL75" s="283"/>
    </row>
    <row r="76" spans="2:64" ht="13.9" customHeight="1">
      <c r="B76" s="2" t="s">
        <v>254</v>
      </c>
      <c r="X76" s="103" t="s">
        <v>25</v>
      </c>
      <c r="AC76" s="215">
        <v>2571</v>
      </c>
      <c r="AD76" s="235" t="s">
        <v>25</v>
      </c>
      <c r="AE76" s="235" t="s">
        <v>25</v>
      </c>
      <c r="AF76" s="235" t="s">
        <v>25</v>
      </c>
      <c r="AG76" s="235" t="s">
        <v>25</v>
      </c>
      <c r="AH76" s="215">
        <v>2472</v>
      </c>
      <c r="AI76" s="235" t="s">
        <v>25</v>
      </c>
      <c r="AJ76" s="235" t="s">
        <v>25</v>
      </c>
      <c r="AK76" s="235" t="s">
        <v>25</v>
      </c>
      <c r="AL76" s="235" t="s">
        <v>25</v>
      </c>
      <c r="AM76" s="215">
        <v>2439</v>
      </c>
      <c r="AN76" s="235" t="s">
        <v>25</v>
      </c>
      <c r="AO76" s="235" t="s">
        <v>25</v>
      </c>
      <c r="AP76" s="235" t="s">
        <v>25</v>
      </c>
      <c r="AQ76" s="235" t="s">
        <v>25</v>
      </c>
      <c r="AR76" s="215">
        <v>2410</v>
      </c>
      <c r="AS76" s="27" t="s">
        <v>25</v>
      </c>
      <c r="AT76" s="27" t="s">
        <v>25</v>
      </c>
      <c r="AU76" s="27" t="s">
        <v>25</v>
      </c>
      <c r="AV76" s="27" t="s">
        <v>25</v>
      </c>
      <c r="AW76" s="215">
        <v>2391</v>
      </c>
      <c r="AX76" s="27" t="s">
        <v>25</v>
      </c>
      <c r="AY76" s="27" t="s">
        <v>25</v>
      </c>
      <c r="AZ76" s="27" t="s">
        <v>25</v>
      </c>
      <c r="BA76" s="27" t="s">
        <v>25</v>
      </c>
      <c r="BB76" s="215">
        <v>2464</v>
      </c>
      <c r="BC76" s="27" t="s">
        <v>25</v>
      </c>
      <c r="BD76" s="27" t="s">
        <v>25</v>
      </c>
      <c r="BE76" s="27" t="s">
        <v>25</v>
      </c>
      <c r="BF76" s="27" t="s">
        <v>25</v>
      </c>
      <c r="BG76" s="215">
        <v>2497</v>
      </c>
      <c r="BH76" s="27" t="s">
        <v>25</v>
      </c>
      <c r="BI76" s="27" t="s">
        <v>25</v>
      </c>
      <c r="BJ76" s="27" t="s">
        <v>25</v>
      </c>
      <c r="BK76" s="27" t="s">
        <v>25</v>
      </c>
      <c r="BL76" s="215">
        <v>2426</v>
      </c>
    </row>
    <row r="77" spans="2:64" ht="13.9" customHeight="1">
      <c r="B77" s="12" t="s">
        <v>307</v>
      </c>
      <c r="X77" s="103"/>
      <c r="AC77" s="215">
        <v>0</v>
      </c>
      <c r="AD77" s="235"/>
      <c r="AE77" s="235"/>
      <c r="AF77" s="235"/>
      <c r="AG77" s="235"/>
      <c r="AH77" s="215">
        <v>0</v>
      </c>
      <c r="AI77" s="235"/>
      <c r="AJ77" s="235"/>
      <c r="AK77" s="235"/>
      <c r="AL77" s="235"/>
      <c r="AM77" s="215">
        <v>0</v>
      </c>
      <c r="AN77" s="235"/>
      <c r="AO77" s="235"/>
      <c r="AP77" s="235"/>
      <c r="AQ77" s="235"/>
      <c r="AR77" s="215">
        <v>27</v>
      </c>
      <c r="AS77" s="27"/>
      <c r="AT77" s="27"/>
      <c r="AU77" s="27"/>
      <c r="AV77" s="27"/>
      <c r="AW77" s="215">
        <v>11</v>
      </c>
      <c r="AX77" s="27"/>
      <c r="AY77" s="27"/>
      <c r="AZ77" s="27"/>
      <c r="BA77" s="27"/>
      <c r="BB77" s="215">
        <v>10</v>
      </c>
      <c r="BC77" s="27"/>
      <c r="BD77" s="27"/>
      <c r="BE77" s="27"/>
      <c r="BF77" s="27"/>
      <c r="BG77" s="215">
        <v>21</v>
      </c>
      <c r="BH77" s="27"/>
      <c r="BI77" s="27"/>
      <c r="BJ77" s="27"/>
      <c r="BK77" s="27"/>
      <c r="BL77" s="215">
        <v>22</v>
      </c>
    </row>
    <row r="78" spans="2:64" ht="13.9" customHeight="1">
      <c r="B78" s="74" t="s">
        <v>255</v>
      </c>
      <c r="X78" s="103" t="s">
        <v>25</v>
      </c>
      <c r="AC78" s="213">
        <v>-579</v>
      </c>
      <c r="AD78" s="235" t="s">
        <v>25</v>
      </c>
      <c r="AE78" s="235" t="s">
        <v>25</v>
      </c>
      <c r="AF78" s="235" t="s">
        <v>25</v>
      </c>
      <c r="AG78" s="235" t="s">
        <v>25</v>
      </c>
      <c r="AH78" s="213">
        <v>-539</v>
      </c>
      <c r="AI78" s="235" t="s">
        <v>25</v>
      </c>
      <c r="AJ78" s="235" t="s">
        <v>25</v>
      </c>
      <c r="AK78" s="235" t="s">
        <v>25</v>
      </c>
      <c r="AL78" s="235" t="s">
        <v>25</v>
      </c>
      <c r="AM78" s="213">
        <v>-548</v>
      </c>
      <c r="AN78" s="235" t="s">
        <v>25</v>
      </c>
      <c r="AO78" s="235" t="s">
        <v>25</v>
      </c>
      <c r="AP78" s="235" t="s">
        <v>25</v>
      </c>
      <c r="AQ78" s="235" t="s">
        <v>25</v>
      </c>
      <c r="AR78" s="213">
        <v>-555</v>
      </c>
      <c r="AS78" s="27" t="s">
        <v>25</v>
      </c>
      <c r="AT78" s="27" t="s">
        <v>25</v>
      </c>
      <c r="AU78" s="27" t="s">
        <v>25</v>
      </c>
      <c r="AV78" s="27" t="s">
        <v>25</v>
      </c>
      <c r="AW78" s="213">
        <v>-530</v>
      </c>
      <c r="AX78" s="27" t="s">
        <v>25</v>
      </c>
      <c r="AY78" s="27" t="s">
        <v>25</v>
      </c>
      <c r="AZ78" s="27" t="s">
        <v>25</v>
      </c>
      <c r="BA78" s="27" t="s">
        <v>25</v>
      </c>
      <c r="BB78" s="213">
        <v>-552</v>
      </c>
      <c r="BC78" s="27" t="s">
        <v>25</v>
      </c>
      <c r="BD78" s="27" t="s">
        <v>25</v>
      </c>
      <c r="BE78" s="27" t="s">
        <v>25</v>
      </c>
      <c r="BF78" s="27" t="s">
        <v>25</v>
      </c>
      <c r="BG78" s="213">
        <v>-586</v>
      </c>
      <c r="BH78" s="27" t="s">
        <v>25</v>
      </c>
      <c r="BI78" s="27" t="s">
        <v>25</v>
      </c>
      <c r="BJ78" s="27" t="s">
        <v>25</v>
      </c>
      <c r="BK78" s="27" t="s">
        <v>25</v>
      </c>
      <c r="BL78" s="213">
        <v>-589</v>
      </c>
    </row>
    <row r="79" spans="2:64" ht="13.9" customHeight="1">
      <c r="B79" s="201" t="s">
        <v>256</v>
      </c>
      <c r="C79" s="283"/>
      <c r="D79" s="283"/>
      <c r="E79" s="283"/>
      <c r="F79" s="283"/>
      <c r="G79" s="283"/>
      <c r="H79" s="283"/>
      <c r="I79" s="283"/>
      <c r="J79" s="283"/>
      <c r="K79" s="283"/>
      <c r="L79" s="283"/>
      <c r="M79" s="283"/>
      <c r="N79" s="283"/>
      <c r="O79" s="283"/>
      <c r="P79" s="283"/>
      <c r="Q79" s="283"/>
      <c r="R79" s="283"/>
      <c r="S79" s="283"/>
      <c r="T79" s="283"/>
      <c r="U79" s="283"/>
      <c r="V79" s="283"/>
      <c r="W79" s="283"/>
      <c r="X79" s="201"/>
      <c r="Y79" s="283"/>
      <c r="Z79" s="283"/>
      <c r="AA79" s="283"/>
      <c r="AB79" s="283"/>
      <c r="AC79" s="119">
        <f>SUM(AC76:AC78)</f>
        <v>1992</v>
      </c>
      <c r="AD79" s="283"/>
      <c r="AE79" s="283"/>
      <c r="AF79" s="283"/>
      <c r="AG79" s="283"/>
      <c r="AH79" s="119">
        <f>SUM(AH76:AH78)</f>
        <v>1933</v>
      </c>
      <c r="AI79" s="283"/>
      <c r="AJ79" s="283"/>
      <c r="AK79" s="283"/>
      <c r="AL79" s="283"/>
      <c r="AM79" s="119">
        <f>SUM(AM76:AM78)</f>
        <v>1891</v>
      </c>
      <c r="AN79" s="283"/>
      <c r="AO79" s="283"/>
      <c r="AP79" s="283"/>
      <c r="AQ79" s="283"/>
      <c r="AR79" s="119">
        <f>SUM(AR76:AR78)</f>
        <v>1882</v>
      </c>
      <c r="AS79" s="283"/>
      <c r="AT79" s="283"/>
      <c r="AU79" s="283"/>
      <c r="AV79" s="283"/>
      <c r="AW79" s="119">
        <f>SUM(AW76:AW78)</f>
        <v>1872</v>
      </c>
      <c r="AX79" s="283"/>
      <c r="AY79" s="283"/>
      <c r="AZ79" s="283"/>
      <c r="BA79" s="283"/>
      <c r="BB79" s="119">
        <f>SUM(BB76:BB78)</f>
        <v>1922</v>
      </c>
      <c r="BC79" s="283"/>
      <c r="BD79" s="283"/>
      <c r="BE79" s="283"/>
      <c r="BF79" s="283"/>
      <c r="BG79" s="119">
        <f>SUM(BG76:BG78)</f>
        <v>1932</v>
      </c>
      <c r="BH79" s="283"/>
      <c r="BI79" s="283"/>
      <c r="BJ79" s="283"/>
      <c r="BK79" s="283"/>
      <c r="BL79" s="119">
        <f>SUM(BL76:BL78)</f>
        <v>1859</v>
      </c>
    </row>
    <row r="80" spans="2:64" ht="2.25" customHeight="1">
      <c r="B80" s="297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2"/>
      <c r="AT80" s="202"/>
      <c r="AU80" s="202"/>
      <c r="AV80" s="202"/>
      <c r="AW80" s="202"/>
      <c r="AX80" s="202"/>
      <c r="AY80" s="202"/>
      <c r="AZ80" s="202"/>
      <c r="BA80" s="202"/>
      <c r="BB80" s="202"/>
      <c r="BC80" s="202"/>
      <c r="BD80" s="202"/>
      <c r="BE80" s="202"/>
      <c r="BF80" s="202"/>
      <c r="BG80" s="202"/>
      <c r="BH80" s="202"/>
      <c r="BI80" s="202"/>
      <c r="BJ80" s="202"/>
      <c r="BK80" s="202"/>
      <c r="BL80" s="202"/>
    </row>
    <row r="201" spans="45:45">
      <c r="AS201">
        <v>59</v>
      </c>
    </row>
    <row r="344" spans="58:58">
      <c r="BF344">
        <f>BF341-260</f>
        <v>-260</v>
      </c>
    </row>
    <row r="365" spans="56:56">
      <c r="BD365" s="18">
        <v>0.26400000000000001</v>
      </c>
    </row>
  </sheetData>
  <pageMargins left="0.19685039370078741" right="0.19685039370078741" top="0.74803149606299213" bottom="0.74803149606299213" header="0.31496062992125984" footer="0.19685039370078741"/>
  <pageSetup paperSize="9" scale="72" orientation="landscape" r:id="rId1"/>
  <headerFooter>
    <oddHeader>&amp;CBezeq - The Israeli Telecommunications Corp., Ltd.</oddHeader>
    <oddFooter xml:space="preserve">&amp;R&amp;P of &amp;N
Bezeq Group - Other 
</oddFooter>
  </headerFooter>
  <rowBreaks count="1" manualBreakCount="1">
    <brk id="42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2125-7BD6-44A9-A77F-7EBD0E0908C3}">
  <sheetPr>
    <tabColor theme="3" tint="-0.49992370372631001"/>
  </sheetPr>
  <dimension ref="B1:IH27"/>
  <sheetViews>
    <sheetView showGridLines="0" tabSelected="1" workbookViewId="0">
      <pane xSplit="2" ySplit="6" topLeftCell="IB7" activePane="bottomRight" state="frozen"/>
      <selection activeCell="AI81" sqref="AI81"/>
      <selection pane="topRight" activeCell="AI81" sqref="AI81"/>
      <selection pane="bottomLeft" activeCell="AI81" sqref="AI81"/>
      <selection pane="bottomRight" activeCell="AI81" sqref="AI81"/>
    </sheetView>
  </sheetViews>
  <sheetFormatPr defaultColWidth="9.28515625" defaultRowHeight="12.75"/>
  <cols>
    <col min="1" max="1" width="1.7109375" customWidth="1"/>
    <col min="2" max="2" width="52.7109375" customWidth="1"/>
    <col min="3" max="9" width="15.7109375" hidden="1" customWidth="1"/>
    <col min="10" max="10" width="1.7109375" hidden="1" customWidth="1"/>
    <col min="11" max="17" width="15.7109375" hidden="1" customWidth="1"/>
    <col min="18" max="18" width="1.5703125" hidden="1" customWidth="1"/>
    <col min="19" max="25" width="15.7109375" hidden="1" customWidth="1"/>
    <col min="26" max="26" width="1.7109375" hidden="1" customWidth="1"/>
    <col min="27" max="33" width="15.7109375" hidden="1" customWidth="1"/>
    <col min="34" max="34" width="2" hidden="1" customWidth="1"/>
    <col min="35" max="41" width="15.7109375" hidden="1" customWidth="1"/>
    <col min="42" max="42" width="1.5703125" hidden="1" customWidth="1"/>
    <col min="43" max="49" width="15.7109375" hidden="1" customWidth="1"/>
    <col min="50" max="50" width="2" hidden="1" customWidth="1"/>
    <col min="51" max="57" width="15.7109375" hidden="1" customWidth="1"/>
    <col min="58" max="58" width="2" hidden="1" customWidth="1"/>
    <col min="59" max="65" width="15.7109375" hidden="1" customWidth="1"/>
    <col min="66" max="66" width="2" hidden="1" customWidth="1"/>
    <col min="67" max="72" width="15.7109375" hidden="1" customWidth="1"/>
    <col min="73" max="73" width="13.42578125" hidden="1" customWidth="1"/>
    <col min="74" max="74" width="3" hidden="1" customWidth="1"/>
    <col min="75" max="80" width="15.7109375" hidden="1" customWidth="1"/>
    <col min="81" max="81" width="12.42578125" hidden="1" customWidth="1"/>
    <col min="82" max="82" width="1.7109375" hidden="1" customWidth="1"/>
    <col min="83" max="89" width="15.7109375" hidden="1" customWidth="1"/>
    <col min="90" max="90" width="2.28515625" hidden="1" customWidth="1"/>
    <col min="91" max="97" width="15.7109375" hidden="1" customWidth="1"/>
    <col min="98" max="98" width="2.42578125" hidden="1" customWidth="1"/>
    <col min="99" max="99" width="14.5703125" hidden="1" customWidth="1"/>
    <col min="100" max="100" width="10.42578125" hidden="1" customWidth="1"/>
    <col min="101" max="101" width="14.42578125" hidden="1" customWidth="1"/>
    <col min="102" max="102" width="15.7109375" hidden="1" customWidth="1"/>
    <col min="103" max="103" width="9.7109375" hidden="1" customWidth="1"/>
    <col min="104" max="104" width="14.42578125" hidden="1" customWidth="1"/>
    <col min="105" max="105" width="17.42578125" hidden="1" customWidth="1"/>
    <col min="106" max="106" width="2.28515625" hidden="1" customWidth="1"/>
    <col min="107" max="107" width="14" hidden="1" customWidth="1"/>
    <col min="108" max="108" width="13.5703125" hidden="1" customWidth="1"/>
    <col min="109" max="109" width="13.7109375" hidden="1" customWidth="1"/>
    <col min="110" max="110" width="16.28515625" hidden="1" customWidth="1"/>
    <col min="111" max="111" width="11" hidden="1" customWidth="1"/>
    <col min="112" max="112" width="14.28515625" hidden="1" customWidth="1"/>
    <col min="113" max="113" width="16.42578125" hidden="1" customWidth="1"/>
    <col min="114" max="114" width="1.7109375" hidden="1" customWidth="1"/>
    <col min="115" max="121" width="15.7109375" hidden="1" customWidth="1"/>
    <col min="122" max="122" width="2.28515625" hidden="1" customWidth="1"/>
    <col min="123" max="129" width="15.7109375" hidden="1" customWidth="1"/>
    <col min="130" max="130" width="1.28515625" hidden="1" customWidth="1"/>
    <col min="131" max="131" width="0.42578125" hidden="1" customWidth="1"/>
    <col min="132" max="138" width="15.7109375" hidden="1" customWidth="1"/>
    <col min="139" max="139" width="2.5703125" hidden="1" customWidth="1"/>
    <col min="140" max="146" width="15.7109375" hidden="1" customWidth="1"/>
    <col min="147" max="147" width="1.7109375" hidden="1" customWidth="1"/>
    <col min="148" max="154" width="15.7109375" hidden="1" customWidth="1"/>
    <col min="155" max="155" width="1.7109375" hidden="1" customWidth="1"/>
    <col min="156" max="162" width="15.7109375" hidden="1" customWidth="1"/>
    <col min="163" max="163" width="2.7109375" hidden="1" customWidth="1"/>
    <col min="164" max="170" width="15.7109375" hidden="1" customWidth="1"/>
    <col min="171" max="171" width="2.7109375" hidden="1" customWidth="1"/>
    <col min="172" max="178" width="15.7109375" hidden="1" customWidth="1"/>
    <col min="179" max="179" width="1.7109375" hidden="1" customWidth="1"/>
    <col min="180" max="186" width="15.7109375" hidden="1" customWidth="1"/>
    <col min="187" max="187" width="1.7109375" hidden="1" customWidth="1"/>
    <col min="188" max="194" width="15.7109375" hidden="1" customWidth="1"/>
    <col min="195" max="195" width="1.7109375" hidden="1" customWidth="1"/>
    <col min="196" max="202" width="15.7109375" hidden="1" customWidth="1"/>
    <col min="203" max="203" width="1.7109375" hidden="1" customWidth="1"/>
    <col min="204" max="210" width="15.7109375" hidden="1" customWidth="1"/>
    <col min="211" max="211" width="1.7109375" hidden="1" customWidth="1"/>
    <col min="212" max="218" width="15.7109375" hidden="1" customWidth="1"/>
    <col min="219" max="219" width="1.7109375" hidden="1" customWidth="1"/>
    <col min="220" max="226" width="15.7109375" hidden="1" customWidth="1"/>
    <col min="227" max="227" width="1.7109375" hidden="1" customWidth="1"/>
    <col min="228" max="234" width="15.7109375" hidden="1" customWidth="1"/>
    <col min="235" max="235" width="1.7109375" hidden="1" customWidth="1"/>
    <col min="236" max="242" width="15.7109375" customWidth="1"/>
  </cols>
  <sheetData>
    <row r="1" spans="2:242" ht="13.9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EA1" s="6"/>
      <c r="EQ1" s="6"/>
      <c r="FW1" s="6"/>
      <c r="GE1" s="6"/>
      <c r="GM1" s="6"/>
      <c r="GU1" s="6"/>
      <c r="HC1" s="6"/>
      <c r="HK1" s="6"/>
      <c r="HS1" s="6"/>
      <c r="IA1" s="6"/>
    </row>
    <row r="2" spans="2:242" ht="13.9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EA2" s="6"/>
      <c r="EQ2" s="6"/>
      <c r="FW2" s="6"/>
      <c r="GE2" s="6"/>
      <c r="GM2" s="6"/>
      <c r="GU2" s="6"/>
      <c r="HC2" s="6"/>
      <c r="HK2" s="6"/>
      <c r="HS2" s="6"/>
      <c r="IA2" s="6"/>
    </row>
    <row r="3" spans="2:242" ht="13.9" customHeight="1">
      <c r="B3" s="7"/>
      <c r="C3" s="7" t="s">
        <v>277</v>
      </c>
      <c r="D3" s="7" t="s">
        <v>278</v>
      </c>
      <c r="E3" s="7" t="s">
        <v>279</v>
      </c>
      <c r="F3" s="7" t="s">
        <v>289</v>
      </c>
      <c r="G3" s="7" t="s">
        <v>280</v>
      </c>
      <c r="H3" s="7" t="s">
        <v>281</v>
      </c>
      <c r="I3" s="7" t="s">
        <v>291</v>
      </c>
      <c r="J3" s="122"/>
      <c r="K3" s="7" t="s">
        <v>277</v>
      </c>
      <c r="L3" s="7" t="s">
        <v>278</v>
      </c>
      <c r="M3" s="7" t="s">
        <v>279</v>
      </c>
      <c r="N3" s="7" t="s">
        <v>289</v>
      </c>
      <c r="O3" s="7" t="s">
        <v>280</v>
      </c>
      <c r="P3" s="7" t="s">
        <v>281</v>
      </c>
      <c r="Q3" s="7" t="s">
        <v>291</v>
      </c>
      <c r="R3" s="122"/>
      <c r="S3" s="7" t="s">
        <v>277</v>
      </c>
      <c r="T3" s="7" t="s">
        <v>278</v>
      </c>
      <c r="U3" s="7" t="s">
        <v>279</v>
      </c>
      <c r="V3" s="7" t="s">
        <v>289</v>
      </c>
      <c r="W3" s="7" t="s">
        <v>280</v>
      </c>
      <c r="X3" s="7" t="s">
        <v>281</v>
      </c>
      <c r="Y3" s="7" t="s">
        <v>291</v>
      </c>
      <c r="Z3" s="122"/>
      <c r="AA3" s="7" t="s">
        <v>277</v>
      </c>
      <c r="AB3" s="7" t="s">
        <v>278</v>
      </c>
      <c r="AC3" s="7" t="s">
        <v>279</v>
      </c>
      <c r="AD3" s="7" t="s">
        <v>289</v>
      </c>
      <c r="AE3" s="7" t="s">
        <v>280</v>
      </c>
      <c r="AF3" s="7" t="s">
        <v>281</v>
      </c>
      <c r="AG3" s="7" t="s">
        <v>291</v>
      </c>
      <c r="AH3" s="122"/>
      <c r="AI3" s="7" t="s">
        <v>277</v>
      </c>
      <c r="AJ3" s="7" t="s">
        <v>278</v>
      </c>
      <c r="AK3" s="7" t="s">
        <v>279</v>
      </c>
      <c r="AL3" s="7" t="s">
        <v>289</v>
      </c>
      <c r="AM3" s="7" t="s">
        <v>280</v>
      </c>
      <c r="AN3" s="7" t="s">
        <v>281</v>
      </c>
      <c r="AO3" s="7" t="s">
        <v>291</v>
      </c>
      <c r="AP3" s="122"/>
      <c r="AQ3" s="7" t="s">
        <v>277</v>
      </c>
      <c r="AR3" s="7" t="s">
        <v>278</v>
      </c>
      <c r="AS3" s="7" t="s">
        <v>279</v>
      </c>
      <c r="AT3" s="7" t="s">
        <v>289</v>
      </c>
      <c r="AU3" s="7" t="s">
        <v>280</v>
      </c>
      <c r="AV3" s="7" t="s">
        <v>281</v>
      </c>
      <c r="AW3" s="7" t="s">
        <v>291</v>
      </c>
      <c r="AX3" s="122"/>
      <c r="AY3" s="7" t="s">
        <v>277</v>
      </c>
      <c r="AZ3" s="7" t="s">
        <v>278</v>
      </c>
      <c r="BA3" s="7" t="s">
        <v>279</v>
      </c>
      <c r="BB3" s="7" t="s">
        <v>289</v>
      </c>
      <c r="BC3" s="7" t="s">
        <v>280</v>
      </c>
      <c r="BD3" s="7" t="s">
        <v>281</v>
      </c>
      <c r="BE3" s="7" t="s">
        <v>291</v>
      </c>
      <c r="BF3" s="122"/>
      <c r="BG3" s="7" t="s">
        <v>277</v>
      </c>
      <c r="BH3" s="7" t="s">
        <v>278</v>
      </c>
      <c r="BI3" s="7" t="s">
        <v>279</v>
      </c>
      <c r="BJ3" s="7" t="s">
        <v>289</v>
      </c>
      <c r="BK3" s="7" t="s">
        <v>280</v>
      </c>
      <c r="BL3" s="7" t="s">
        <v>281</v>
      </c>
      <c r="BM3" s="7" t="s">
        <v>291</v>
      </c>
      <c r="BN3" s="122"/>
      <c r="BO3" s="7" t="s">
        <v>277</v>
      </c>
      <c r="BP3" s="7" t="s">
        <v>278</v>
      </c>
      <c r="BQ3" s="7" t="s">
        <v>279</v>
      </c>
      <c r="BR3" s="7" t="s">
        <v>289</v>
      </c>
      <c r="BS3" s="7" t="s">
        <v>280</v>
      </c>
      <c r="BT3" s="7" t="s">
        <v>281</v>
      </c>
      <c r="BU3" s="7" t="s">
        <v>291</v>
      </c>
      <c r="BV3" s="122"/>
      <c r="BW3" s="7" t="s">
        <v>277</v>
      </c>
      <c r="BX3" s="7" t="s">
        <v>278</v>
      </c>
      <c r="BY3" s="7" t="s">
        <v>279</v>
      </c>
      <c r="BZ3" s="7" t="s">
        <v>289</v>
      </c>
      <c r="CA3" s="7" t="s">
        <v>280</v>
      </c>
      <c r="CB3" s="7" t="s">
        <v>281</v>
      </c>
      <c r="CC3" s="7" t="s">
        <v>291</v>
      </c>
      <c r="CD3" s="122"/>
      <c r="CE3" s="7" t="s">
        <v>277</v>
      </c>
      <c r="CF3" s="7" t="s">
        <v>278</v>
      </c>
      <c r="CG3" s="7" t="s">
        <v>279</v>
      </c>
      <c r="CH3" s="7" t="s">
        <v>289</v>
      </c>
      <c r="CI3" s="7" t="s">
        <v>280</v>
      </c>
      <c r="CJ3" s="7" t="s">
        <v>281</v>
      </c>
      <c r="CK3" s="7" t="s">
        <v>291</v>
      </c>
      <c r="CL3" s="122"/>
      <c r="CM3" s="7" t="s">
        <v>277</v>
      </c>
      <c r="CN3" s="7" t="s">
        <v>278</v>
      </c>
      <c r="CO3" s="7" t="s">
        <v>279</v>
      </c>
      <c r="CP3" s="7" t="s">
        <v>289</v>
      </c>
      <c r="CQ3" s="7" t="s">
        <v>280</v>
      </c>
      <c r="CR3" s="7" t="s">
        <v>281</v>
      </c>
      <c r="CS3" s="7" t="s">
        <v>291</v>
      </c>
      <c r="CT3" s="122"/>
      <c r="CU3" s="7" t="s">
        <v>277</v>
      </c>
      <c r="CV3" s="7" t="s">
        <v>278</v>
      </c>
      <c r="CW3" s="7" t="s">
        <v>279</v>
      </c>
      <c r="CX3" s="7" t="s">
        <v>289</v>
      </c>
      <c r="CY3" s="7" t="s">
        <v>280</v>
      </c>
      <c r="CZ3" s="7" t="s">
        <v>281</v>
      </c>
      <c r="DA3" s="7" t="s">
        <v>291</v>
      </c>
      <c r="DB3" s="122"/>
      <c r="DC3" s="7" t="s">
        <v>277</v>
      </c>
      <c r="DD3" s="7" t="s">
        <v>278</v>
      </c>
      <c r="DE3" s="7" t="s">
        <v>279</v>
      </c>
      <c r="DF3" s="7" t="s">
        <v>289</v>
      </c>
      <c r="DG3" s="7" t="s">
        <v>280</v>
      </c>
      <c r="DH3" s="7" t="s">
        <v>281</v>
      </c>
      <c r="DI3" s="7" t="s">
        <v>291</v>
      </c>
      <c r="DJ3" s="122"/>
      <c r="DK3" s="7" t="s">
        <v>277</v>
      </c>
      <c r="DL3" s="7" t="s">
        <v>278</v>
      </c>
      <c r="DM3" s="7" t="s">
        <v>279</v>
      </c>
      <c r="DN3" s="7" t="s">
        <v>289</v>
      </c>
      <c r="DO3" s="7" t="s">
        <v>280</v>
      </c>
      <c r="DP3" s="7" t="s">
        <v>281</v>
      </c>
      <c r="DQ3" s="7" t="s">
        <v>291</v>
      </c>
      <c r="DR3" s="122"/>
      <c r="DS3" s="7" t="s">
        <v>277</v>
      </c>
      <c r="DT3" s="7" t="s">
        <v>278</v>
      </c>
      <c r="DU3" s="7" t="s">
        <v>279</v>
      </c>
      <c r="DV3" s="7" t="s">
        <v>289</v>
      </c>
      <c r="DW3" s="7" t="s">
        <v>280</v>
      </c>
      <c r="DX3" s="7" t="s">
        <v>281</v>
      </c>
      <c r="DY3" s="7" t="s">
        <v>291</v>
      </c>
      <c r="DZ3" s="122"/>
      <c r="EA3" s="122"/>
      <c r="EB3" s="7" t="s">
        <v>277</v>
      </c>
      <c r="EC3" s="7" t="s">
        <v>278</v>
      </c>
      <c r="ED3" s="7" t="s">
        <v>279</v>
      </c>
      <c r="EE3" s="7" t="s">
        <v>289</v>
      </c>
      <c r="EF3" s="7" t="s">
        <v>280</v>
      </c>
      <c r="EG3" s="7" t="s">
        <v>281</v>
      </c>
      <c r="EH3" s="7" t="s">
        <v>291</v>
      </c>
      <c r="EI3" s="122"/>
      <c r="EJ3" s="7" t="s">
        <v>277</v>
      </c>
      <c r="EK3" s="7" t="s">
        <v>278</v>
      </c>
      <c r="EL3" s="7" t="s">
        <v>279</v>
      </c>
      <c r="EM3" s="7" t="s">
        <v>289</v>
      </c>
      <c r="EN3" s="7" t="s">
        <v>280</v>
      </c>
      <c r="EO3" s="7" t="s">
        <v>281</v>
      </c>
      <c r="EP3" s="7" t="s">
        <v>291</v>
      </c>
      <c r="EQ3" s="122"/>
      <c r="ER3" s="7" t="s">
        <v>277</v>
      </c>
      <c r="ES3" s="7" t="s">
        <v>278</v>
      </c>
      <c r="ET3" s="7" t="s">
        <v>279</v>
      </c>
      <c r="EU3" s="7" t="s">
        <v>289</v>
      </c>
      <c r="EV3" s="7" t="s">
        <v>280</v>
      </c>
      <c r="EW3" s="7" t="s">
        <v>281</v>
      </c>
      <c r="EX3" s="7" t="s">
        <v>291</v>
      </c>
      <c r="EY3" s="122"/>
      <c r="EZ3" s="7" t="s">
        <v>277</v>
      </c>
      <c r="FA3" s="7" t="s">
        <v>278</v>
      </c>
      <c r="FB3" s="7" t="s">
        <v>279</v>
      </c>
      <c r="FC3" s="7" t="s">
        <v>289</v>
      </c>
      <c r="FD3" s="7" t="s">
        <v>280</v>
      </c>
      <c r="FE3" s="7" t="s">
        <v>281</v>
      </c>
      <c r="FF3" s="7" t="s">
        <v>291</v>
      </c>
      <c r="FG3" s="122"/>
      <c r="FH3" s="7" t="s">
        <v>277</v>
      </c>
      <c r="FI3" s="7" t="s">
        <v>278</v>
      </c>
      <c r="FJ3" s="7" t="s">
        <v>279</v>
      </c>
      <c r="FK3" s="7" t="s">
        <v>289</v>
      </c>
      <c r="FL3" s="7" t="s">
        <v>280</v>
      </c>
      <c r="FM3" s="7" t="s">
        <v>281</v>
      </c>
      <c r="FN3" s="7" t="s">
        <v>291</v>
      </c>
      <c r="FO3" s="122"/>
      <c r="FP3" s="7" t="s">
        <v>277</v>
      </c>
      <c r="FQ3" s="7" t="s">
        <v>278</v>
      </c>
      <c r="FR3" s="7" t="s">
        <v>279</v>
      </c>
      <c r="FS3" s="7" t="s">
        <v>289</v>
      </c>
      <c r="FT3" s="7" t="s">
        <v>280</v>
      </c>
      <c r="FU3" s="7" t="s">
        <v>281</v>
      </c>
      <c r="FV3" s="7" t="s">
        <v>291</v>
      </c>
      <c r="FW3" s="122"/>
      <c r="FX3" s="7" t="s">
        <v>277</v>
      </c>
      <c r="FY3" s="7" t="s">
        <v>278</v>
      </c>
      <c r="FZ3" s="7" t="s">
        <v>279</v>
      </c>
      <c r="GA3" s="7" t="s">
        <v>289</v>
      </c>
      <c r="GB3" s="7" t="s">
        <v>280</v>
      </c>
      <c r="GC3" s="7" t="s">
        <v>281</v>
      </c>
      <c r="GD3" s="7" t="s">
        <v>291</v>
      </c>
      <c r="GE3" s="122"/>
      <c r="GF3" s="7" t="s">
        <v>277</v>
      </c>
      <c r="GG3" s="7" t="s">
        <v>278</v>
      </c>
      <c r="GH3" s="7" t="s">
        <v>279</v>
      </c>
      <c r="GI3" s="7" t="s">
        <v>289</v>
      </c>
      <c r="GJ3" s="7" t="s">
        <v>280</v>
      </c>
      <c r="GK3" s="7" t="s">
        <v>281</v>
      </c>
      <c r="GL3" s="7" t="s">
        <v>291</v>
      </c>
      <c r="GM3" s="122"/>
      <c r="GN3" s="7" t="s">
        <v>277</v>
      </c>
      <c r="GO3" s="7" t="s">
        <v>278</v>
      </c>
      <c r="GP3" s="7" t="s">
        <v>279</v>
      </c>
      <c r="GQ3" s="7" t="s">
        <v>289</v>
      </c>
      <c r="GR3" s="7" t="s">
        <v>280</v>
      </c>
      <c r="GS3" s="7" t="s">
        <v>281</v>
      </c>
      <c r="GT3" s="7" t="s">
        <v>291</v>
      </c>
      <c r="GU3" s="122"/>
      <c r="GV3" s="7" t="s">
        <v>277</v>
      </c>
      <c r="GW3" s="7" t="s">
        <v>278</v>
      </c>
      <c r="GX3" s="7" t="s">
        <v>279</v>
      </c>
      <c r="GY3" s="7" t="s">
        <v>289</v>
      </c>
      <c r="GZ3" s="7" t="s">
        <v>280</v>
      </c>
      <c r="HA3" s="7" t="s">
        <v>281</v>
      </c>
      <c r="HB3" s="7" t="s">
        <v>291</v>
      </c>
      <c r="HC3" s="122"/>
      <c r="HD3" s="7" t="s">
        <v>277</v>
      </c>
      <c r="HE3" s="7" t="s">
        <v>278</v>
      </c>
      <c r="HF3" s="7" t="s">
        <v>279</v>
      </c>
      <c r="HG3" s="7" t="s">
        <v>289</v>
      </c>
      <c r="HH3" s="7" t="s">
        <v>280</v>
      </c>
      <c r="HI3" s="7" t="s">
        <v>281</v>
      </c>
      <c r="HJ3" s="7" t="s">
        <v>291</v>
      </c>
      <c r="HK3" s="122"/>
      <c r="HL3" s="7" t="s">
        <v>277</v>
      </c>
      <c r="HM3" s="7" t="s">
        <v>278</v>
      </c>
      <c r="HN3" s="7" t="s">
        <v>279</v>
      </c>
      <c r="HO3" s="7" t="s">
        <v>289</v>
      </c>
      <c r="HP3" s="7" t="s">
        <v>280</v>
      </c>
      <c r="HQ3" s="7" t="s">
        <v>281</v>
      </c>
      <c r="HR3" s="7" t="s">
        <v>291</v>
      </c>
      <c r="HS3" s="122"/>
      <c r="HT3" s="7" t="s">
        <v>277</v>
      </c>
      <c r="HU3" s="7" t="s">
        <v>278</v>
      </c>
      <c r="HV3" s="7" t="s">
        <v>279</v>
      </c>
      <c r="HW3" s="7" t="s">
        <v>289</v>
      </c>
      <c r="HX3" s="7" t="s">
        <v>280</v>
      </c>
      <c r="HY3" s="7" t="s">
        <v>281</v>
      </c>
      <c r="HZ3" s="7" t="s">
        <v>291</v>
      </c>
      <c r="IA3" s="122"/>
      <c r="IB3" s="7" t="s">
        <v>277</v>
      </c>
      <c r="IC3" s="7" t="s">
        <v>278</v>
      </c>
      <c r="ID3" s="7" t="s">
        <v>279</v>
      </c>
      <c r="IE3" s="7" t="s">
        <v>289</v>
      </c>
      <c r="IF3" s="7" t="s">
        <v>280</v>
      </c>
      <c r="IG3" s="7" t="s">
        <v>281</v>
      </c>
      <c r="IH3" s="7" t="s">
        <v>291</v>
      </c>
    </row>
    <row r="4" spans="2:242" ht="13.9" customHeight="1">
      <c r="B4" s="15" t="s">
        <v>210</v>
      </c>
      <c r="C4" s="7" t="s">
        <v>331</v>
      </c>
      <c r="D4" s="7" t="s">
        <v>331</v>
      </c>
      <c r="E4" s="7" t="s">
        <v>331</v>
      </c>
      <c r="F4" s="7" t="s">
        <v>331</v>
      </c>
      <c r="G4" s="7" t="s">
        <v>331</v>
      </c>
      <c r="H4" s="7" t="s">
        <v>331</v>
      </c>
      <c r="I4" s="7" t="s">
        <v>331</v>
      </c>
      <c r="J4" s="122"/>
      <c r="K4" s="7" t="s">
        <v>332</v>
      </c>
      <c r="L4" s="7" t="s">
        <v>332</v>
      </c>
      <c r="M4" s="7" t="s">
        <v>332</v>
      </c>
      <c r="N4" s="7" t="s">
        <v>332</v>
      </c>
      <c r="O4" s="7" t="s">
        <v>332</v>
      </c>
      <c r="P4" s="7" t="s">
        <v>332</v>
      </c>
      <c r="Q4" s="7" t="s">
        <v>332</v>
      </c>
      <c r="R4" s="122"/>
      <c r="S4" s="7" t="s">
        <v>334</v>
      </c>
      <c r="T4" s="7" t="s">
        <v>334</v>
      </c>
      <c r="U4" s="7" t="s">
        <v>334</v>
      </c>
      <c r="V4" s="7" t="s">
        <v>334</v>
      </c>
      <c r="W4" s="7" t="s">
        <v>334</v>
      </c>
      <c r="X4" s="7" t="s">
        <v>334</v>
      </c>
      <c r="Y4" s="7" t="s">
        <v>334</v>
      </c>
      <c r="Z4" s="122"/>
      <c r="AA4" s="7" t="s">
        <v>339</v>
      </c>
      <c r="AB4" s="7" t="s">
        <v>339</v>
      </c>
      <c r="AC4" s="7" t="s">
        <v>339</v>
      </c>
      <c r="AD4" s="7" t="s">
        <v>339</v>
      </c>
      <c r="AE4" s="7" t="s">
        <v>339</v>
      </c>
      <c r="AF4" s="7" t="s">
        <v>339</v>
      </c>
      <c r="AG4" s="7" t="s">
        <v>339</v>
      </c>
      <c r="AH4" s="122"/>
      <c r="AI4" s="7" t="s">
        <v>335</v>
      </c>
      <c r="AJ4" s="7" t="s">
        <v>335</v>
      </c>
      <c r="AK4" s="7" t="s">
        <v>335</v>
      </c>
      <c r="AL4" s="7" t="s">
        <v>335</v>
      </c>
      <c r="AM4" s="7" t="s">
        <v>335</v>
      </c>
      <c r="AN4" s="7" t="s">
        <v>335</v>
      </c>
      <c r="AO4" s="7" t="s">
        <v>335</v>
      </c>
      <c r="AP4" s="122"/>
      <c r="AQ4" s="7" t="s">
        <v>330</v>
      </c>
      <c r="AR4" s="7" t="s">
        <v>330</v>
      </c>
      <c r="AS4" s="7" t="s">
        <v>330</v>
      </c>
      <c r="AT4" s="7" t="s">
        <v>330</v>
      </c>
      <c r="AU4" s="7" t="s">
        <v>330</v>
      </c>
      <c r="AV4" s="7" t="s">
        <v>330</v>
      </c>
      <c r="AW4" s="7" t="s">
        <v>330</v>
      </c>
      <c r="AX4" s="122"/>
      <c r="AY4" s="7" t="s">
        <v>337</v>
      </c>
      <c r="AZ4" s="7" t="s">
        <v>337</v>
      </c>
      <c r="BA4" s="7" t="s">
        <v>337</v>
      </c>
      <c r="BB4" s="7" t="s">
        <v>337</v>
      </c>
      <c r="BC4" s="7" t="s">
        <v>337</v>
      </c>
      <c r="BD4" s="7" t="s">
        <v>337</v>
      </c>
      <c r="BE4" s="7" t="s">
        <v>337</v>
      </c>
      <c r="BF4" s="122"/>
      <c r="BG4" s="7" t="s">
        <v>338</v>
      </c>
      <c r="BH4" s="7" t="s">
        <v>338</v>
      </c>
      <c r="BI4" s="7" t="s">
        <v>338</v>
      </c>
      <c r="BJ4" s="7" t="s">
        <v>338</v>
      </c>
      <c r="BK4" s="7" t="s">
        <v>338</v>
      </c>
      <c r="BL4" s="7" t="s">
        <v>338</v>
      </c>
      <c r="BM4" s="7" t="s">
        <v>338</v>
      </c>
      <c r="BN4" s="122"/>
      <c r="BO4" s="7" t="s">
        <v>336</v>
      </c>
      <c r="BP4" s="7" t="s">
        <v>336</v>
      </c>
      <c r="BQ4" s="7" t="s">
        <v>336</v>
      </c>
      <c r="BR4" s="7" t="s">
        <v>336</v>
      </c>
      <c r="BS4" s="7" t="s">
        <v>336</v>
      </c>
      <c r="BT4" s="7" t="s">
        <v>336</v>
      </c>
      <c r="BU4" s="7" t="s">
        <v>336</v>
      </c>
      <c r="BV4" s="122"/>
      <c r="BW4" s="7" t="s">
        <v>290</v>
      </c>
      <c r="BX4" s="7" t="s">
        <v>290</v>
      </c>
      <c r="BY4" s="7" t="s">
        <v>290</v>
      </c>
      <c r="BZ4" s="7" t="s">
        <v>290</v>
      </c>
      <c r="CA4" s="7" t="s">
        <v>290</v>
      </c>
      <c r="CB4" s="7" t="s">
        <v>290</v>
      </c>
      <c r="CC4" s="7" t="s">
        <v>290</v>
      </c>
      <c r="CD4" s="122"/>
      <c r="CE4" s="7" t="s">
        <v>293</v>
      </c>
      <c r="CF4" s="7" t="s">
        <v>293</v>
      </c>
      <c r="CG4" s="7" t="s">
        <v>293</v>
      </c>
      <c r="CH4" s="7" t="s">
        <v>293</v>
      </c>
      <c r="CI4" s="7" t="s">
        <v>293</v>
      </c>
      <c r="CJ4" s="7" t="s">
        <v>293</v>
      </c>
      <c r="CK4" s="7" t="s">
        <v>293</v>
      </c>
      <c r="CL4" s="122"/>
      <c r="CM4" s="7" t="s">
        <v>311</v>
      </c>
      <c r="CN4" s="7" t="s">
        <v>311</v>
      </c>
      <c r="CO4" s="7" t="s">
        <v>311</v>
      </c>
      <c r="CP4" s="7" t="s">
        <v>311</v>
      </c>
      <c r="CQ4" s="7" t="s">
        <v>311</v>
      </c>
      <c r="CR4" s="7" t="s">
        <v>311</v>
      </c>
      <c r="CS4" s="7" t="s">
        <v>311</v>
      </c>
      <c r="CT4" s="122"/>
      <c r="CU4" s="7" t="s">
        <v>314</v>
      </c>
      <c r="CV4" s="7" t="s">
        <v>314</v>
      </c>
      <c r="CW4" s="7" t="s">
        <v>314</v>
      </c>
      <c r="CX4" s="7" t="s">
        <v>314</v>
      </c>
      <c r="CY4" s="7" t="s">
        <v>314</v>
      </c>
      <c r="CZ4" s="7" t="s">
        <v>314</v>
      </c>
      <c r="DA4" s="7" t="s">
        <v>314</v>
      </c>
      <c r="DB4" s="122"/>
      <c r="DC4" s="7" t="s">
        <v>317</v>
      </c>
      <c r="DD4" s="7" t="s">
        <v>317</v>
      </c>
      <c r="DE4" s="7" t="s">
        <v>317</v>
      </c>
      <c r="DF4" s="7" t="s">
        <v>317</v>
      </c>
      <c r="DG4" s="7" t="s">
        <v>317</v>
      </c>
      <c r="DH4" s="7" t="s">
        <v>317</v>
      </c>
      <c r="DI4" s="7" t="s">
        <v>317</v>
      </c>
      <c r="DJ4" s="122"/>
      <c r="DK4" s="7" t="s">
        <v>340</v>
      </c>
      <c r="DL4" s="7" t="s">
        <v>340</v>
      </c>
      <c r="DM4" s="7" t="s">
        <v>340</v>
      </c>
      <c r="DN4" s="7" t="s">
        <v>340</v>
      </c>
      <c r="DO4" s="7" t="s">
        <v>340</v>
      </c>
      <c r="DP4" s="7" t="s">
        <v>340</v>
      </c>
      <c r="DQ4" s="7" t="s">
        <v>340</v>
      </c>
      <c r="DR4" s="122"/>
      <c r="DS4" s="7" t="s">
        <v>343</v>
      </c>
      <c r="DT4" s="7" t="s">
        <v>343</v>
      </c>
      <c r="DU4" s="7" t="s">
        <v>343</v>
      </c>
      <c r="DV4" s="7" t="s">
        <v>343</v>
      </c>
      <c r="DW4" s="7" t="s">
        <v>343</v>
      </c>
      <c r="DX4" s="7" t="s">
        <v>343</v>
      </c>
      <c r="DY4" s="7" t="s">
        <v>343</v>
      </c>
      <c r="DZ4" s="122"/>
      <c r="EA4" s="122"/>
      <c r="EB4" s="7" t="s">
        <v>345</v>
      </c>
      <c r="EC4" s="7" t="s">
        <v>345</v>
      </c>
      <c r="ED4" s="7" t="s">
        <v>345</v>
      </c>
      <c r="EE4" s="7" t="s">
        <v>345</v>
      </c>
      <c r="EF4" s="7" t="s">
        <v>345</v>
      </c>
      <c r="EG4" s="7" t="s">
        <v>345</v>
      </c>
      <c r="EH4" s="7" t="s">
        <v>345</v>
      </c>
      <c r="EI4" s="122"/>
      <c r="EJ4" s="7" t="s">
        <v>356</v>
      </c>
      <c r="EK4" s="7" t="s">
        <v>356</v>
      </c>
      <c r="EL4" s="7" t="s">
        <v>356</v>
      </c>
      <c r="EM4" s="7" t="s">
        <v>356</v>
      </c>
      <c r="EN4" s="7" t="s">
        <v>356</v>
      </c>
      <c r="EO4" s="7" t="s">
        <v>356</v>
      </c>
      <c r="EP4" s="7" t="s">
        <v>356</v>
      </c>
      <c r="EQ4" s="122"/>
      <c r="ER4" s="7" t="s">
        <v>380</v>
      </c>
      <c r="ES4" s="7" t="s">
        <v>380</v>
      </c>
      <c r="ET4" s="7" t="s">
        <v>380</v>
      </c>
      <c r="EU4" s="7" t="s">
        <v>380</v>
      </c>
      <c r="EV4" s="7" t="s">
        <v>380</v>
      </c>
      <c r="EW4" s="7" t="s">
        <v>380</v>
      </c>
      <c r="EX4" s="7" t="s">
        <v>380</v>
      </c>
      <c r="EY4" s="122"/>
      <c r="EZ4" s="7" t="s">
        <v>381</v>
      </c>
      <c r="FA4" s="7" t="s">
        <v>381</v>
      </c>
      <c r="FB4" s="7" t="s">
        <v>381</v>
      </c>
      <c r="FC4" s="7" t="s">
        <v>381</v>
      </c>
      <c r="FD4" s="7" t="s">
        <v>381</v>
      </c>
      <c r="FE4" s="7" t="s">
        <v>381</v>
      </c>
      <c r="FF4" s="7" t="s">
        <v>381</v>
      </c>
      <c r="FG4" s="122"/>
      <c r="FH4" s="7" t="s">
        <v>394</v>
      </c>
      <c r="FI4" s="7" t="s">
        <v>394</v>
      </c>
      <c r="FJ4" s="7" t="s">
        <v>394</v>
      </c>
      <c r="FK4" s="7" t="s">
        <v>394</v>
      </c>
      <c r="FL4" s="7" t="s">
        <v>394</v>
      </c>
      <c r="FM4" s="7" t="s">
        <v>394</v>
      </c>
      <c r="FN4" s="7" t="s">
        <v>394</v>
      </c>
      <c r="FO4" s="122"/>
      <c r="FP4" s="7" t="s">
        <v>399</v>
      </c>
      <c r="FQ4" s="7" t="s">
        <v>399</v>
      </c>
      <c r="FR4" s="7" t="s">
        <v>399</v>
      </c>
      <c r="FS4" s="7" t="s">
        <v>399</v>
      </c>
      <c r="FT4" s="7" t="s">
        <v>399</v>
      </c>
      <c r="FU4" s="7" t="s">
        <v>399</v>
      </c>
      <c r="FV4" s="7" t="s">
        <v>399</v>
      </c>
      <c r="FW4" s="122"/>
      <c r="FX4" s="7" t="s">
        <v>416</v>
      </c>
      <c r="FY4" s="7" t="s">
        <v>416</v>
      </c>
      <c r="FZ4" s="7" t="s">
        <v>416</v>
      </c>
      <c r="GA4" s="7" t="s">
        <v>416</v>
      </c>
      <c r="GB4" s="7" t="s">
        <v>416</v>
      </c>
      <c r="GC4" s="7" t="s">
        <v>416</v>
      </c>
      <c r="GD4" s="7" t="s">
        <v>416</v>
      </c>
      <c r="GE4" s="122"/>
      <c r="GF4" s="7" t="s">
        <v>433</v>
      </c>
      <c r="GG4" s="7" t="s">
        <v>433</v>
      </c>
      <c r="GH4" s="7" t="s">
        <v>433</v>
      </c>
      <c r="GI4" s="7" t="s">
        <v>433</v>
      </c>
      <c r="GJ4" s="7" t="s">
        <v>433</v>
      </c>
      <c r="GK4" s="7" t="s">
        <v>433</v>
      </c>
      <c r="GL4" s="7" t="s">
        <v>433</v>
      </c>
      <c r="GM4" s="122"/>
      <c r="GN4" s="7" t="s">
        <v>437</v>
      </c>
      <c r="GO4" s="7" t="s">
        <v>437</v>
      </c>
      <c r="GP4" s="7" t="s">
        <v>437</v>
      </c>
      <c r="GQ4" s="7" t="s">
        <v>437</v>
      </c>
      <c r="GR4" s="7" t="s">
        <v>437</v>
      </c>
      <c r="GS4" s="7" t="s">
        <v>437</v>
      </c>
      <c r="GT4" s="7" t="s">
        <v>437</v>
      </c>
      <c r="GU4" s="122"/>
      <c r="GV4" s="7" t="s">
        <v>442</v>
      </c>
      <c r="GW4" s="7" t="s">
        <v>442</v>
      </c>
      <c r="GX4" s="7" t="s">
        <v>442</v>
      </c>
      <c r="GY4" s="7" t="s">
        <v>442</v>
      </c>
      <c r="GZ4" s="7" t="s">
        <v>442</v>
      </c>
      <c r="HA4" s="7" t="s">
        <v>442</v>
      </c>
      <c r="HB4" s="7" t="s">
        <v>442</v>
      </c>
      <c r="HC4" s="122"/>
      <c r="HD4" s="7" t="s">
        <v>459</v>
      </c>
      <c r="HE4" s="7" t="s">
        <v>459</v>
      </c>
      <c r="HF4" s="7" t="s">
        <v>459</v>
      </c>
      <c r="HG4" s="7" t="s">
        <v>459</v>
      </c>
      <c r="HH4" s="7" t="s">
        <v>459</v>
      </c>
      <c r="HI4" s="7" t="s">
        <v>459</v>
      </c>
      <c r="HJ4" s="7" t="s">
        <v>459</v>
      </c>
      <c r="HK4" s="122"/>
      <c r="HL4" s="7" t="s">
        <v>465</v>
      </c>
      <c r="HM4" s="7" t="s">
        <v>465</v>
      </c>
      <c r="HN4" s="7" t="s">
        <v>465</v>
      </c>
      <c r="HO4" s="7" t="s">
        <v>465</v>
      </c>
      <c r="HP4" s="7" t="s">
        <v>465</v>
      </c>
      <c r="HQ4" s="7" t="s">
        <v>465</v>
      </c>
      <c r="HR4" s="7" t="s">
        <v>465</v>
      </c>
      <c r="HS4" s="122"/>
      <c r="HT4" s="7" t="s">
        <v>473</v>
      </c>
      <c r="HU4" s="7" t="s">
        <v>473</v>
      </c>
      <c r="HV4" s="7" t="s">
        <v>473</v>
      </c>
      <c r="HW4" s="7" t="s">
        <v>473</v>
      </c>
      <c r="HX4" s="7" t="s">
        <v>473</v>
      </c>
      <c r="HY4" s="7" t="s">
        <v>473</v>
      </c>
      <c r="HZ4" s="7" t="s">
        <v>473</v>
      </c>
      <c r="IA4" s="122"/>
      <c r="IB4" s="7" t="s">
        <v>474</v>
      </c>
      <c r="IC4" s="7" t="s">
        <v>474</v>
      </c>
      <c r="ID4" s="7" t="s">
        <v>474</v>
      </c>
      <c r="IE4" s="7" t="s">
        <v>474</v>
      </c>
      <c r="IF4" s="7" t="s">
        <v>474</v>
      </c>
      <c r="IG4" s="7" t="s">
        <v>474</v>
      </c>
      <c r="IH4" s="7" t="s">
        <v>474</v>
      </c>
    </row>
    <row r="5" spans="2:242" ht="4.1500000000000004" customHeight="1">
      <c r="B5" s="180"/>
      <c r="C5" s="181"/>
      <c r="D5" s="181"/>
      <c r="E5" s="181"/>
      <c r="F5" s="181"/>
      <c r="G5" s="181"/>
      <c r="H5" s="181"/>
      <c r="I5" s="181"/>
      <c r="J5" s="182"/>
      <c r="K5" s="181"/>
      <c r="L5" s="181"/>
      <c r="M5" s="181"/>
      <c r="N5" s="181"/>
      <c r="O5" s="181"/>
      <c r="P5" s="181"/>
      <c r="Q5" s="181"/>
      <c r="R5" s="182"/>
      <c r="S5" s="181"/>
      <c r="T5" s="181"/>
      <c r="U5" s="181"/>
      <c r="V5" s="181"/>
      <c r="W5" s="181"/>
      <c r="X5" s="181"/>
      <c r="Y5" s="181"/>
      <c r="Z5" s="182"/>
      <c r="AA5" s="181"/>
      <c r="AB5" s="181"/>
      <c r="AC5" s="181"/>
      <c r="AD5" s="181"/>
      <c r="AE5" s="181"/>
      <c r="AF5" s="181"/>
      <c r="AG5" s="181"/>
      <c r="AH5" s="182"/>
      <c r="AI5" s="181"/>
      <c r="AJ5" s="181"/>
      <c r="AK5" s="181"/>
      <c r="AL5" s="181"/>
      <c r="AM5" s="181"/>
      <c r="AN5" s="181"/>
      <c r="AO5" s="181"/>
      <c r="AP5" s="182"/>
      <c r="AQ5" s="181"/>
      <c r="AR5" s="181"/>
      <c r="AS5" s="181"/>
      <c r="AT5" s="181"/>
      <c r="AU5" s="181"/>
      <c r="AV5" s="181"/>
      <c r="AW5" s="181"/>
      <c r="AX5" s="182"/>
      <c r="AY5" s="181"/>
      <c r="AZ5" s="181"/>
      <c r="BA5" s="181"/>
      <c r="BB5" s="181"/>
      <c r="BC5" s="181"/>
      <c r="BD5" s="181"/>
      <c r="BE5" s="181"/>
      <c r="BF5" s="182"/>
      <c r="BG5" s="181"/>
      <c r="BH5" s="181"/>
      <c r="BI5" s="181"/>
      <c r="BJ5" s="181"/>
      <c r="BK5" s="181"/>
      <c r="BL5" s="181"/>
      <c r="BM5" s="181"/>
      <c r="BN5" s="182"/>
      <c r="BO5" s="181"/>
      <c r="BP5" s="181"/>
      <c r="BQ5" s="181"/>
      <c r="BR5" s="181"/>
      <c r="BS5" s="181"/>
      <c r="BT5" s="181"/>
      <c r="BU5" s="181"/>
      <c r="BV5" s="182"/>
      <c r="BW5" s="181"/>
      <c r="BX5" s="181"/>
      <c r="BY5" s="181"/>
      <c r="BZ5" s="181"/>
      <c r="CA5" s="181"/>
      <c r="CB5" s="181"/>
      <c r="CC5" s="181"/>
      <c r="CD5" s="182"/>
      <c r="CE5" s="181"/>
      <c r="CF5" s="181"/>
      <c r="CG5" s="181"/>
      <c r="CH5" s="181"/>
      <c r="CI5" s="181"/>
      <c r="CJ5" s="181"/>
      <c r="CK5" s="181"/>
      <c r="CL5" s="182"/>
      <c r="CM5" s="181"/>
      <c r="CN5" s="181"/>
      <c r="CO5" s="181"/>
      <c r="CP5" s="181"/>
      <c r="CQ5" s="181"/>
      <c r="CR5" s="181"/>
      <c r="CS5" s="181"/>
      <c r="CT5" s="182"/>
      <c r="CU5" s="181"/>
      <c r="CV5" s="181"/>
      <c r="CW5" s="181"/>
      <c r="CX5" s="181"/>
      <c r="CY5" s="181"/>
      <c r="CZ5" s="181"/>
      <c r="DA5" s="181"/>
      <c r="DB5" s="182"/>
      <c r="DC5" s="181"/>
      <c r="DD5" s="181"/>
      <c r="DE5" s="181"/>
      <c r="DF5" s="181"/>
      <c r="DG5" s="181"/>
      <c r="DH5" s="181"/>
      <c r="DI5" s="181"/>
      <c r="DJ5" s="182"/>
      <c r="DK5" s="181"/>
      <c r="DL5" s="181"/>
      <c r="DM5" s="181"/>
      <c r="DN5" s="181"/>
      <c r="DO5" s="181"/>
      <c r="DP5" s="181"/>
      <c r="DQ5" s="181"/>
      <c r="DR5" s="182"/>
      <c r="DS5" s="181"/>
      <c r="DT5" s="181"/>
      <c r="DU5" s="181"/>
      <c r="DV5" s="181"/>
      <c r="DW5" s="181"/>
      <c r="DX5" s="181"/>
      <c r="DY5" s="181"/>
      <c r="DZ5" s="182"/>
      <c r="EA5" s="182"/>
      <c r="EB5" s="181"/>
      <c r="EC5" s="181"/>
      <c r="ED5" s="181"/>
      <c r="EE5" s="181"/>
      <c r="EF5" s="181"/>
      <c r="EG5" s="181"/>
      <c r="EH5" s="181"/>
      <c r="EI5" s="182"/>
      <c r="EJ5" s="181"/>
      <c r="EK5" s="181"/>
      <c r="EL5" s="181"/>
      <c r="EM5" s="181"/>
      <c r="EN5" s="181"/>
      <c r="EO5" s="181"/>
      <c r="EP5" s="181"/>
      <c r="EQ5" s="182"/>
      <c r="ER5" s="181"/>
      <c r="ES5" s="181"/>
      <c r="ET5" s="181"/>
      <c r="EU5" s="181"/>
      <c r="EV5" s="181"/>
      <c r="EW5" s="181"/>
      <c r="EX5" s="181"/>
      <c r="EY5" s="182"/>
      <c r="EZ5" s="181"/>
      <c r="FA5" s="181"/>
      <c r="FB5" s="181"/>
      <c r="FC5" s="181"/>
      <c r="FD5" s="181"/>
      <c r="FE5" s="181"/>
      <c r="FF5" s="181"/>
      <c r="FG5" s="182"/>
      <c r="FH5" s="181"/>
      <c r="FI5" s="181"/>
      <c r="FJ5" s="181"/>
      <c r="FK5" s="181"/>
      <c r="FL5" s="181"/>
      <c r="FM5" s="181"/>
      <c r="FN5" s="181"/>
      <c r="FO5" s="182"/>
      <c r="FP5" s="181"/>
      <c r="FQ5" s="181"/>
      <c r="FR5" s="181"/>
      <c r="FS5" s="181"/>
      <c r="FT5" s="181"/>
      <c r="FU5" s="181"/>
      <c r="FV5" s="181"/>
      <c r="FW5" s="182"/>
      <c r="FX5" s="181"/>
      <c r="FY5" s="181"/>
      <c r="FZ5" s="181"/>
      <c r="GA5" s="181"/>
      <c r="GB5" s="181"/>
      <c r="GC5" s="181"/>
      <c r="GD5" s="181"/>
      <c r="GE5" s="182"/>
      <c r="GF5" s="181"/>
      <c r="GG5" s="181"/>
      <c r="GH5" s="181"/>
      <c r="GI5" s="181"/>
      <c r="GJ5" s="181"/>
      <c r="GK5" s="181"/>
      <c r="GL5" s="181"/>
      <c r="GM5" s="182"/>
      <c r="GN5" s="181"/>
      <c r="GO5" s="181"/>
      <c r="GP5" s="181"/>
      <c r="GQ5" s="181"/>
      <c r="GR5" s="181"/>
      <c r="GS5" s="181"/>
      <c r="GT5" s="181"/>
      <c r="GU5" s="182"/>
      <c r="GV5" s="181"/>
      <c r="GW5" s="181"/>
      <c r="GX5" s="181"/>
      <c r="GY5" s="181"/>
      <c r="GZ5" s="181"/>
      <c r="HA5" s="181"/>
      <c r="HB5" s="181"/>
      <c r="HC5" s="182"/>
      <c r="HD5" s="181"/>
      <c r="HE5" s="181"/>
      <c r="HF5" s="181"/>
      <c r="HG5" s="181"/>
      <c r="HH5" s="181"/>
      <c r="HI5" s="181"/>
      <c r="HJ5" s="181"/>
      <c r="HK5" s="182"/>
      <c r="HL5" s="181"/>
      <c r="HM5" s="181"/>
      <c r="HN5" s="181"/>
      <c r="HO5" s="181"/>
      <c r="HP5" s="181"/>
      <c r="HQ5" s="181"/>
      <c r="HR5" s="181"/>
      <c r="HS5" s="182"/>
      <c r="HT5" s="181"/>
      <c r="HU5" s="181"/>
      <c r="HV5" s="181"/>
      <c r="HW5" s="181"/>
      <c r="HX5" s="181"/>
      <c r="HY5" s="181"/>
      <c r="HZ5" s="181"/>
      <c r="IA5" s="182"/>
      <c r="IB5" s="181"/>
      <c r="IC5" s="181"/>
      <c r="ID5" s="181"/>
      <c r="IE5" s="181"/>
      <c r="IF5" s="181"/>
      <c r="IG5" s="181"/>
      <c r="IH5" s="181"/>
    </row>
    <row r="6" spans="2:242" ht="25.35" customHeight="1">
      <c r="B6" s="177" t="s">
        <v>276</v>
      </c>
      <c r="C6" s="183"/>
      <c r="D6" s="183"/>
      <c r="E6" s="183"/>
      <c r="F6" s="183"/>
      <c r="G6" s="183"/>
      <c r="H6" s="183"/>
      <c r="I6" s="183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2"/>
      <c r="FF6" s="182"/>
      <c r="FG6" s="182"/>
      <c r="FH6" s="182"/>
      <c r="FI6" s="182"/>
      <c r="FJ6" s="182"/>
      <c r="FK6" s="182"/>
      <c r="FL6" s="182"/>
      <c r="FM6" s="182"/>
      <c r="FN6" s="182"/>
      <c r="FO6" s="182"/>
      <c r="FP6" s="182"/>
      <c r="FQ6" s="182"/>
      <c r="FR6" s="182"/>
      <c r="FS6" s="182"/>
      <c r="FT6" s="182"/>
      <c r="FU6" s="182"/>
      <c r="FV6" s="182"/>
      <c r="FW6" s="182"/>
      <c r="FX6" s="182"/>
      <c r="FY6" s="182"/>
      <c r="FZ6" s="182"/>
      <c r="GA6" s="182"/>
      <c r="GB6" s="182"/>
      <c r="GC6" s="182"/>
      <c r="GD6" s="182"/>
      <c r="GE6" s="182"/>
      <c r="GF6" s="182"/>
      <c r="GG6" s="182"/>
      <c r="GH6" s="182"/>
      <c r="GI6" s="182"/>
      <c r="GJ6" s="182"/>
      <c r="GK6" s="182"/>
      <c r="GL6" s="182"/>
      <c r="GM6" s="182"/>
      <c r="GN6" s="182"/>
      <c r="GO6" s="182"/>
      <c r="GP6" s="182"/>
      <c r="GQ6" s="182"/>
      <c r="GR6" s="182"/>
      <c r="GS6" s="182"/>
      <c r="GT6" s="182"/>
      <c r="GU6" s="182"/>
      <c r="GV6" s="182"/>
      <c r="GW6" s="182"/>
      <c r="GX6" s="182"/>
      <c r="GY6" s="182"/>
      <c r="GZ6" s="182"/>
      <c r="HA6" s="182"/>
      <c r="HB6" s="182"/>
      <c r="HC6" s="182"/>
      <c r="HD6" s="182"/>
      <c r="HE6" s="182"/>
      <c r="HF6" s="182"/>
      <c r="HG6" s="182"/>
      <c r="HH6" s="182"/>
      <c r="HI6" s="182"/>
      <c r="HJ6" s="182"/>
      <c r="HK6" s="182"/>
      <c r="HL6" s="182"/>
      <c r="HM6" s="182"/>
      <c r="HN6" s="182"/>
      <c r="HO6" s="182"/>
      <c r="HP6" s="182"/>
      <c r="HQ6" s="182"/>
      <c r="HR6" s="182"/>
      <c r="HS6" s="182"/>
      <c r="HT6" s="182"/>
      <c r="HU6" s="182"/>
      <c r="HV6" s="182"/>
      <c r="HW6" s="182"/>
      <c r="HX6" s="182"/>
      <c r="HY6" s="182"/>
      <c r="HZ6" s="182"/>
      <c r="IA6" s="182"/>
      <c r="IB6" s="182"/>
      <c r="IC6" s="182"/>
      <c r="ID6" s="182"/>
      <c r="IE6" s="182"/>
      <c r="IF6" s="182"/>
      <c r="IG6" s="182"/>
      <c r="IH6" s="182"/>
    </row>
    <row r="7" spans="2:242" ht="13.9" customHeight="1">
      <c r="B7" s="2" t="s">
        <v>282</v>
      </c>
      <c r="C7" s="128">
        <v>3953</v>
      </c>
      <c r="D7" s="128">
        <v>2500</v>
      </c>
      <c r="E7" s="128">
        <v>1466</v>
      </c>
      <c r="F7" s="128">
        <v>1650</v>
      </c>
      <c r="G7" s="128">
        <v>220</v>
      </c>
      <c r="H7" s="129">
        <v>0</v>
      </c>
      <c r="I7" s="130">
        <f>SUM(C7:H7)</f>
        <v>9789</v>
      </c>
      <c r="J7" s="131"/>
      <c r="K7" s="128">
        <v>3883</v>
      </c>
      <c r="L7" s="128">
        <v>2401</v>
      </c>
      <c r="M7" s="128">
        <v>1338</v>
      </c>
      <c r="N7" s="128">
        <v>1473</v>
      </c>
      <c r="O7" s="128">
        <v>226</v>
      </c>
      <c r="P7" s="129">
        <v>0</v>
      </c>
      <c r="Q7" s="130">
        <f>SUM(K7:P7)</f>
        <v>9321</v>
      </c>
      <c r="R7" s="131"/>
      <c r="S7" s="128">
        <v>963</v>
      </c>
      <c r="T7" s="128">
        <v>569</v>
      </c>
      <c r="U7" s="128">
        <v>323</v>
      </c>
      <c r="V7" s="128">
        <v>343</v>
      </c>
      <c r="W7" s="128">
        <v>58</v>
      </c>
      <c r="X7" s="129">
        <v>0</v>
      </c>
      <c r="Y7" s="130">
        <f>SUM(S7:X7)</f>
        <v>2256</v>
      </c>
      <c r="Z7" s="131"/>
      <c r="AA7" s="128">
        <v>940</v>
      </c>
      <c r="AB7" s="128">
        <v>560</v>
      </c>
      <c r="AC7" s="128">
        <v>330</v>
      </c>
      <c r="AD7" s="128">
        <v>337</v>
      </c>
      <c r="AE7" s="128">
        <v>57</v>
      </c>
      <c r="AF7" s="129">
        <v>0</v>
      </c>
      <c r="AG7" s="130">
        <f>SUM(AA7:AF7)</f>
        <v>2224</v>
      </c>
      <c r="AH7" s="131"/>
      <c r="AI7" s="128">
        <v>944</v>
      </c>
      <c r="AJ7" s="128">
        <v>595</v>
      </c>
      <c r="AK7" s="128">
        <v>316</v>
      </c>
      <c r="AL7" s="128">
        <v>333</v>
      </c>
      <c r="AM7" s="128">
        <v>59</v>
      </c>
      <c r="AN7" s="129">
        <v>0</v>
      </c>
      <c r="AO7" s="130">
        <f>SUM(AI7:AN7)</f>
        <v>2247</v>
      </c>
      <c r="AP7" s="131"/>
      <c r="AQ7" s="128">
        <v>3757</v>
      </c>
      <c r="AR7" s="128">
        <v>2316</v>
      </c>
      <c r="AS7" s="128">
        <v>1283</v>
      </c>
      <c r="AT7" s="128">
        <v>1344</v>
      </c>
      <c r="AU7" s="128">
        <v>229</v>
      </c>
      <c r="AV7" s="129">
        <v>0</v>
      </c>
      <c r="AW7" s="130">
        <f>SUM(AQ7:AV7)</f>
        <v>8929</v>
      </c>
      <c r="AX7" s="131"/>
      <c r="AY7" s="128">
        <v>935</v>
      </c>
      <c r="AZ7" s="128">
        <v>554</v>
      </c>
      <c r="BA7" s="128">
        <v>301</v>
      </c>
      <c r="BB7" s="128">
        <v>338</v>
      </c>
      <c r="BC7" s="128">
        <v>59</v>
      </c>
      <c r="BD7" s="129">
        <v>0</v>
      </c>
      <c r="BE7" s="130">
        <f>SUM(AY7:BD7)</f>
        <v>2187</v>
      </c>
      <c r="BF7" s="131"/>
      <c r="BG7" s="128">
        <v>957</v>
      </c>
      <c r="BH7" s="128">
        <v>520</v>
      </c>
      <c r="BI7" s="128">
        <v>306</v>
      </c>
      <c r="BJ7" s="128">
        <v>319</v>
      </c>
      <c r="BK7" s="128">
        <v>53</v>
      </c>
      <c r="BL7" s="129">
        <v>0</v>
      </c>
      <c r="BM7" s="130">
        <f>SUM(BG7:BL7)</f>
        <v>2155</v>
      </c>
      <c r="BN7" s="131"/>
      <c r="BO7" s="128">
        <v>955</v>
      </c>
      <c r="BP7" s="128">
        <v>531</v>
      </c>
      <c r="BQ7" s="128">
        <v>301</v>
      </c>
      <c r="BR7" s="128">
        <v>313</v>
      </c>
      <c r="BS7" s="128">
        <v>78</v>
      </c>
      <c r="BT7" s="129">
        <v>0</v>
      </c>
      <c r="BU7" s="130">
        <f>SUM(BO7:BT7)</f>
        <v>2178</v>
      </c>
      <c r="BV7" s="131"/>
      <c r="BW7" s="128">
        <v>3813</v>
      </c>
      <c r="BX7" s="128">
        <v>2127</v>
      </c>
      <c r="BY7" s="128">
        <v>1217</v>
      </c>
      <c r="BZ7" s="128">
        <v>1286</v>
      </c>
      <c r="CA7" s="128">
        <v>280</v>
      </c>
      <c r="CB7" s="129">
        <v>0</v>
      </c>
      <c r="CC7" s="130">
        <f>SUM(BW7:CB7)</f>
        <v>8723</v>
      </c>
      <c r="CD7" s="131"/>
      <c r="CE7" s="128">
        <v>969</v>
      </c>
      <c r="CF7" s="128">
        <v>560</v>
      </c>
      <c r="CG7" s="128">
        <v>299</v>
      </c>
      <c r="CH7" s="128">
        <v>315</v>
      </c>
      <c r="CI7" s="128">
        <v>78</v>
      </c>
      <c r="CJ7" s="129">
        <v>0</v>
      </c>
      <c r="CK7" s="130">
        <f>SUM(CE7:CJ7)</f>
        <v>2221</v>
      </c>
      <c r="CL7" s="131"/>
      <c r="CM7" s="128">
        <v>954</v>
      </c>
      <c r="CN7" s="128">
        <v>564</v>
      </c>
      <c r="CO7" s="128">
        <v>299</v>
      </c>
      <c r="CP7" s="128">
        <v>315</v>
      </c>
      <c r="CQ7" s="128">
        <v>68</v>
      </c>
      <c r="CR7" s="129">
        <v>0</v>
      </c>
      <c r="CS7" s="130">
        <f>SUM(CM7:CR7)</f>
        <v>2200</v>
      </c>
      <c r="CT7" s="131"/>
      <c r="CU7" s="128">
        <v>954</v>
      </c>
      <c r="CV7" s="128">
        <v>531</v>
      </c>
      <c r="CW7" s="128">
        <v>273</v>
      </c>
      <c r="CX7" s="128">
        <v>318</v>
      </c>
      <c r="CY7" s="128">
        <v>66</v>
      </c>
      <c r="CZ7" s="129">
        <v>0</v>
      </c>
      <c r="DA7" s="130">
        <f>SUM(CU7:CZ7)</f>
        <v>2142</v>
      </c>
      <c r="DB7" s="131"/>
      <c r="DC7" s="128">
        <v>3845</v>
      </c>
      <c r="DD7" s="128">
        <v>2249</v>
      </c>
      <c r="DE7" s="128">
        <v>1186</v>
      </c>
      <c r="DF7" s="128">
        <v>1270</v>
      </c>
      <c r="DG7" s="128">
        <v>271</v>
      </c>
      <c r="DH7" s="129">
        <v>0</v>
      </c>
      <c r="DI7" s="130">
        <f>SUM(DC7:DH7)</f>
        <v>8821</v>
      </c>
      <c r="DJ7" s="131"/>
      <c r="DK7" s="128">
        <v>1006</v>
      </c>
      <c r="DL7" s="128">
        <v>589</v>
      </c>
      <c r="DM7" s="128">
        <v>293</v>
      </c>
      <c r="DN7" s="128">
        <v>316</v>
      </c>
      <c r="DO7" s="128">
        <v>51</v>
      </c>
      <c r="DP7" s="129">
        <v>0</v>
      </c>
      <c r="DQ7" s="130">
        <f>SUM(DK7:DP7)</f>
        <v>2255</v>
      </c>
      <c r="DR7" s="131"/>
      <c r="DS7" s="128">
        <v>986</v>
      </c>
      <c r="DT7" s="128">
        <v>588</v>
      </c>
      <c r="DU7" s="128">
        <v>289</v>
      </c>
      <c r="DV7" s="128">
        <v>316</v>
      </c>
      <c r="DW7" s="128">
        <v>46</v>
      </c>
      <c r="DX7" s="129">
        <v>0</v>
      </c>
      <c r="DY7" s="130">
        <f>SUM(DS7:DX7)</f>
        <v>2225</v>
      </c>
      <c r="DZ7" s="131"/>
      <c r="EA7" s="131"/>
      <c r="EB7" s="128">
        <v>1003</v>
      </c>
      <c r="EC7" s="128">
        <v>599</v>
      </c>
      <c r="ED7" s="128">
        <v>297</v>
      </c>
      <c r="EE7" s="128">
        <v>315</v>
      </c>
      <c r="EF7" s="128">
        <v>48</v>
      </c>
      <c r="EG7" s="129">
        <v>0</v>
      </c>
      <c r="EH7" s="130">
        <f>SUM(EB7:EG7)</f>
        <v>2262</v>
      </c>
      <c r="EI7" s="131"/>
      <c r="EJ7" s="128">
        <v>3980</v>
      </c>
      <c r="EK7" s="128">
        <v>2359</v>
      </c>
      <c r="EL7" s="128">
        <v>1183</v>
      </c>
      <c r="EM7" s="128">
        <v>1277</v>
      </c>
      <c r="EN7" s="128">
        <v>187</v>
      </c>
      <c r="EO7" s="129">
        <v>0</v>
      </c>
      <c r="EP7" s="130">
        <f>SUM(EJ7:EO7)</f>
        <v>8986</v>
      </c>
      <c r="EQ7" s="131"/>
      <c r="ER7" s="128">
        <v>1041</v>
      </c>
      <c r="ES7" s="128">
        <v>605</v>
      </c>
      <c r="ET7" s="128">
        <v>288</v>
      </c>
      <c r="EU7" s="128">
        <v>329</v>
      </c>
      <c r="EV7" s="128">
        <v>45</v>
      </c>
      <c r="EW7" s="129">
        <v>0</v>
      </c>
      <c r="EX7" s="130">
        <f>SUM(ER7:EW7)</f>
        <v>2308</v>
      </c>
      <c r="EY7" s="131"/>
      <c r="EZ7" s="128">
        <v>1065</v>
      </c>
      <c r="FA7" s="128">
        <v>574</v>
      </c>
      <c r="FB7" s="128">
        <v>280</v>
      </c>
      <c r="FC7" s="128">
        <v>335</v>
      </c>
      <c r="FD7" s="128">
        <v>45</v>
      </c>
      <c r="FE7" s="129">
        <v>0</v>
      </c>
      <c r="FF7" s="130">
        <f>SUM(EZ7:FE7)</f>
        <v>2299</v>
      </c>
      <c r="FG7" s="131"/>
      <c r="FH7" s="128">
        <v>1022</v>
      </c>
      <c r="FI7" s="128">
        <v>576</v>
      </c>
      <c r="FJ7" s="128">
        <v>288</v>
      </c>
      <c r="FK7" s="128">
        <v>328</v>
      </c>
      <c r="FL7" s="128">
        <v>51</v>
      </c>
      <c r="FM7" s="129">
        <v>0</v>
      </c>
      <c r="FN7" s="130">
        <f>SUM(FH7:FM7)</f>
        <v>2265</v>
      </c>
      <c r="FO7" s="131"/>
      <c r="FP7" s="128">
        <v>4157</v>
      </c>
      <c r="FQ7" s="128">
        <v>2309</v>
      </c>
      <c r="FR7" s="128">
        <v>1139</v>
      </c>
      <c r="FS7" s="128">
        <v>1308</v>
      </c>
      <c r="FT7" s="128">
        <v>190</v>
      </c>
      <c r="FU7" s="129">
        <v>0</v>
      </c>
      <c r="FV7" s="130">
        <f>SUM(FP7:FU7)</f>
        <v>9103</v>
      </c>
      <c r="FW7" s="131"/>
      <c r="FX7" s="128">
        <v>1039</v>
      </c>
      <c r="FY7" s="128">
        <v>576</v>
      </c>
      <c r="FZ7" s="128">
        <v>274</v>
      </c>
      <c r="GA7" s="128">
        <v>315</v>
      </c>
      <c r="GB7" s="128">
        <v>51</v>
      </c>
      <c r="GC7" s="129">
        <v>0</v>
      </c>
      <c r="GD7" s="130">
        <f>SUM(FX7:GC7)</f>
        <v>2255</v>
      </c>
      <c r="GE7" s="131"/>
      <c r="GF7" s="128">
        <v>1025</v>
      </c>
      <c r="GG7" s="128">
        <v>554</v>
      </c>
      <c r="GH7" s="128">
        <v>247</v>
      </c>
      <c r="GI7" s="128">
        <v>316</v>
      </c>
      <c r="GJ7" s="128">
        <v>50</v>
      </c>
      <c r="GK7" s="129">
        <v>0</v>
      </c>
      <c r="GL7" s="130">
        <f>SUM(GF7:GK7)</f>
        <v>2192</v>
      </c>
      <c r="GM7" s="131"/>
      <c r="GN7" s="128">
        <v>1058</v>
      </c>
      <c r="GO7" s="128">
        <v>542</v>
      </c>
      <c r="GP7" s="128">
        <v>260</v>
      </c>
      <c r="GQ7" s="128">
        <v>316</v>
      </c>
      <c r="GR7" s="128">
        <v>58</v>
      </c>
      <c r="GS7" s="129">
        <v>0</v>
      </c>
      <c r="GT7" s="130">
        <f>SUM(GN7:GS7)</f>
        <v>2234</v>
      </c>
      <c r="GU7" s="131"/>
      <c r="GV7" s="128">
        <v>4129</v>
      </c>
      <c r="GW7" s="128">
        <v>2231</v>
      </c>
      <c r="GX7" s="128">
        <v>1053</v>
      </c>
      <c r="GY7" s="128">
        <v>1264</v>
      </c>
      <c r="GZ7" s="128">
        <v>207</v>
      </c>
      <c r="HA7" s="129">
        <v>0</v>
      </c>
      <c r="HB7" s="130">
        <f>SUM(GV7:HA7)</f>
        <v>8884</v>
      </c>
      <c r="HC7" s="131"/>
      <c r="HD7" s="382">
        <v>1039</v>
      </c>
      <c r="HE7" s="382">
        <v>562</v>
      </c>
      <c r="HF7" s="382">
        <v>261</v>
      </c>
      <c r="HG7" s="382">
        <v>319</v>
      </c>
      <c r="HH7" s="382">
        <v>54</v>
      </c>
      <c r="HI7" s="382">
        <v>0</v>
      </c>
      <c r="HJ7" s="130">
        <f>SUM(HD7:HI7)</f>
        <v>2235</v>
      </c>
      <c r="HK7" s="131"/>
      <c r="HL7" s="382">
        <v>1040</v>
      </c>
      <c r="HM7" s="382">
        <v>525</v>
      </c>
      <c r="HN7" s="382">
        <v>251</v>
      </c>
      <c r="HO7" s="382">
        <v>320</v>
      </c>
      <c r="HP7" s="382">
        <v>0</v>
      </c>
      <c r="HQ7" s="382">
        <v>0</v>
      </c>
      <c r="HR7" s="130">
        <f>SUM(HL7:HQ7)</f>
        <v>2136</v>
      </c>
      <c r="HS7" s="131"/>
      <c r="HT7" s="382">
        <v>1046</v>
      </c>
      <c r="HU7" s="382">
        <v>514</v>
      </c>
      <c r="HV7" s="382">
        <v>265</v>
      </c>
      <c r="HW7" s="382">
        <v>320</v>
      </c>
      <c r="HX7" s="382">
        <v>0</v>
      </c>
      <c r="HY7" s="382">
        <v>0</v>
      </c>
      <c r="HZ7" s="130">
        <f>SUM(HT7:HY7)</f>
        <v>2145</v>
      </c>
      <c r="IA7" s="131"/>
      <c r="IB7" s="382">
        <v>4171</v>
      </c>
      <c r="IC7" s="382">
        <v>2151</v>
      </c>
      <c r="ID7" s="382">
        <v>1027</v>
      </c>
      <c r="IE7" s="382">
        <v>1299</v>
      </c>
      <c r="IF7" s="382">
        <v>54</v>
      </c>
      <c r="IG7" s="382">
        <v>0</v>
      </c>
      <c r="IH7" s="130">
        <v>8702</v>
      </c>
    </row>
    <row r="8" spans="2:242" ht="13.9" customHeight="1">
      <c r="B8" s="2" t="s">
        <v>283</v>
      </c>
      <c r="C8" s="128">
        <v>291</v>
      </c>
      <c r="D8" s="128">
        <v>46</v>
      </c>
      <c r="E8" s="128">
        <v>71</v>
      </c>
      <c r="F8" s="129">
        <v>0</v>
      </c>
      <c r="G8" s="128">
        <v>17</v>
      </c>
      <c r="H8" s="130">
        <v>-425</v>
      </c>
      <c r="I8" s="132">
        <f>SUM(C8:H8)</f>
        <v>0</v>
      </c>
      <c r="J8" s="131"/>
      <c r="K8" s="128">
        <v>313</v>
      </c>
      <c r="L8" s="128">
        <v>42</v>
      </c>
      <c r="M8" s="128">
        <v>53</v>
      </c>
      <c r="N8" s="129">
        <v>0</v>
      </c>
      <c r="O8" s="128">
        <v>15</v>
      </c>
      <c r="P8" s="130">
        <v>-423</v>
      </c>
      <c r="Q8" s="132">
        <f>SUM(K8:P8)</f>
        <v>0</v>
      </c>
      <c r="R8" s="131"/>
      <c r="S8" s="128">
        <v>80</v>
      </c>
      <c r="T8" s="128">
        <v>9</v>
      </c>
      <c r="U8" s="128">
        <v>18</v>
      </c>
      <c r="V8" s="129">
        <v>0</v>
      </c>
      <c r="W8" s="128">
        <v>3</v>
      </c>
      <c r="X8" s="130">
        <v>-110</v>
      </c>
      <c r="Y8" s="132">
        <f>SUM(S8:X8)</f>
        <v>0</v>
      </c>
      <c r="Z8" s="131"/>
      <c r="AA8" s="128">
        <v>80</v>
      </c>
      <c r="AB8" s="128">
        <v>10</v>
      </c>
      <c r="AC8" s="128">
        <v>9</v>
      </c>
      <c r="AD8" s="129">
        <v>0</v>
      </c>
      <c r="AE8" s="128">
        <v>1</v>
      </c>
      <c r="AF8" s="130">
        <v>-100</v>
      </c>
      <c r="AG8" s="132">
        <f>SUM(AA8:AF8)</f>
        <v>0</v>
      </c>
      <c r="AH8" s="131"/>
      <c r="AI8" s="128">
        <v>81</v>
      </c>
      <c r="AJ8" s="128">
        <v>17</v>
      </c>
      <c r="AK8" s="128">
        <v>13</v>
      </c>
      <c r="AL8" s="129">
        <v>1</v>
      </c>
      <c r="AM8" s="128">
        <v>3</v>
      </c>
      <c r="AN8" s="130">
        <v>-115</v>
      </c>
      <c r="AO8" s="132">
        <f>SUM(AI8:AN8)</f>
        <v>0</v>
      </c>
      <c r="AP8" s="131"/>
      <c r="AQ8" s="128">
        <v>316</v>
      </c>
      <c r="AR8" s="128">
        <v>46</v>
      </c>
      <c r="AS8" s="128">
        <v>56</v>
      </c>
      <c r="AT8" s="128">
        <v>1</v>
      </c>
      <c r="AU8" s="128">
        <v>9</v>
      </c>
      <c r="AV8" s="130">
        <v>-428</v>
      </c>
      <c r="AW8" s="132">
        <f>SUM(AQ8:AV8)</f>
        <v>0</v>
      </c>
      <c r="AX8" s="131"/>
      <c r="AY8" s="128">
        <v>83</v>
      </c>
      <c r="AZ8" s="128">
        <v>19</v>
      </c>
      <c r="BA8" s="128">
        <v>16</v>
      </c>
      <c r="BB8" s="129">
        <v>0</v>
      </c>
      <c r="BC8" s="128">
        <v>1</v>
      </c>
      <c r="BD8" s="130">
        <v>-119</v>
      </c>
      <c r="BE8" s="132">
        <f>SUM(AY8:BD8)</f>
        <v>0</v>
      </c>
      <c r="BF8" s="131"/>
      <c r="BG8" s="128">
        <v>87</v>
      </c>
      <c r="BH8" s="128">
        <v>15</v>
      </c>
      <c r="BI8" s="128">
        <v>8</v>
      </c>
      <c r="BJ8" s="129">
        <v>0</v>
      </c>
      <c r="BK8" s="128">
        <v>2</v>
      </c>
      <c r="BL8" s="130">
        <v>-112</v>
      </c>
      <c r="BM8" s="132">
        <f>SUM(BG8:BL8)</f>
        <v>0</v>
      </c>
      <c r="BN8" s="131"/>
      <c r="BO8" s="128">
        <v>87</v>
      </c>
      <c r="BP8" s="128">
        <v>14</v>
      </c>
      <c r="BQ8" s="128">
        <v>14</v>
      </c>
      <c r="BR8" s="129">
        <v>0</v>
      </c>
      <c r="BS8" s="128">
        <v>6</v>
      </c>
      <c r="BT8" s="130">
        <v>-121</v>
      </c>
      <c r="BU8" s="132">
        <f>SUM(BO8:BT8)</f>
        <v>0</v>
      </c>
      <c r="BV8" s="131"/>
      <c r="BW8" s="128">
        <v>346</v>
      </c>
      <c r="BX8" s="128">
        <v>59</v>
      </c>
      <c r="BY8" s="128">
        <v>54</v>
      </c>
      <c r="BZ8" s="128">
        <v>1</v>
      </c>
      <c r="CA8" s="128">
        <v>6</v>
      </c>
      <c r="CB8" s="130">
        <v>-466</v>
      </c>
      <c r="CC8" s="132">
        <f>SUM(BW8:CB8)</f>
        <v>0</v>
      </c>
      <c r="CD8" s="131"/>
      <c r="CE8" s="128">
        <v>85</v>
      </c>
      <c r="CF8" s="128">
        <v>10</v>
      </c>
      <c r="CG8" s="128">
        <v>13</v>
      </c>
      <c r="CH8" s="128">
        <v>0</v>
      </c>
      <c r="CI8" s="128">
        <v>1</v>
      </c>
      <c r="CJ8" s="130">
        <f>-SUM(CE8:CI8)</f>
        <v>-109</v>
      </c>
      <c r="CK8" s="132">
        <f>SUM(CE8:CJ8)</f>
        <v>0</v>
      </c>
      <c r="CL8" s="131"/>
      <c r="CM8" s="128">
        <v>85</v>
      </c>
      <c r="CN8" s="128">
        <v>12</v>
      </c>
      <c r="CO8" s="128">
        <v>11</v>
      </c>
      <c r="CP8" s="128">
        <v>0</v>
      </c>
      <c r="CQ8" s="128">
        <v>2</v>
      </c>
      <c r="CR8" s="130">
        <f>-SUM(CM8:CQ8)</f>
        <v>-110</v>
      </c>
      <c r="CS8" s="132">
        <f>SUM(CM8:CR8)</f>
        <v>0</v>
      </c>
      <c r="CT8" s="131"/>
      <c r="CU8" s="128">
        <v>83</v>
      </c>
      <c r="CV8" s="128">
        <v>10</v>
      </c>
      <c r="CW8" s="128">
        <v>14</v>
      </c>
      <c r="CX8" s="128">
        <v>0</v>
      </c>
      <c r="CY8" s="128">
        <v>2</v>
      </c>
      <c r="CZ8" s="130">
        <f>-SUM(CU8:CY8)</f>
        <v>-109</v>
      </c>
      <c r="DA8" s="132">
        <f>SUM(CU8:CZ8)</f>
        <v>0</v>
      </c>
      <c r="DB8" s="131"/>
      <c r="DC8" s="128">
        <v>337</v>
      </c>
      <c r="DD8" s="128">
        <v>40</v>
      </c>
      <c r="DE8" s="128">
        <v>51</v>
      </c>
      <c r="DF8" s="128">
        <v>0</v>
      </c>
      <c r="DG8" s="128">
        <v>6</v>
      </c>
      <c r="DH8" s="130">
        <f>-SUM(DC8:DG8)</f>
        <v>-434</v>
      </c>
      <c r="DI8" s="132">
        <f>SUM(DC8:DH8)</f>
        <v>0</v>
      </c>
      <c r="DJ8" s="131"/>
      <c r="DK8" s="128">
        <v>90</v>
      </c>
      <c r="DL8" s="128">
        <v>11</v>
      </c>
      <c r="DM8" s="128">
        <v>14</v>
      </c>
      <c r="DN8" s="128">
        <v>0</v>
      </c>
      <c r="DO8" s="128">
        <v>0</v>
      </c>
      <c r="DP8" s="130">
        <f>-SUM(DK8:DO8)</f>
        <v>-115</v>
      </c>
      <c r="DQ8" s="132">
        <f>SUM(DK8:DP8)</f>
        <v>0</v>
      </c>
      <c r="DR8" s="131"/>
      <c r="DS8" s="128">
        <v>81</v>
      </c>
      <c r="DT8" s="128">
        <v>11</v>
      </c>
      <c r="DU8" s="128">
        <v>13</v>
      </c>
      <c r="DV8" s="128">
        <v>0</v>
      </c>
      <c r="DW8" s="128">
        <v>5</v>
      </c>
      <c r="DX8" s="130">
        <f>-SUM(DS8:DW8)</f>
        <v>-110</v>
      </c>
      <c r="DY8" s="132">
        <f>SUM(DS8:DX8)</f>
        <v>0</v>
      </c>
      <c r="DZ8" s="131"/>
      <c r="EA8" s="131"/>
      <c r="EB8" s="128">
        <v>83</v>
      </c>
      <c r="EC8" s="128">
        <v>9</v>
      </c>
      <c r="ED8" s="128">
        <v>14</v>
      </c>
      <c r="EE8" s="128">
        <v>0</v>
      </c>
      <c r="EF8" s="128">
        <v>0</v>
      </c>
      <c r="EG8" s="130">
        <f>-SUM(EB8:EF8)</f>
        <v>-106</v>
      </c>
      <c r="EH8" s="132">
        <f>SUM(EB8:EG8)</f>
        <v>0</v>
      </c>
      <c r="EI8" s="131"/>
      <c r="EJ8" s="128">
        <v>326</v>
      </c>
      <c r="EK8" s="128">
        <v>40</v>
      </c>
      <c r="EL8" s="128">
        <v>56</v>
      </c>
      <c r="EM8" s="128">
        <v>0</v>
      </c>
      <c r="EN8" s="128">
        <v>6</v>
      </c>
      <c r="EO8" s="130">
        <f>-SUM(EJ8:EN8)</f>
        <v>-428</v>
      </c>
      <c r="EP8" s="132">
        <f>SUM(EJ8:EO8)</f>
        <v>0</v>
      </c>
      <c r="EQ8" s="131"/>
      <c r="ER8" s="128">
        <v>70</v>
      </c>
      <c r="ES8" s="128">
        <v>11</v>
      </c>
      <c r="ET8" s="128">
        <v>24</v>
      </c>
      <c r="EU8" s="128">
        <v>0</v>
      </c>
      <c r="EV8" s="128">
        <v>0</v>
      </c>
      <c r="EW8" s="130">
        <f>-SUM(ER8:EV8)</f>
        <v>-105</v>
      </c>
      <c r="EX8" s="132">
        <f>SUM(ER8:EW8)</f>
        <v>0</v>
      </c>
      <c r="EY8" s="131"/>
      <c r="EZ8" s="128">
        <v>65</v>
      </c>
      <c r="FA8" s="128">
        <v>11</v>
      </c>
      <c r="FB8" s="128">
        <v>13</v>
      </c>
      <c r="FC8" s="128">
        <v>1</v>
      </c>
      <c r="FD8" s="128">
        <v>1</v>
      </c>
      <c r="FE8" s="130">
        <f>-SUM(EZ8:FD8)</f>
        <v>-91</v>
      </c>
      <c r="FF8" s="132">
        <f>SUM(EZ8:FE8)</f>
        <v>0</v>
      </c>
      <c r="FG8" s="131"/>
      <c r="FH8" s="128">
        <v>62</v>
      </c>
      <c r="FI8" s="128">
        <v>9</v>
      </c>
      <c r="FJ8" s="128">
        <v>15</v>
      </c>
      <c r="FK8" s="128">
        <v>0</v>
      </c>
      <c r="FL8" s="128">
        <v>1</v>
      </c>
      <c r="FM8" s="130">
        <v>-87</v>
      </c>
      <c r="FN8" s="132">
        <f>SUM(FH8:FM8)</f>
        <v>0</v>
      </c>
      <c r="FO8" s="131"/>
      <c r="FP8" s="128">
        <v>255</v>
      </c>
      <c r="FQ8" s="128">
        <v>39</v>
      </c>
      <c r="FR8" s="128">
        <v>73</v>
      </c>
      <c r="FS8" s="128">
        <v>1</v>
      </c>
      <c r="FT8" s="128">
        <v>2</v>
      </c>
      <c r="FU8" s="130">
        <v>-370</v>
      </c>
      <c r="FV8" s="132">
        <f>SUM(FP8:FU8)</f>
        <v>0</v>
      </c>
      <c r="FW8" s="131"/>
      <c r="FX8" s="128">
        <v>52</v>
      </c>
      <c r="FY8" s="128">
        <v>7</v>
      </c>
      <c r="FZ8" s="128">
        <v>15</v>
      </c>
      <c r="GA8" s="128">
        <v>0</v>
      </c>
      <c r="GB8" s="129">
        <v>0</v>
      </c>
      <c r="GC8" s="130">
        <v>-74</v>
      </c>
      <c r="GD8" s="130">
        <f>SUM(FX8:GC8)</f>
        <v>0</v>
      </c>
      <c r="GE8" s="131"/>
      <c r="GF8" s="128">
        <v>50</v>
      </c>
      <c r="GG8" s="128">
        <v>7</v>
      </c>
      <c r="GH8" s="128">
        <v>14</v>
      </c>
      <c r="GI8" s="128">
        <v>0</v>
      </c>
      <c r="GJ8" s="129">
        <v>0</v>
      </c>
      <c r="GK8" s="130">
        <v>-71</v>
      </c>
      <c r="GL8" s="130">
        <f>SUM(GF8:GK8)</f>
        <v>0</v>
      </c>
      <c r="GM8" s="131"/>
      <c r="GN8" s="128">
        <v>47</v>
      </c>
      <c r="GO8" s="128">
        <v>5</v>
      </c>
      <c r="GP8" s="128">
        <v>10</v>
      </c>
      <c r="GQ8" s="128">
        <v>1</v>
      </c>
      <c r="GR8" s="129">
        <v>0</v>
      </c>
      <c r="GS8" s="130">
        <v>-63</v>
      </c>
      <c r="GT8" s="130">
        <f>SUM(GN8:GS8)</f>
        <v>0</v>
      </c>
      <c r="GU8" s="131"/>
      <c r="GV8" s="128">
        <v>213</v>
      </c>
      <c r="GW8" s="128">
        <v>23</v>
      </c>
      <c r="GX8" s="128">
        <v>52</v>
      </c>
      <c r="GY8" s="128">
        <v>1</v>
      </c>
      <c r="GZ8" s="129">
        <v>0</v>
      </c>
      <c r="HA8" s="130">
        <v>-289</v>
      </c>
      <c r="HB8" s="130">
        <f>SUM(GV8:HA8)</f>
        <v>0</v>
      </c>
      <c r="HC8" s="131"/>
      <c r="HD8" s="382">
        <v>62</v>
      </c>
      <c r="HE8" s="382">
        <v>4</v>
      </c>
      <c r="HF8" s="382">
        <v>12</v>
      </c>
      <c r="HG8" s="382">
        <v>0</v>
      </c>
      <c r="HH8" s="382">
        <v>0</v>
      </c>
      <c r="HI8" s="130">
        <v>-78</v>
      </c>
      <c r="HJ8" s="130">
        <f>SUM(HD8:HI8)</f>
        <v>0</v>
      </c>
      <c r="HK8" s="131"/>
      <c r="HL8" s="382">
        <v>62</v>
      </c>
      <c r="HM8" s="382">
        <v>5</v>
      </c>
      <c r="HN8" s="382">
        <v>12</v>
      </c>
      <c r="HO8" s="382">
        <v>0</v>
      </c>
      <c r="HP8" s="382">
        <v>0</v>
      </c>
      <c r="HQ8" s="130">
        <v>-79</v>
      </c>
      <c r="HR8" s="130">
        <f>SUM(HL8:HQ8)</f>
        <v>0</v>
      </c>
      <c r="HS8" s="131"/>
      <c r="HT8" s="382">
        <v>65</v>
      </c>
      <c r="HU8" s="382">
        <v>3</v>
      </c>
      <c r="HV8" s="382">
        <v>16</v>
      </c>
      <c r="HW8" s="382">
        <v>1</v>
      </c>
      <c r="HX8" s="382">
        <v>0</v>
      </c>
      <c r="HY8" s="130">
        <v>-85</v>
      </c>
      <c r="HZ8" s="130">
        <f>SUM(HT8:HY8)</f>
        <v>0</v>
      </c>
      <c r="IA8" s="131"/>
      <c r="IB8" s="382">
        <v>257</v>
      </c>
      <c r="IC8" s="382">
        <v>16</v>
      </c>
      <c r="ID8" s="382">
        <v>53</v>
      </c>
      <c r="IE8" s="382">
        <v>1</v>
      </c>
      <c r="IF8" s="382">
        <v>0</v>
      </c>
      <c r="IG8" s="130">
        <v>-327</v>
      </c>
      <c r="IH8" s="130">
        <v>0</v>
      </c>
    </row>
    <row r="9" spans="2:242" ht="13.9" customHeight="1">
      <c r="B9" s="273" t="s">
        <v>284</v>
      </c>
      <c r="C9" s="133">
        <f>C7+C8</f>
        <v>4244</v>
      </c>
      <c r="D9" s="133">
        <f t="shared" ref="D9:I9" si="0">D7+D8</f>
        <v>2546</v>
      </c>
      <c r="E9" s="133">
        <f t="shared" si="0"/>
        <v>1537</v>
      </c>
      <c r="F9" s="133">
        <f t="shared" si="0"/>
        <v>1650</v>
      </c>
      <c r="G9" s="133">
        <f t="shared" si="0"/>
        <v>237</v>
      </c>
      <c r="H9" s="133">
        <f t="shared" si="0"/>
        <v>-425</v>
      </c>
      <c r="I9" s="133">
        <f t="shared" si="0"/>
        <v>9789</v>
      </c>
      <c r="J9" s="133"/>
      <c r="K9" s="133">
        <f>K7+K8</f>
        <v>4196</v>
      </c>
      <c r="L9" s="133">
        <f t="shared" ref="L9:Q9" si="1">L7+L8</f>
        <v>2443</v>
      </c>
      <c r="M9" s="133">
        <f t="shared" si="1"/>
        <v>1391</v>
      </c>
      <c r="N9" s="133">
        <f t="shared" si="1"/>
        <v>1473</v>
      </c>
      <c r="O9" s="133">
        <f t="shared" si="1"/>
        <v>241</v>
      </c>
      <c r="P9" s="133">
        <f t="shared" si="1"/>
        <v>-423</v>
      </c>
      <c r="Q9" s="133">
        <f t="shared" si="1"/>
        <v>9321</v>
      </c>
      <c r="R9" s="133"/>
      <c r="S9" s="133">
        <f>S7+S8</f>
        <v>1043</v>
      </c>
      <c r="T9" s="133">
        <f t="shared" ref="T9:Y9" si="2">T7+T8</f>
        <v>578</v>
      </c>
      <c r="U9" s="133">
        <f t="shared" si="2"/>
        <v>341</v>
      </c>
      <c r="V9" s="133">
        <f t="shared" si="2"/>
        <v>343</v>
      </c>
      <c r="W9" s="133">
        <f t="shared" si="2"/>
        <v>61</v>
      </c>
      <c r="X9" s="133">
        <f t="shared" si="2"/>
        <v>-110</v>
      </c>
      <c r="Y9" s="133">
        <f t="shared" si="2"/>
        <v>2256</v>
      </c>
      <c r="Z9" s="133"/>
      <c r="AA9" s="133">
        <f>AA7+AA8</f>
        <v>1020</v>
      </c>
      <c r="AB9" s="133">
        <f t="shared" ref="AB9:AG9" si="3">AB7+AB8</f>
        <v>570</v>
      </c>
      <c r="AC9" s="133">
        <f t="shared" si="3"/>
        <v>339</v>
      </c>
      <c r="AD9" s="133">
        <f t="shared" si="3"/>
        <v>337</v>
      </c>
      <c r="AE9" s="133">
        <f t="shared" si="3"/>
        <v>58</v>
      </c>
      <c r="AF9" s="133">
        <f t="shared" si="3"/>
        <v>-100</v>
      </c>
      <c r="AG9" s="133">
        <f t="shared" si="3"/>
        <v>2224</v>
      </c>
      <c r="AH9" s="133"/>
      <c r="AI9" s="133">
        <f>AI7+AI8</f>
        <v>1025</v>
      </c>
      <c r="AJ9" s="133">
        <f t="shared" ref="AJ9:AO9" si="4">AJ7+AJ8</f>
        <v>612</v>
      </c>
      <c r="AK9" s="133">
        <f t="shared" si="4"/>
        <v>329</v>
      </c>
      <c r="AL9" s="133">
        <f t="shared" si="4"/>
        <v>334</v>
      </c>
      <c r="AM9" s="133">
        <f t="shared" si="4"/>
        <v>62</v>
      </c>
      <c r="AN9" s="133">
        <f t="shared" si="4"/>
        <v>-115</v>
      </c>
      <c r="AO9" s="133">
        <f t="shared" si="4"/>
        <v>2247</v>
      </c>
      <c r="AP9" s="133"/>
      <c r="AQ9" s="133">
        <f>AQ7+AQ8</f>
        <v>4073</v>
      </c>
      <c r="AR9" s="133">
        <f t="shared" ref="AR9:AW9" si="5">AR7+AR8</f>
        <v>2362</v>
      </c>
      <c r="AS9" s="133">
        <f t="shared" si="5"/>
        <v>1339</v>
      </c>
      <c r="AT9" s="133">
        <f t="shared" si="5"/>
        <v>1345</v>
      </c>
      <c r="AU9" s="133">
        <f t="shared" si="5"/>
        <v>238</v>
      </c>
      <c r="AV9" s="133">
        <f t="shared" si="5"/>
        <v>-428</v>
      </c>
      <c r="AW9" s="133">
        <f t="shared" si="5"/>
        <v>8929</v>
      </c>
      <c r="AX9" s="133"/>
      <c r="AY9" s="133">
        <f>AY7+AY8</f>
        <v>1018</v>
      </c>
      <c r="AZ9" s="133">
        <f t="shared" ref="AZ9:BE9" si="6">AZ7+AZ8</f>
        <v>573</v>
      </c>
      <c r="BA9" s="133">
        <f t="shared" si="6"/>
        <v>317</v>
      </c>
      <c r="BB9" s="133">
        <f t="shared" si="6"/>
        <v>338</v>
      </c>
      <c r="BC9" s="133">
        <f t="shared" si="6"/>
        <v>60</v>
      </c>
      <c r="BD9" s="133">
        <f t="shared" si="6"/>
        <v>-119</v>
      </c>
      <c r="BE9" s="133">
        <f t="shared" si="6"/>
        <v>2187</v>
      </c>
      <c r="BF9" s="133"/>
      <c r="BG9" s="133">
        <f>BG7+BG8</f>
        <v>1044</v>
      </c>
      <c r="BH9" s="133">
        <f t="shared" ref="BH9:BM9" si="7">BH7+BH8</f>
        <v>535</v>
      </c>
      <c r="BI9" s="133">
        <f t="shared" si="7"/>
        <v>314</v>
      </c>
      <c r="BJ9" s="133">
        <f t="shared" si="7"/>
        <v>319</v>
      </c>
      <c r="BK9" s="133">
        <f t="shared" si="7"/>
        <v>55</v>
      </c>
      <c r="BL9" s="133">
        <f t="shared" si="7"/>
        <v>-112</v>
      </c>
      <c r="BM9" s="133">
        <f t="shared" si="7"/>
        <v>2155</v>
      </c>
      <c r="BN9" s="133"/>
      <c r="BO9" s="133">
        <f>BO7+BO8</f>
        <v>1042</v>
      </c>
      <c r="BP9" s="133">
        <f t="shared" ref="BP9:BU9" si="8">BP7+BP8</f>
        <v>545</v>
      </c>
      <c r="BQ9" s="133">
        <f t="shared" si="8"/>
        <v>315</v>
      </c>
      <c r="BR9" s="133">
        <f t="shared" si="8"/>
        <v>313</v>
      </c>
      <c r="BS9" s="133">
        <f t="shared" si="8"/>
        <v>84</v>
      </c>
      <c r="BT9" s="133">
        <f t="shared" si="8"/>
        <v>-121</v>
      </c>
      <c r="BU9" s="133">
        <f t="shared" si="8"/>
        <v>2178</v>
      </c>
      <c r="BV9" s="133"/>
      <c r="BW9" s="133">
        <f>BW7+BW8</f>
        <v>4159</v>
      </c>
      <c r="BX9" s="133">
        <f t="shared" ref="BX9:CC9" si="9">BX7+BX8</f>
        <v>2186</v>
      </c>
      <c r="BY9" s="133">
        <f t="shared" si="9"/>
        <v>1271</v>
      </c>
      <c r="BZ9" s="133">
        <f t="shared" si="9"/>
        <v>1287</v>
      </c>
      <c r="CA9" s="133">
        <f t="shared" si="9"/>
        <v>286</v>
      </c>
      <c r="CB9" s="133">
        <f t="shared" si="9"/>
        <v>-466</v>
      </c>
      <c r="CC9" s="133">
        <f t="shared" si="9"/>
        <v>8723</v>
      </c>
      <c r="CD9" s="133"/>
      <c r="CE9" s="133">
        <f t="shared" ref="CE9:CK9" si="10">CE7+CE8</f>
        <v>1054</v>
      </c>
      <c r="CF9" s="133">
        <f t="shared" si="10"/>
        <v>570</v>
      </c>
      <c r="CG9" s="133">
        <f t="shared" si="10"/>
        <v>312</v>
      </c>
      <c r="CH9" s="133">
        <f t="shared" si="10"/>
        <v>315</v>
      </c>
      <c r="CI9" s="133">
        <f t="shared" si="10"/>
        <v>79</v>
      </c>
      <c r="CJ9" s="133">
        <f t="shared" si="10"/>
        <v>-109</v>
      </c>
      <c r="CK9" s="133">
        <f t="shared" si="10"/>
        <v>2221</v>
      </c>
      <c r="CL9" s="133"/>
      <c r="CM9" s="133">
        <f>CM7+CM8</f>
        <v>1039</v>
      </c>
      <c r="CN9" s="133">
        <f t="shared" ref="CN9:CS9" si="11">CN7+CN8</f>
        <v>576</v>
      </c>
      <c r="CO9" s="133">
        <f t="shared" si="11"/>
        <v>310</v>
      </c>
      <c r="CP9" s="133">
        <f t="shared" si="11"/>
        <v>315</v>
      </c>
      <c r="CQ9" s="133">
        <f t="shared" si="11"/>
        <v>70</v>
      </c>
      <c r="CR9" s="133">
        <f t="shared" si="11"/>
        <v>-110</v>
      </c>
      <c r="CS9" s="133">
        <f t="shared" si="11"/>
        <v>2200</v>
      </c>
      <c r="CT9" s="133"/>
      <c r="CU9" s="133">
        <f>CU7+CU8</f>
        <v>1037</v>
      </c>
      <c r="CV9" s="133">
        <f t="shared" ref="CV9:DA9" si="12">CV7+CV8</f>
        <v>541</v>
      </c>
      <c r="CW9" s="133">
        <f t="shared" si="12"/>
        <v>287</v>
      </c>
      <c r="CX9" s="133">
        <f t="shared" si="12"/>
        <v>318</v>
      </c>
      <c r="CY9" s="133">
        <f t="shared" si="12"/>
        <v>68</v>
      </c>
      <c r="CZ9" s="133">
        <f t="shared" si="12"/>
        <v>-109</v>
      </c>
      <c r="DA9" s="133">
        <f t="shared" si="12"/>
        <v>2142</v>
      </c>
      <c r="DB9" s="133"/>
      <c r="DC9" s="133">
        <f>DC7+DC8</f>
        <v>4182</v>
      </c>
      <c r="DD9" s="133">
        <f t="shared" ref="DD9:DI9" si="13">DD7+DD8</f>
        <v>2289</v>
      </c>
      <c r="DE9" s="133">
        <f t="shared" si="13"/>
        <v>1237</v>
      </c>
      <c r="DF9" s="133">
        <f t="shared" si="13"/>
        <v>1270</v>
      </c>
      <c r="DG9" s="133">
        <f t="shared" si="13"/>
        <v>277</v>
      </c>
      <c r="DH9" s="133">
        <f t="shared" si="13"/>
        <v>-434</v>
      </c>
      <c r="DI9" s="133">
        <f t="shared" si="13"/>
        <v>8821</v>
      </c>
      <c r="DJ9" s="133"/>
      <c r="DK9" s="133">
        <f>DK7+DK8</f>
        <v>1096</v>
      </c>
      <c r="DL9" s="133">
        <f t="shared" ref="DL9:DQ9" si="14">DL7+DL8</f>
        <v>600</v>
      </c>
      <c r="DM9" s="133">
        <f t="shared" si="14"/>
        <v>307</v>
      </c>
      <c r="DN9" s="133">
        <f t="shared" si="14"/>
        <v>316</v>
      </c>
      <c r="DO9" s="133">
        <f t="shared" si="14"/>
        <v>51</v>
      </c>
      <c r="DP9" s="133">
        <f t="shared" si="14"/>
        <v>-115</v>
      </c>
      <c r="DQ9" s="133">
        <f t="shared" si="14"/>
        <v>2255</v>
      </c>
      <c r="DR9" s="133"/>
      <c r="DS9" s="133">
        <f>DS7+DS8</f>
        <v>1067</v>
      </c>
      <c r="DT9" s="133">
        <f t="shared" ref="DT9:DY9" si="15">DT7+DT8</f>
        <v>599</v>
      </c>
      <c r="DU9" s="133">
        <f t="shared" si="15"/>
        <v>302</v>
      </c>
      <c r="DV9" s="133">
        <f t="shared" si="15"/>
        <v>316</v>
      </c>
      <c r="DW9" s="133">
        <f t="shared" si="15"/>
        <v>51</v>
      </c>
      <c r="DX9" s="133">
        <f t="shared" si="15"/>
        <v>-110</v>
      </c>
      <c r="DY9" s="133">
        <f t="shared" si="15"/>
        <v>2225</v>
      </c>
      <c r="DZ9" s="133"/>
      <c r="EA9" s="133"/>
      <c r="EB9" s="133">
        <f>EB7+EB8</f>
        <v>1086</v>
      </c>
      <c r="EC9" s="133">
        <f t="shared" ref="EC9:EH9" si="16">EC7+EC8</f>
        <v>608</v>
      </c>
      <c r="ED9" s="133">
        <f t="shared" si="16"/>
        <v>311</v>
      </c>
      <c r="EE9" s="133">
        <f t="shared" si="16"/>
        <v>315</v>
      </c>
      <c r="EF9" s="133">
        <f t="shared" si="16"/>
        <v>48</v>
      </c>
      <c r="EG9" s="133">
        <f t="shared" si="16"/>
        <v>-106</v>
      </c>
      <c r="EH9" s="133">
        <f t="shared" si="16"/>
        <v>2262</v>
      </c>
      <c r="EI9" s="133"/>
      <c r="EJ9" s="133">
        <f>EJ7+EJ8</f>
        <v>4306</v>
      </c>
      <c r="EK9" s="133">
        <f t="shared" ref="EK9:EP9" si="17">EK7+EK8</f>
        <v>2399</v>
      </c>
      <c r="EL9" s="133">
        <f t="shared" si="17"/>
        <v>1239</v>
      </c>
      <c r="EM9" s="133">
        <f t="shared" si="17"/>
        <v>1277</v>
      </c>
      <c r="EN9" s="133">
        <f t="shared" si="17"/>
        <v>193</v>
      </c>
      <c r="EO9" s="133">
        <f t="shared" si="17"/>
        <v>-428</v>
      </c>
      <c r="EP9" s="133">
        <f t="shared" si="17"/>
        <v>8986</v>
      </c>
      <c r="EQ9" s="133"/>
      <c r="ER9" s="133">
        <f>ER7+ER8</f>
        <v>1111</v>
      </c>
      <c r="ES9" s="133">
        <f t="shared" ref="ES9:EX9" si="18">ES7+ES8</f>
        <v>616</v>
      </c>
      <c r="ET9" s="133">
        <f t="shared" si="18"/>
        <v>312</v>
      </c>
      <c r="EU9" s="133">
        <f t="shared" si="18"/>
        <v>329</v>
      </c>
      <c r="EV9" s="133">
        <f t="shared" si="18"/>
        <v>45</v>
      </c>
      <c r="EW9" s="133">
        <f t="shared" si="18"/>
        <v>-105</v>
      </c>
      <c r="EX9" s="133">
        <f t="shared" si="18"/>
        <v>2308</v>
      </c>
      <c r="EY9" s="133"/>
      <c r="EZ9" s="133">
        <f>EZ7+EZ8</f>
        <v>1130</v>
      </c>
      <c r="FA9" s="133">
        <f t="shared" ref="FA9:FF9" si="19">FA7+FA8</f>
        <v>585</v>
      </c>
      <c r="FB9" s="133">
        <f t="shared" si="19"/>
        <v>293</v>
      </c>
      <c r="FC9" s="133">
        <f t="shared" si="19"/>
        <v>336</v>
      </c>
      <c r="FD9" s="133">
        <f t="shared" si="19"/>
        <v>46</v>
      </c>
      <c r="FE9" s="133">
        <f t="shared" si="19"/>
        <v>-91</v>
      </c>
      <c r="FF9" s="133">
        <f t="shared" si="19"/>
        <v>2299</v>
      </c>
      <c r="FG9" s="133"/>
      <c r="FH9" s="133">
        <f>FH7+FH8</f>
        <v>1084</v>
      </c>
      <c r="FI9" s="133">
        <f t="shared" ref="FI9:FN9" si="20">FI7+FI8</f>
        <v>585</v>
      </c>
      <c r="FJ9" s="133">
        <f t="shared" si="20"/>
        <v>303</v>
      </c>
      <c r="FK9" s="133">
        <f t="shared" si="20"/>
        <v>328</v>
      </c>
      <c r="FL9" s="133">
        <f t="shared" si="20"/>
        <v>52</v>
      </c>
      <c r="FM9" s="133">
        <f t="shared" si="20"/>
        <v>-87</v>
      </c>
      <c r="FN9" s="133">
        <f t="shared" si="20"/>
        <v>2265</v>
      </c>
      <c r="FO9" s="133"/>
      <c r="FP9" s="133">
        <f>FP7+FP8</f>
        <v>4412</v>
      </c>
      <c r="FQ9" s="133">
        <f t="shared" ref="FQ9:FV9" si="21">FQ7+FQ8</f>
        <v>2348</v>
      </c>
      <c r="FR9" s="133">
        <f t="shared" si="21"/>
        <v>1212</v>
      </c>
      <c r="FS9" s="133">
        <f t="shared" si="21"/>
        <v>1309</v>
      </c>
      <c r="FT9" s="133">
        <f t="shared" si="21"/>
        <v>192</v>
      </c>
      <c r="FU9" s="133">
        <f t="shared" si="21"/>
        <v>-370</v>
      </c>
      <c r="FV9" s="133">
        <f t="shared" si="21"/>
        <v>9103</v>
      </c>
      <c r="FW9" s="133"/>
      <c r="FX9" s="133">
        <f>FX7+FX8</f>
        <v>1091</v>
      </c>
      <c r="FY9" s="133">
        <f t="shared" ref="FY9:GD9" si="22">FY7+FY8</f>
        <v>583</v>
      </c>
      <c r="FZ9" s="133">
        <f t="shared" si="22"/>
        <v>289</v>
      </c>
      <c r="GA9" s="133">
        <f t="shared" si="22"/>
        <v>315</v>
      </c>
      <c r="GB9" s="133">
        <f t="shared" si="22"/>
        <v>51</v>
      </c>
      <c r="GC9" s="133">
        <f t="shared" si="22"/>
        <v>-74</v>
      </c>
      <c r="GD9" s="133">
        <f t="shared" si="22"/>
        <v>2255</v>
      </c>
      <c r="GE9" s="133"/>
      <c r="GF9" s="133">
        <f>GF7+GF8</f>
        <v>1075</v>
      </c>
      <c r="GG9" s="133">
        <f t="shared" ref="GG9:GL9" si="23">GG7+GG8</f>
        <v>561</v>
      </c>
      <c r="GH9" s="133">
        <f t="shared" si="23"/>
        <v>261</v>
      </c>
      <c r="GI9" s="133">
        <f t="shared" si="23"/>
        <v>316</v>
      </c>
      <c r="GJ9" s="133">
        <f t="shared" si="23"/>
        <v>50</v>
      </c>
      <c r="GK9" s="133">
        <f t="shared" si="23"/>
        <v>-71</v>
      </c>
      <c r="GL9" s="133">
        <f t="shared" si="23"/>
        <v>2192</v>
      </c>
      <c r="GM9" s="133"/>
      <c r="GN9" s="133">
        <f>GN7+GN8</f>
        <v>1105</v>
      </c>
      <c r="GO9" s="133">
        <f t="shared" ref="GO9:GT9" si="24">GO7+GO8</f>
        <v>547</v>
      </c>
      <c r="GP9" s="133">
        <f t="shared" si="24"/>
        <v>270</v>
      </c>
      <c r="GQ9" s="133">
        <f t="shared" si="24"/>
        <v>317</v>
      </c>
      <c r="GR9" s="133">
        <f t="shared" si="24"/>
        <v>58</v>
      </c>
      <c r="GS9" s="133">
        <f t="shared" si="24"/>
        <v>-63</v>
      </c>
      <c r="GT9" s="133">
        <f t="shared" si="24"/>
        <v>2234</v>
      </c>
      <c r="GU9" s="133"/>
      <c r="GV9" s="133">
        <f>GV7+GV8</f>
        <v>4342</v>
      </c>
      <c r="GW9" s="133">
        <f t="shared" ref="GW9:HB9" si="25">GW7+GW8</f>
        <v>2254</v>
      </c>
      <c r="GX9" s="133">
        <v>1105</v>
      </c>
      <c r="GY9" s="133">
        <f t="shared" si="25"/>
        <v>1265</v>
      </c>
      <c r="GZ9" s="133">
        <f t="shared" si="25"/>
        <v>207</v>
      </c>
      <c r="HA9" s="133">
        <f t="shared" si="25"/>
        <v>-289</v>
      </c>
      <c r="HB9" s="133">
        <f t="shared" si="25"/>
        <v>8884</v>
      </c>
      <c r="HC9" s="133"/>
      <c r="HD9" s="389">
        <f>HD7+HD8</f>
        <v>1101</v>
      </c>
      <c r="HE9" s="389">
        <f t="shared" ref="HE9:HF9" si="26">HE7+HE8</f>
        <v>566</v>
      </c>
      <c r="HF9" s="389">
        <f t="shared" si="26"/>
        <v>273</v>
      </c>
      <c r="HG9" s="389">
        <f t="shared" ref="HG9:HJ9" si="27">HG7+HG8</f>
        <v>319</v>
      </c>
      <c r="HH9" s="389">
        <f t="shared" si="27"/>
        <v>54</v>
      </c>
      <c r="HI9" s="389">
        <f t="shared" si="27"/>
        <v>-78</v>
      </c>
      <c r="HJ9" s="389">
        <f t="shared" si="27"/>
        <v>2235</v>
      </c>
      <c r="HK9" s="389"/>
      <c r="HL9" s="389">
        <f>HL7+HL8</f>
        <v>1102</v>
      </c>
      <c r="HM9" s="389">
        <f t="shared" ref="HM9:HR9" si="28">HM7+HM8</f>
        <v>530</v>
      </c>
      <c r="HN9" s="389">
        <f t="shared" si="28"/>
        <v>263</v>
      </c>
      <c r="HO9" s="389">
        <f t="shared" si="28"/>
        <v>320</v>
      </c>
      <c r="HP9" s="389">
        <f t="shared" si="28"/>
        <v>0</v>
      </c>
      <c r="HQ9" s="389">
        <f>HQ8</f>
        <v>-79</v>
      </c>
      <c r="HR9" s="389">
        <f t="shared" si="28"/>
        <v>2136</v>
      </c>
      <c r="HS9" s="389"/>
      <c r="HT9" s="389">
        <f>HT7+HT8</f>
        <v>1111</v>
      </c>
      <c r="HU9" s="389">
        <f t="shared" ref="HU9:HX9" si="29">HU7+HU8</f>
        <v>517</v>
      </c>
      <c r="HV9" s="389">
        <v>281</v>
      </c>
      <c r="HW9" s="389">
        <v>321</v>
      </c>
      <c r="HX9" s="389">
        <f t="shared" si="29"/>
        <v>0</v>
      </c>
      <c r="HY9" s="389">
        <f>HY8</f>
        <v>-85</v>
      </c>
      <c r="HZ9" s="389">
        <f t="shared" ref="HZ9" si="30">HZ7+HZ8</f>
        <v>2145</v>
      </c>
      <c r="IA9" s="133"/>
      <c r="IB9" s="389">
        <v>4428</v>
      </c>
      <c r="IC9" s="389">
        <v>2167</v>
      </c>
      <c r="ID9" s="389">
        <v>1080</v>
      </c>
      <c r="IE9" s="389">
        <v>1300</v>
      </c>
      <c r="IF9" s="389">
        <v>54</v>
      </c>
      <c r="IG9" s="389">
        <v>-327</v>
      </c>
      <c r="IH9" s="389">
        <v>8702</v>
      </c>
    </row>
    <row r="10" spans="2:242" ht="13.9" customHeight="1">
      <c r="B10" s="2"/>
      <c r="C10" s="128"/>
      <c r="D10" s="128"/>
      <c r="E10" s="128"/>
      <c r="F10" s="128"/>
      <c r="G10" s="128"/>
      <c r="H10" s="128"/>
      <c r="I10" s="132"/>
      <c r="J10" s="131"/>
      <c r="K10" s="128"/>
      <c r="L10" s="128"/>
      <c r="M10" s="128"/>
      <c r="N10" s="128"/>
      <c r="O10" s="128"/>
      <c r="P10" s="128"/>
      <c r="Q10" s="132"/>
      <c r="R10" s="131"/>
      <c r="S10" s="128"/>
      <c r="T10" s="128"/>
      <c r="U10" s="128"/>
      <c r="V10" s="128"/>
      <c r="W10" s="128"/>
      <c r="X10" s="128"/>
      <c r="Y10" s="132"/>
      <c r="Z10" s="131"/>
      <c r="AA10" s="128"/>
      <c r="AB10" s="128"/>
      <c r="AC10" s="128"/>
      <c r="AD10" s="128"/>
      <c r="AE10" s="128"/>
      <c r="AF10" s="128"/>
      <c r="AG10" s="132"/>
      <c r="AH10" s="131"/>
      <c r="AI10" s="128"/>
      <c r="AJ10" s="128"/>
      <c r="AK10" s="128"/>
      <c r="AL10" s="128"/>
      <c r="AM10" s="128"/>
      <c r="AN10" s="128"/>
      <c r="AO10" s="132"/>
      <c r="AP10" s="131"/>
      <c r="AQ10" s="128"/>
      <c r="AR10" s="128"/>
      <c r="AS10" s="128"/>
      <c r="AT10" s="128"/>
      <c r="AU10" s="128"/>
      <c r="AV10" s="128"/>
      <c r="AW10" s="132"/>
      <c r="AX10" s="131"/>
      <c r="AY10" s="128"/>
      <c r="AZ10" s="128"/>
      <c r="BA10" s="128"/>
      <c r="BB10" s="128"/>
      <c r="BC10" s="128"/>
      <c r="BD10" s="128"/>
      <c r="BE10" s="132"/>
      <c r="BF10" s="131"/>
      <c r="BG10" s="128"/>
      <c r="BH10" s="128"/>
      <c r="BI10" s="128"/>
      <c r="BJ10" s="128"/>
      <c r="BK10" s="128"/>
      <c r="BL10" s="128"/>
      <c r="BM10" s="132"/>
      <c r="BN10" s="131"/>
      <c r="BO10" s="128"/>
      <c r="BP10" s="128"/>
      <c r="BQ10" s="128"/>
      <c r="BR10" s="128"/>
      <c r="BS10" s="128"/>
      <c r="BT10" s="128"/>
      <c r="BU10" s="132"/>
      <c r="BV10" s="131"/>
      <c r="BW10" s="128"/>
      <c r="BX10" s="128"/>
      <c r="BY10" s="128"/>
      <c r="BZ10" s="128"/>
      <c r="CA10" s="128"/>
      <c r="CB10" s="128"/>
      <c r="CC10" s="132"/>
      <c r="CD10" s="131"/>
      <c r="CE10" s="128"/>
      <c r="CF10" s="128"/>
      <c r="CG10" s="128"/>
      <c r="CH10" s="128"/>
      <c r="CI10" s="128"/>
      <c r="CJ10" s="128"/>
      <c r="CK10" s="132"/>
      <c r="CL10" s="131"/>
      <c r="CM10" s="128"/>
      <c r="CN10" s="128"/>
      <c r="CO10" s="128"/>
      <c r="CP10" s="128"/>
      <c r="CQ10" s="128"/>
      <c r="CR10" s="128"/>
      <c r="CS10" s="132"/>
      <c r="CT10" s="131"/>
      <c r="CU10" s="128"/>
      <c r="CV10" s="128"/>
      <c r="CW10" s="128"/>
      <c r="CX10" s="128"/>
      <c r="CY10" s="128"/>
      <c r="CZ10" s="128"/>
      <c r="DA10" s="132"/>
      <c r="DB10" s="131"/>
      <c r="DC10" s="128"/>
      <c r="DD10" s="128"/>
      <c r="DE10" s="128"/>
      <c r="DF10" s="128"/>
      <c r="DG10" s="128"/>
      <c r="DH10" s="128"/>
      <c r="DI10" s="132"/>
      <c r="DJ10" s="131"/>
      <c r="DK10" s="128"/>
      <c r="DL10" s="128"/>
      <c r="DM10" s="128"/>
      <c r="DN10" s="128"/>
      <c r="DO10" s="128"/>
      <c r="DP10" s="128"/>
      <c r="DQ10" s="132"/>
      <c r="DR10" s="131"/>
      <c r="DS10" s="128"/>
      <c r="DT10" s="128"/>
      <c r="DU10" s="128"/>
      <c r="DV10" s="128"/>
      <c r="DW10" s="128"/>
      <c r="DX10" s="128"/>
      <c r="DY10" s="132"/>
      <c r="DZ10" s="131"/>
      <c r="EA10" s="131"/>
      <c r="EB10" s="128"/>
      <c r="EC10" s="128"/>
      <c r="ED10" s="128"/>
      <c r="EE10" s="128"/>
      <c r="EF10" s="128"/>
      <c r="EG10" s="128"/>
      <c r="EH10" s="132"/>
      <c r="EI10" s="131"/>
      <c r="EJ10" s="128"/>
      <c r="EK10" s="128"/>
      <c r="EL10" s="128"/>
      <c r="EM10" s="128"/>
      <c r="EN10" s="128"/>
      <c r="EO10" s="128"/>
      <c r="EP10" s="132"/>
      <c r="EQ10" s="131"/>
      <c r="ER10" s="128"/>
      <c r="ES10" s="128"/>
      <c r="ET10" s="128"/>
      <c r="EU10" s="128"/>
      <c r="EV10" s="128"/>
      <c r="EW10" s="128"/>
      <c r="EX10" s="132"/>
      <c r="EY10" s="131"/>
      <c r="EZ10" s="128"/>
      <c r="FA10" s="128"/>
      <c r="FB10" s="128"/>
      <c r="FC10" s="128"/>
      <c r="FD10" s="128"/>
      <c r="FE10" s="128"/>
      <c r="FF10" s="132"/>
      <c r="FG10" s="131"/>
      <c r="FH10" s="128"/>
      <c r="FI10" s="128"/>
      <c r="FJ10" s="128"/>
      <c r="FK10" s="128"/>
      <c r="FL10" s="128"/>
      <c r="FM10" s="128"/>
      <c r="FN10" s="132"/>
      <c r="FO10" s="131"/>
      <c r="FP10" s="128"/>
      <c r="FQ10" s="128"/>
      <c r="FR10" s="128"/>
      <c r="FS10" s="128"/>
      <c r="FT10" s="128"/>
      <c r="FU10" s="128"/>
      <c r="FV10" s="132"/>
      <c r="FW10" s="131"/>
      <c r="FX10" s="128"/>
      <c r="FY10" s="128"/>
      <c r="FZ10" s="128"/>
      <c r="GA10" s="128"/>
      <c r="GB10" s="128"/>
      <c r="GC10" s="128"/>
      <c r="GD10" s="132"/>
      <c r="GE10" s="131"/>
      <c r="GF10" s="128"/>
      <c r="GG10" s="128"/>
      <c r="GH10" s="128"/>
      <c r="GI10" s="128"/>
      <c r="GJ10" s="128"/>
      <c r="GK10" s="128"/>
      <c r="GL10" s="132"/>
      <c r="GM10" s="131"/>
      <c r="GN10" s="128"/>
      <c r="GO10" s="128"/>
      <c r="GP10" s="128"/>
      <c r="GQ10" s="128"/>
      <c r="GR10" s="128"/>
      <c r="GS10" s="128"/>
      <c r="GT10" s="132"/>
      <c r="GU10" s="131"/>
      <c r="GV10" s="128"/>
      <c r="GW10" s="128"/>
      <c r="GX10" s="128"/>
      <c r="GY10" s="128"/>
      <c r="GZ10" s="128"/>
      <c r="HA10" s="128"/>
      <c r="HB10" s="132"/>
      <c r="HC10" s="131"/>
      <c r="HD10" s="382"/>
      <c r="HE10" s="382"/>
      <c r="HF10" s="382"/>
      <c r="HG10" s="382"/>
      <c r="HH10" s="382"/>
      <c r="HI10" s="382"/>
      <c r="HJ10" s="132"/>
      <c r="HK10" s="131"/>
      <c r="HL10" s="382"/>
      <c r="HM10" s="382"/>
      <c r="HN10" s="382"/>
      <c r="HO10" s="382"/>
      <c r="HP10" s="382"/>
      <c r="HQ10" s="382"/>
      <c r="HR10" s="132"/>
      <c r="HS10" s="131"/>
      <c r="HT10" s="382"/>
      <c r="HU10" s="382"/>
      <c r="HV10" s="382"/>
      <c r="HW10" s="382"/>
      <c r="HX10" s="382"/>
      <c r="HY10" s="382"/>
      <c r="HZ10" s="132"/>
      <c r="IA10" s="131"/>
      <c r="IB10" s="382"/>
      <c r="IC10" s="382"/>
      <c r="ID10" s="382"/>
      <c r="IE10" s="382"/>
      <c r="IF10" s="382"/>
      <c r="IG10" s="382"/>
      <c r="IH10" s="132"/>
    </row>
    <row r="11" spans="2:242" ht="13.9" customHeight="1">
      <c r="B11" s="2" t="s">
        <v>460</v>
      </c>
      <c r="C11" s="128"/>
      <c r="D11" s="128"/>
      <c r="E11" s="128"/>
      <c r="F11" s="128"/>
      <c r="G11" s="128"/>
      <c r="H11" s="128"/>
      <c r="I11" s="132"/>
      <c r="J11" s="131"/>
      <c r="K11" s="128"/>
      <c r="L11" s="128"/>
      <c r="M11" s="128"/>
      <c r="N11" s="128"/>
      <c r="O11" s="128"/>
      <c r="P11" s="128"/>
      <c r="Q11" s="132"/>
      <c r="R11" s="131"/>
      <c r="S11" s="128"/>
      <c r="T11" s="128"/>
      <c r="U11" s="128"/>
      <c r="V11" s="128"/>
      <c r="W11" s="128"/>
      <c r="X11" s="128"/>
      <c r="Y11" s="132"/>
      <c r="Z11" s="131"/>
      <c r="AA11" s="128"/>
      <c r="AB11" s="128"/>
      <c r="AC11" s="128"/>
      <c r="AD11" s="128"/>
      <c r="AE11" s="128"/>
      <c r="AF11" s="128"/>
      <c r="AG11" s="132"/>
      <c r="AH11" s="131"/>
      <c r="AI11" s="128"/>
      <c r="AJ11" s="128"/>
      <c r="AK11" s="128"/>
      <c r="AL11" s="128"/>
      <c r="AM11" s="128"/>
      <c r="AN11" s="128"/>
      <c r="AO11" s="132"/>
      <c r="AP11" s="131"/>
      <c r="AQ11" s="128"/>
      <c r="AR11" s="128"/>
      <c r="AS11" s="128"/>
      <c r="AT11" s="128"/>
      <c r="AU11" s="128"/>
      <c r="AV11" s="128"/>
      <c r="AW11" s="132"/>
      <c r="AX11" s="131"/>
      <c r="AY11" s="128"/>
      <c r="AZ11" s="128"/>
      <c r="BA11" s="128"/>
      <c r="BB11" s="128"/>
      <c r="BC11" s="128"/>
      <c r="BD11" s="128"/>
      <c r="BE11" s="132"/>
      <c r="BF11" s="131"/>
      <c r="BG11" s="128"/>
      <c r="BH11" s="128"/>
      <c r="BI11" s="128"/>
      <c r="BJ11" s="128"/>
      <c r="BK11" s="128"/>
      <c r="BL11" s="128"/>
      <c r="BM11" s="132"/>
      <c r="BN11" s="131"/>
      <c r="BO11" s="128"/>
      <c r="BP11" s="128"/>
      <c r="BQ11" s="128"/>
      <c r="BR11" s="128"/>
      <c r="BS11" s="128"/>
      <c r="BT11" s="128"/>
      <c r="BU11" s="132"/>
      <c r="BV11" s="131"/>
      <c r="BW11" s="128"/>
      <c r="BX11" s="128"/>
      <c r="BY11" s="128"/>
      <c r="BZ11" s="128"/>
      <c r="CA11" s="128"/>
      <c r="CB11" s="128"/>
      <c r="CC11" s="132"/>
      <c r="CD11" s="131"/>
      <c r="CE11" s="128"/>
      <c r="CF11" s="128"/>
      <c r="CG11" s="128"/>
      <c r="CH11" s="128"/>
      <c r="CI11" s="128"/>
      <c r="CJ11" s="128"/>
      <c r="CK11" s="132"/>
      <c r="CL11" s="131"/>
      <c r="CM11" s="128"/>
      <c r="CN11" s="128"/>
      <c r="CO11" s="128"/>
      <c r="CP11" s="128"/>
      <c r="CQ11" s="128"/>
      <c r="CR11" s="128"/>
      <c r="CS11" s="132"/>
      <c r="CT11" s="131"/>
      <c r="CU11" s="128"/>
      <c r="CV11" s="128"/>
      <c r="CW11" s="128"/>
      <c r="CX11" s="128"/>
      <c r="CY11" s="128"/>
      <c r="CZ11" s="128"/>
      <c r="DA11" s="132"/>
      <c r="DB11" s="131"/>
      <c r="DC11" s="128"/>
      <c r="DD11" s="128"/>
      <c r="DE11" s="128"/>
      <c r="DF11" s="128"/>
      <c r="DG11" s="128"/>
      <c r="DH11" s="128"/>
      <c r="DI11" s="132"/>
      <c r="DJ11" s="131"/>
      <c r="DK11" s="128"/>
      <c r="DL11" s="128"/>
      <c r="DM11" s="128"/>
      <c r="DN11" s="128"/>
      <c r="DO11" s="128"/>
      <c r="DP11" s="128"/>
      <c r="DQ11" s="132"/>
      <c r="DR11" s="131"/>
      <c r="DS11" s="128"/>
      <c r="DT11" s="128"/>
      <c r="DU11" s="128"/>
      <c r="DV11" s="128"/>
      <c r="DW11" s="128"/>
      <c r="DX11" s="128"/>
      <c r="DY11" s="132"/>
      <c r="DZ11" s="131"/>
      <c r="EA11" s="131"/>
      <c r="EB11" s="128"/>
      <c r="EC11" s="128"/>
      <c r="ED11" s="128"/>
      <c r="EE11" s="128"/>
      <c r="EF11" s="128"/>
      <c r="EG11" s="128"/>
      <c r="EH11" s="132"/>
      <c r="EI11" s="131"/>
      <c r="EJ11" s="128">
        <v>759</v>
      </c>
      <c r="EK11" s="128">
        <v>1327</v>
      </c>
      <c r="EL11" s="128">
        <v>827</v>
      </c>
      <c r="EM11" s="128">
        <v>855</v>
      </c>
      <c r="EN11" s="128">
        <v>33</v>
      </c>
      <c r="EO11" s="128">
        <v>-412</v>
      </c>
      <c r="EP11" s="130">
        <f>SUM(EJ11:EO11)</f>
        <v>3389</v>
      </c>
      <c r="EQ11" s="131"/>
      <c r="ER11" s="128"/>
      <c r="ES11" s="128"/>
      <c r="ET11" s="128"/>
      <c r="EU11" s="128"/>
      <c r="EV11" s="128"/>
      <c r="EW11" s="128"/>
      <c r="EX11" s="132"/>
      <c r="EY11" s="131"/>
      <c r="EZ11" s="128"/>
      <c r="FA11" s="128"/>
      <c r="FB11" s="128"/>
      <c r="FC11" s="128"/>
      <c r="FD11" s="128"/>
      <c r="FE11" s="128"/>
      <c r="FF11" s="132"/>
      <c r="FG11" s="131"/>
      <c r="FH11" s="128"/>
      <c r="FI11" s="128"/>
      <c r="FJ11" s="128"/>
      <c r="FK11" s="128"/>
      <c r="FL11" s="128"/>
      <c r="FM11" s="128"/>
      <c r="FN11" s="132"/>
      <c r="FO11" s="131"/>
      <c r="FP11" s="128">
        <v>769</v>
      </c>
      <c r="FQ11" s="128">
        <v>1278</v>
      </c>
      <c r="FR11" s="128">
        <v>800</v>
      </c>
      <c r="FS11" s="128">
        <v>886</v>
      </c>
      <c r="FT11" s="128">
        <v>28</v>
      </c>
      <c r="FU11" s="128">
        <v>-387</v>
      </c>
      <c r="FV11" s="130">
        <f>SUM(FP11:FU11)</f>
        <v>3374</v>
      </c>
      <c r="FW11" s="131"/>
      <c r="FX11" s="128"/>
      <c r="FY11" s="128"/>
      <c r="FZ11" s="128"/>
      <c r="GA11" s="128"/>
      <c r="GB11" s="128"/>
      <c r="GC11" s="128"/>
      <c r="GD11" s="132"/>
      <c r="GE11" s="131"/>
      <c r="GF11" s="128"/>
      <c r="GG11" s="128"/>
      <c r="GH11" s="128"/>
      <c r="GI11" s="128"/>
      <c r="GJ11" s="128"/>
      <c r="GK11" s="128"/>
      <c r="GL11" s="132"/>
      <c r="GM11" s="131"/>
      <c r="GN11" s="128"/>
      <c r="GO11" s="128"/>
      <c r="GP11" s="128"/>
      <c r="GQ11" s="128"/>
      <c r="GR11" s="128"/>
      <c r="GS11" s="128"/>
      <c r="GT11" s="132"/>
      <c r="GU11" s="131"/>
      <c r="GV11" s="128">
        <v>738</v>
      </c>
      <c r="GW11" s="128">
        <v>1178</v>
      </c>
      <c r="GX11" s="128">
        <v>722</v>
      </c>
      <c r="GY11" s="128">
        <v>911</v>
      </c>
      <c r="GZ11" s="128">
        <v>29</v>
      </c>
      <c r="HA11" s="128">
        <v>-321</v>
      </c>
      <c r="HB11" s="130">
        <f>SUM(GV11:HA11)</f>
        <v>3257</v>
      </c>
      <c r="HC11" s="131"/>
      <c r="HD11" s="382">
        <v>188</v>
      </c>
      <c r="HE11" s="382">
        <v>296</v>
      </c>
      <c r="HF11" s="382">
        <v>185</v>
      </c>
      <c r="HG11" s="382">
        <v>227</v>
      </c>
      <c r="HH11" s="382">
        <v>8</v>
      </c>
      <c r="HI11" s="382">
        <v>-75</v>
      </c>
      <c r="HJ11" s="130">
        <f>SUM(HD11:HI11)</f>
        <v>829</v>
      </c>
      <c r="HK11" s="131"/>
      <c r="HL11" s="382">
        <v>192</v>
      </c>
      <c r="HM11" s="382">
        <v>264</v>
      </c>
      <c r="HN11" s="382">
        <v>172</v>
      </c>
      <c r="HO11" s="382">
        <v>222</v>
      </c>
      <c r="HP11" s="382">
        <v>0</v>
      </c>
      <c r="HQ11" s="382">
        <v>-171</v>
      </c>
      <c r="HR11" s="130">
        <f>SUM(HL11:HQ11)</f>
        <v>679</v>
      </c>
      <c r="HS11" s="131"/>
      <c r="HT11" s="382">
        <v>203</v>
      </c>
      <c r="HU11" s="382">
        <v>235</v>
      </c>
      <c r="HV11" s="382">
        <v>189</v>
      </c>
      <c r="HW11" s="382">
        <v>219</v>
      </c>
      <c r="HX11" s="382">
        <v>0</v>
      </c>
      <c r="HY11" s="382">
        <v>-185</v>
      </c>
      <c r="HZ11" s="130">
        <f>SUM(HT11:HY11)</f>
        <v>661</v>
      </c>
      <c r="IA11" s="131"/>
      <c r="IB11" s="382">
        <v>750</v>
      </c>
      <c r="IC11" s="382">
        <v>1061</v>
      </c>
      <c r="ID11" s="382">
        <v>720</v>
      </c>
      <c r="IE11" s="382">
        <v>908</v>
      </c>
      <c r="IF11" s="382">
        <v>8</v>
      </c>
      <c r="IG11" s="382">
        <v>-587</v>
      </c>
      <c r="IH11" s="130">
        <v>2860</v>
      </c>
    </row>
    <row r="12" spans="2:242" ht="13.9" customHeight="1">
      <c r="B12" s="2" t="s">
        <v>40</v>
      </c>
      <c r="C12" s="128"/>
      <c r="D12" s="128"/>
      <c r="E12" s="128"/>
      <c r="F12" s="128"/>
      <c r="G12" s="128"/>
      <c r="H12" s="128"/>
      <c r="I12" s="132"/>
      <c r="J12" s="131"/>
      <c r="K12" s="128"/>
      <c r="L12" s="128"/>
      <c r="M12" s="128"/>
      <c r="N12" s="128"/>
      <c r="O12" s="128"/>
      <c r="P12" s="128"/>
      <c r="Q12" s="132"/>
      <c r="R12" s="131"/>
      <c r="S12" s="128"/>
      <c r="T12" s="128"/>
      <c r="U12" s="128"/>
      <c r="V12" s="128"/>
      <c r="W12" s="128"/>
      <c r="X12" s="128"/>
      <c r="Y12" s="132"/>
      <c r="Z12" s="131"/>
      <c r="AA12" s="128"/>
      <c r="AB12" s="128"/>
      <c r="AC12" s="128"/>
      <c r="AD12" s="128"/>
      <c r="AE12" s="128"/>
      <c r="AF12" s="128"/>
      <c r="AG12" s="132"/>
      <c r="AH12" s="131"/>
      <c r="AI12" s="128"/>
      <c r="AJ12" s="128"/>
      <c r="AK12" s="128"/>
      <c r="AL12" s="128"/>
      <c r="AM12" s="128"/>
      <c r="AN12" s="128"/>
      <c r="AO12" s="132"/>
      <c r="AP12" s="131"/>
      <c r="AQ12" s="128"/>
      <c r="AR12" s="128"/>
      <c r="AS12" s="128"/>
      <c r="AT12" s="128"/>
      <c r="AU12" s="128"/>
      <c r="AV12" s="128"/>
      <c r="AW12" s="132"/>
      <c r="AX12" s="131"/>
      <c r="AY12" s="128"/>
      <c r="AZ12" s="128"/>
      <c r="BA12" s="128"/>
      <c r="BB12" s="128"/>
      <c r="BC12" s="128"/>
      <c r="BD12" s="128"/>
      <c r="BE12" s="132"/>
      <c r="BF12" s="131"/>
      <c r="BG12" s="128"/>
      <c r="BH12" s="128"/>
      <c r="BI12" s="128"/>
      <c r="BJ12" s="128"/>
      <c r="BK12" s="128"/>
      <c r="BL12" s="128"/>
      <c r="BM12" s="132"/>
      <c r="BN12" s="131"/>
      <c r="BO12" s="128"/>
      <c r="BP12" s="128"/>
      <c r="BQ12" s="128"/>
      <c r="BR12" s="128"/>
      <c r="BS12" s="128"/>
      <c r="BT12" s="128"/>
      <c r="BU12" s="132"/>
      <c r="BV12" s="131"/>
      <c r="BW12" s="128"/>
      <c r="BX12" s="128"/>
      <c r="BY12" s="128"/>
      <c r="BZ12" s="128"/>
      <c r="CA12" s="128"/>
      <c r="CB12" s="128"/>
      <c r="CC12" s="132"/>
      <c r="CD12" s="131"/>
      <c r="CE12" s="128"/>
      <c r="CF12" s="128"/>
      <c r="CG12" s="128"/>
      <c r="CH12" s="128"/>
      <c r="CI12" s="128"/>
      <c r="CJ12" s="128"/>
      <c r="CK12" s="132"/>
      <c r="CL12" s="131"/>
      <c r="CM12" s="128"/>
      <c r="CN12" s="128"/>
      <c r="CO12" s="128"/>
      <c r="CP12" s="128"/>
      <c r="CQ12" s="128"/>
      <c r="CR12" s="128"/>
      <c r="CS12" s="132"/>
      <c r="CT12" s="131"/>
      <c r="CU12" s="128"/>
      <c r="CV12" s="128"/>
      <c r="CW12" s="128"/>
      <c r="CX12" s="128"/>
      <c r="CY12" s="128"/>
      <c r="CZ12" s="128"/>
      <c r="DA12" s="132"/>
      <c r="DB12" s="131"/>
      <c r="DC12" s="128"/>
      <c r="DD12" s="128"/>
      <c r="DE12" s="128"/>
      <c r="DF12" s="128"/>
      <c r="DG12" s="128"/>
      <c r="DH12" s="128"/>
      <c r="DI12" s="132"/>
      <c r="DJ12" s="131"/>
      <c r="DK12" s="128"/>
      <c r="DL12" s="128"/>
      <c r="DM12" s="128"/>
      <c r="DN12" s="128"/>
      <c r="DO12" s="128"/>
      <c r="DP12" s="128"/>
      <c r="DQ12" s="132"/>
      <c r="DR12" s="131"/>
      <c r="DS12" s="128"/>
      <c r="DT12" s="128"/>
      <c r="DU12" s="128"/>
      <c r="DV12" s="128"/>
      <c r="DW12" s="128"/>
      <c r="DX12" s="128"/>
      <c r="DY12" s="132"/>
      <c r="DZ12" s="131"/>
      <c r="EA12" s="131"/>
      <c r="EB12" s="128"/>
      <c r="EC12" s="128"/>
      <c r="ED12" s="128"/>
      <c r="EE12" s="128"/>
      <c r="EF12" s="128"/>
      <c r="EG12" s="128"/>
      <c r="EH12" s="132"/>
      <c r="EI12" s="131"/>
      <c r="EJ12" s="128">
        <v>970</v>
      </c>
      <c r="EK12" s="128">
        <v>314</v>
      </c>
      <c r="EL12" s="128">
        <v>237</v>
      </c>
      <c r="EM12" s="128">
        <v>193</v>
      </c>
      <c r="EN12" s="128">
        <v>149</v>
      </c>
      <c r="EO12" s="128">
        <v>9</v>
      </c>
      <c r="EP12" s="130">
        <f>SUM(EJ12:EO12)</f>
        <v>1872</v>
      </c>
      <c r="EQ12" s="131"/>
      <c r="ER12" s="128"/>
      <c r="ES12" s="128"/>
      <c r="ET12" s="128"/>
      <c r="EU12" s="128"/>
      <c r="EV12" s="128"/>
      <c r="EW12" s="128"/>
      <c r="EX12" s="132"/>
      <c r="EY12" s="131"/>
      <c r="EZ12" s="128"/>
      <c r="FA12" s="128"/>
      <c r="FB12" s="128"/>
      <c r="FC12" s="128"/>
      <c r="FD12" s="128"/>
      <c r="FE12" s="128"/>
      <c r="FF12" s="132"/>
      <c r="FG12" s="131"/>
      <c r="FH12" s="128"/>
      <c r="FI12" s="128"/>
      <c r="FJ12" s="128"/>
      <c r="FK12" s="128"/>
      <c r="FL12" s="128"/>
      <c r="FM12" s="128"/>
      <c r="FN12" s="132"/>
      <c r="FO12" s="131"/>
      <c r="FP12" s="128">
        <v>1028</v>
      </c>
      <c r="FQ12" s="128">
        <v>323</v>
      </c>
      <c r="FR12" s="128">
        <v>216</v>
      </c>
      <c r="FS12" s="128">
        <v>186</v>
      </c>
      <c r="FT12" s="128">
        <v>159</v>
      </c>
      <c r="FU12" s="128">
        <v>10</v>
      </c>
      <c r="FV12" s="130">
        <f>SUM(FP12:FU12)</f>
        <v>1922</v>
      </c>
      <c r="FW12" s="131"/>
      <c r="FX12" s="128"/>
      <c r="FY12" s="128"/>
      <c r="FZ12" s="128"/>
      <c r="GA12" s="128"/>
      <c r="GB12" s="128"/>
      <c r="GC12" s="128"/>
      <c r="GD12" s="132"/>
      <c r="GE12" s="131"/>
      <c r="GF12" s="128"/>
      <c r="GG12" s="128"/>
      <c r="GH12" s="128"/>
      <c r="GI12" s="128"/>
      <c r="GJ12" s="128"/>
      <c r="GK12" s="128"/>
      <c r="GL12" s="132"/>
      <c r="GM12" s="131"/>
      <c r="GN12" s="128"/>
      <c r="GO12" s="128"/>
      <c r="GP12" s="128"/>
      <c r="GQ12" s="128"/>
      <c r="GR12" s="128"/>
      <c r="GS12" s="128"/>
      <c r="GT12" s="132"/>
      <c r="GU12" s="131"/>
      <c r="GV12" s="128">
        <v>1037</v>
      </c>
      <c r="GW12" s="128">
        <v>321</v>
      </c>
      <c r="GX12" s="128">
        <v>211</v>
      </c>
      <c r="GY12" s="128">
        <v>184</v>
      </c>
      <c r="GZ12" s="128">
        <v>171</v>
      </c>
      <c r="HA12" s="128">
        <v>8</v>
      </c>
      <c r="HB12" s="130">
        <f>SUM(GV12:HA12)</f>
        <v>1932</v>
      </c>
      <c r="HC12" s="131"/>
      <c r="HD12" s="382">
        <v>267</v>
      </c>
      <c r="HE12" s="382">
        <v>85</v>
      </c>
      <c r="HF12" s="382">
        <v>55</v>
      </c>
      <c r="HG12" s="382">
        <v>44</v>
      </c>
      <c r="HH12" s="382">
        <v>43</v>
      </c>
      <c r="HI12" s="382">
        <v>2</v>
      </c>
      <c r="HJ12" s="130">
        <f>SUM(HD12:HI12)</f>
        <v>496</v>
      </c>
      <c r="HK12" s="131"/>
      <c r="HL12" s="382">
        <v>270</v>
      </c>
      <c r="HM12" s="382">
        <v>82</v>
      </c>
      <c r="HN12" s="382">
        <v>54</v>
      </c>
      <c r="HO12" s="382">
        <v>44</v>
      </c>
      <c r="HP12" s="382">
        <v>0</v>
      </c>
      <c r="HQ12" s="382">
        <v>1</v>
      </c>
      <c r="HR12" s="130">
        <f>SUM(HL12:HQ12)</f>
        <v>451</v>
      </c>
      <c r="HS12" s="131"/>
      <c r="HT12" s="382">
        <v>270</v>
      </c>
      <c r="HU12" s="382">
        <v>81</v>
      </c>
      <c r="HV12" s="382">
        <v>52</v>
      </c>
      <c r="HW12" s="382">
        <v>44</v>
      </c>
      <c r="HX12" s="382">
        <v>0</v>
      </c>
      <c r="HY12" s="382">
        <v>2</v>
      </c>
      <c r="HZ12" s="130">
        <f>SUM(HT12:HY12)</f>
        <v>449</v>
      </c>
      <c r="IA12" s="131"/>
      <c r="IB12" s="382">
        <v>1089</v>
      </c>
      <c r="IC12" s="382">
        <v>329</v>
      </c>
      <c r="ID12" s="382">
        <v>214</v>
      </c>
      <c r="IE12" s="382">
        <v>178</v>
      </c>
      <c r="IF12" s="382">
        <v>43</v>
      </c>
      <c r="IG12" s="382">
        <v>6</v>
      </c>
      <c r="IH12" s="130">
        <v>1859</v>
      </c>
    </row>
    <row r="13" spans="2:242" ht="13.9" customHeight="1">
      <c r="B13" s="2" t="s">
        <v>285</v>
      </c>
      <c r="C13" s="128">
        <v>728</v>
      </c>
      <c r="D13" s="128">
        <v>383</v>
      </c>
      <c r="E13" s="128">
        <v>135</v>
      </c>
      <c r="F13" s="128">
        <v>285</v>
      </c>
      <c r="G13" s="128">
        <v>20</v>
      </c>
      <c r="H13" s="130">
        <v>164</v>
      </c>
      <c r="I13" s="130">
        <f>SUM(C13:H13)</f>
        <v>1715</v>
      </c>
      <c r="J13" s="131"/>
      <c r="K13" s="128">
        <v>850</v>
      </c>
      <c r="L13" s="128">
        <v>655</v>
      </c>
      <c r="M13" s="128">
        <v>194</v>
      </c>
      <c r="N13" s="128">
        <v>323</v>
      </c>
      <c r="O13" s="128">
        <v>21</v>
      </c>
      <c r="P13" s="130">
        <v>146</v>
      </c>
      <c r="Q13" s="130">
        <f>SUM(K13:P13)</f>
        <v>2189</v>
      </c>
      <c r="R13" s="131"/>
      <c r="S13" s="128">
        <v>207</v>
      </c>
      <c r="T13" s="128">
        <v>157</v>
      </c>
      <c r="U13" s="128">
        <v>46</v>
      </c>
      <c r="V13" s="128">
        <v>78</v>
      </c>
      <c r="W13" s="128">
        <v>1</v>
      </c>
      <c r="X13" s="130">
        <v>-23</v>
      </c>
      <c r="Y13" s="130">
        <f>SUM(S13:X13)</f>
        <v>466</v>
      </c>
      <c r="Z13" s="131"/>
      <c r="AA13" s="128">
        <v>204</v>
      </c>
      <c r="AB13" s="128">
        <v>156</v>
      </c>
      <c r="AC13" s="128">
        <v>46</v>
      </c>
      <c r="AD13" s="128">
        <v>81</v>
      </c>
      <c r="AE13" s="128">
        <v>4</v>
      </c>
      <c r="AF13" s="130">
        <v>-13</v>
      </c>
      <c r="AG13" s="130">
        <f>SUM(AA13:AF13)</f>
        <v>478</v>
      </c>
      <c r="AH13" s="131"/>
      <c r="AI13" s="128">
        <v>225</v>
      </c>
      <c r="AJ13" s="128">
        <v>157</v>
      </c>
      <c r="AK13" s="128">
        <v>47</v>
      </c>
      <c r="AL13" s="128">
        <v>93</v>
      </c>
      <c r="AM13" s="128">
        <v>4</v>
      </c>
      <c r="AN13" s="130">
        <v>-45</v>
      </c>
      <c r="AO13" s="130">
        <f>SUM(AI13:AN13)</f>
        <v>481</v>
      </c>
      <c r="AP13" s="131"/>
      <c r="AQ13" s="128">
        <v>861</v>
      </c>
      <c r="AR13" s="128">
        <v>633</v>
      </c>
      <c r="AS13" s="128">
        <v>190</v>
      </c>
      <c r="AT13" s="128">
        <v>334</v>
      </c>
      <c r="AU13" s="128">
        <v>14</v>
      </c>
      <c r="AV13" s="130">
        <v>-120</v>
      </c>
      <c r="AW13" s="130">
        <f>SUM(AQ13:AV13)</f>
        <v>1912</v>
      </c>
      <c r="AX13" s="131"/>
      <c r="AY13" s="128">
        <v>212</v>
      </c>
      <c r="AZ13" s="128">
        <v>150</v>
      </c>
      <c r="BA13" s="128">
        <v>44</v>
      </c>
      <c r="BB13" s="128">
        <v>76</v>
      </c>
      <c r="BC13" s="128">
        <v>3</v>
      </c>
      <c r="BD13" s="130">
        <v>-33</v>
      </c>
      <c r="BE13" s="130">
        <f>SUM(AY13:BD13)</f>
        <v>452</v>
      </c>
      <c r="BF13" s="131"/>
      <c r="BG13" s="128">
        <v>218</v>
      </c>
      <c r="BH13" s="128">
        <v>151</v>
      </c>
      <c r="BI13" s="128">
        <v>45</v>
      </c>
      <c r="BJ13" s="128">
        <v>78</v>
      </c>
      <c r="BK13" s="128">
        <v>4</v>
      </c>
      <c r="BL13" s="130">
        <v>-31</v>
      </c>
      <c r="BM13" s="130">
        <f>SUM(BG13:BL13)</f>
        <v>465</v>
      </c>
      <c r="BN13" s="131"/>
      <c r="BO13" s="128">
        <v>222</v>
      </c>
      <c r="BP13" s="128">
        <v>147</v>
      </c>
      <c r="BQ13" s="128">
        <v>42</v>
      </c>
      <c r="BR13" s="128">
        <v>76</v>
      </c>
      <c r="BS13" s="128">
        <v>2</v>
      </c>
      <c r="BT13" s="130">
        <v>-25</v>
      </c>
      <c r="BU13" s="130">
        <f>SUM(BO13:BT13)</f>
        <v>464</v>
      </c>
      <c r="BV13" s="131"/>
      <c r="BW13" s="128">
        <v>877</v>
      </c>
      <c r="BX13" s="128">
        <v>599</v>
      </c>
      <c r="BY13" s="128">
        <v>149</v>
      </c>
      <c r="BZ13" s="128">
        <v>310</v>
      </c>
      <c r="CA13" s="128">
        <v>14</v>
      </c>
      <c r="CB13" s="130">
        <v>-112</v>
      </c>
      <c r="CC13" s="130">
        <f>SUM(BW13:CB13)</f>
        <v>1837</v>
      </c>
      <c r="CD13" s="131"/>
      <c r="CE13" s="128">
        <v>223</v>
      </c>
      <c r="CF13" s="128">
        <v>142</v>
      </c>
      <c r="CG13" s="128">
        <v>49</v>
      </c>
      <c r="CH13" s="128">
        <v>75</v>
      </c>
      <c r="CI13" s="128">
        <v>1</v>
      </c>
      <c r="CJ13" s="130">
        <v>-14</v>
      </c>
      <c r="CK13" s="130">
        <f>SUM(CE13:CJ13)</f>
        <v>476</v>
      </c>
      <c r="CL13" s="131"/>
      <c r="CM13" s="128">
        <v>231</v>
      </c>
      <c r="CN13" s="128">
        <v>144</v>
      </c>
      <c r="CO13" s="128">
        <v>46</v>
      </c>
      <c r="CP13" s="128">
        <v>75</v>
      </c>
      <c r="CQ13" s="128">
        <v>1</v>
      </c>
      <c r="CR13" s="130">
        <v>-32</v>
      </c>
      <c r="CS13" s="130">
        <f>SUM(CM13:CR13)</f>
        <v>465</v>
      </c>
      <c r="CT13" s="131"/>
      <c r="CU13" s="128">
        <v>239</v>
      </c>
      <c r="CV13" s="128">
        <v>144</v>
      </c>
      <c r="CW13" s="128">
        <v>38</v>
      </c>
      <c r="CX13" s="128">
        <v>77</v>
      </c>
      <c r="CY13" s="128">
        <v>1</v>
      </c>
      <c r="CZ13" s="130">
        <v>-33</v>
      </c>
      <c r="DA13" s="130">
        <f>SUM(CU13:CZ13)</f>
        <v>466</v>
      </c>
      <c r="DB13" s="131"/>
      <c r="DC13" s="128">
        <v>938</v>
      </c>
      <c r="DD13" s="128">
        <v>577</v>
      </c>
      <c r="DE13" s="128">
        <v>173</v>
      </c>
      <c r="DF13" s="128">
        <v>292</v>
      </c>
      <c r="DG13" s="128">
        <v>4</v>
      </c>
      <c r="DH13" s="130">
        <v>-95</v>
      </c>
      <c r="DI13" s="130">
        <f>SUM(DC13:DH13)</f>
        <v>1889</v>
      </c>
      <c r="DJ13" s="131"/>
      <c r="DK13" s="128">
        <v>239</v>
      </c>
      <c r="DL13" s="128">
        <v>122</v>
      </c>
      <c r="DM13" s="128">
        <v>38</v>
      </c>
      <c r="DN13" s="128">
        <v>66</v>
      </c>
      <c r="DO13" s="128">
        <v>1</v>
      </c>
      <c r="DP13" s="130">
        <v>-18</v>
      </c>
      <c r="DQ13" s="130">
        <f>SUM(DK13:DP13)</f>
        <v>448</v>
      </c>
      <c r="DR13" s="131"/>
      <c r="DS13" s="128">
        <v>248</v>
      </c>
      <c r="DT13" s="128">
        <v>136</v>
      </c>
      <c r="DU13" s="128">
        <v>29</v>
      </c>
      <c r="DV13" s="128">
        <v>68</v>
      </c>
      <c r="DW13" s="128">
        <v>1</v>
      </c>
      <c r="DX13" s="130">
        <v>-24</v>
      </c>
      <c r="DY13" s="130">
        <f>SUM(DS13:DX13)</f>
        <v>458</v>
      </c>
      <c r="DZ13" s="131"/>
      <c r="EA13" s="131"/>
      <c r="EB13" s="128">
        <v>252</v>
      </c>
      <c r="EC13" s="128">
        <v>139</v>
      </c>
      <c r="ED13" s="128">
        <v>32</v>
      </c>
      <c r="EE13" s="128">
        <v>69</v>
      </c>
      <c r="EF13" s="128">
        <v>0</v>
      </c>
      <c r="EG13" s="130">
        <v>-24</v>
      </c>
      <c r="EH13" s="130">
        <f>SUM(EB13:EG13)</f>
        <v>468</v>
      </c>
      <c r="EI13" s="131"/>
      <c r="EJ13" s="128">
        <v>1005</v>
      </c>
      <c r="EK13" s="128">
        <v>532</v>
      </c>
      <c r="EL13" s="128">
        <v>134</v>
      </c>
      <c r="EM13" s="128">
        <v>274</v>
      </c>
      <c r="EN13" s="128">
        <v>4</v>
      </c>
      <c r="EO13" s="130">
        <v>-81</v>
      </c>
      <c r="EP13" s="130">
        <f>SUM(EJ13:EO13)</f>
        <v>1868</v>
      </c>
      <c r="EQ13" s="131"/>
      <c r="ER13" s="128">
        <v>245</v>
      </c>
      <c r="ES13" s="128">
        <v>133</v>
      </c>
      <c r="ET13" s="128">
        <v>30</v>
      </c>
      <c r="EU13" s="128">
        <v>60</v>
      </c>
      <c r="EV13" s="128">
        <v>2</v>
      </c>
      <c r="EW13" s="130">
        <v>-12</v>
      </c>
      <c r="EX13" s="130">
        <f>SUM(ER13:EW13)</f>
        <v>458</v>
      </c>
      <c r="EY13" s="131"/>
      <c r="EZ13" s="128">
        <v>256</v>
      </c>
      <c r="FA13" s="128">
        <v>135</v>
      </c>
      <c r="FB13" s="128">
        <v>33</v>
      </c>
      <c r="FC13" s="128">
        <v>59</v>
      </c>
      <c r="FD13" s="128">
        <v>0</v>
      </c>
      <c r="FE13" s="130">
        <v>-15</v>
      </c>
      <c r="FF13" s="130">
        <f>SUM(EZ13:FE13)</f>
        <v>468</v>
      </c>
      <c r="FG13" s="131"/>
      <c r="FH13" s="128">
        <v>258</v>
      </c>
      <c r="FI13" s="128">
        <v>143</v>
      </c>
      <c r="FJ13" s="128">
        <v>29</v>
      </c>
      <c r="FK13" s="128">
        <v>62</v>
      </c>
      <c r="FL13" s="128">
        <v>1</v>
      </c>
      <c r="FM13" s="130">
        <v>-23</v>
      </c>
      <c r="FN13" s="130">
        <f>SUM(FH13:FM13)</f>
        <v>470</v>
      </c>
      <c r="FO13" s="131"/>
      <c r="FP13" s="128">
        <v>1019</v>
      </c>
      <c r="FQ13" s="128">
        <v>549</v>
      </c>
      <c r="FR13" s="128">
        <v>137</v>
      </c>
      <c r="FS13" s="128">
        <v>244</v>
      </c>
      <c r="FT13" s="128">
        <v>6</v>
      </c>
      <c r="FU13" s="130">
        <v>-88</v>
      </c>
      <c r="FV13" s="130">
        <f>SUM(FP13:FU13)</f>
        <v>1867</v>
      </c>
      <c r="FW13" s="131"/>
      <c r="FX13" s="128">
        <v>252</v>
      </c>
      <c r="FY13" s="128">
        <v>138</v>
      </c>
      <c r="FZ13" s="128">
        <v>27</v>
      </c>
      <c r="GA13" s="128">
        <v>62</v>
      </c>
      <c r="GB13" s="129">
        <v>0</v>
      </c>
      <c r="GC13" s="130">
        <v>-6</v>
      </c>
      <c r="GD13" s="130">
        <f>SUM(FX13:GC13)</f>
        <v>473</v>
      </c>
      <c r="GE13" s="131"/>
      <c r="GF13" s="128">
        <v>255</v>
      </c>
      <c r="GG13" s="128">
        <v>134</v>
      </c>
      <c r="GH13" s="128">
        <v>26</v>
      </c>
      <c r="GI13" s="128">
        <v>63</v>
      </c>
      <c r="GJ13" s="129">
        <v>2</v>
      </c>
      <c r="GK13" s="130">
        <v>-18</v>
      </c>
      <c r="GL13" s="130">
        <f>SUM(GF13:GK13)</f>
        <v>462</v>
      </c>
      <c r="GM13" s="131"/>
      <c r="GN13" s="128">
        <v>256</v>
      </c>
      <c r="GO13" s="128">
        <v>135</v>
      </c>
      <c r="GP13" s="128">
        <v>23</v>
      </c>
      <c r="GQ13" s="128">
        <v>64</v>
      </c>
      <c r="GR13" s="129">
        <v>2</v>
      </c>
      <c r="GS13" s="130">
        <v>-36</v>
      </c>
      <c r="GT13" s="130">
        <f>SUM(GN13:GS13)</f>
        <v>444</v>
      </c>
      <c r="GU13" s="131"/>
      <c r="GV13" s="128">
        <v>1023</v>
      </c>
      <c r="GW13" s="128">
        <v>552</v>
      </c>
      <c r="GX13" s="128">
        <v>118</v>
      </c>
      <c r="GY13" s="128">
        <v>254</v>
      </c>
      <c r="GZ13" s="129">
        <v>5</v>
      </c>
      <c r="HA13" s="130">
        <v>-108</v>
      </c>
      <c r="HB13" s="130">
        <f>SUM(GV13:HA13)</f>
        <v>1844</v>
      </c>
      <c r="HC13" s="131"/>
      <c r="HD13" s="382">
        <v>258</v>
      </c>
      <c r="HE13" s="382">
        <v>140</v>
      </c>
      <c r="HF13" s="382">
        <v>19</v>
      </c>
      <c r="HG13" s="382">
        <v>60</v>
      </c>
      <c r="HH13" s="382">
        <v>1</v>
      </c>
      <c r="HI13" s="130">
        <v>-22</v>
      </c>
      <c r="HJ13" s="130">
        <f>SUM(HD13:HI13)</f>
        <v>456</v>
      </c>
      <c r="HK13" s="131"/>
      <c r="HL13" s="382">
        <v>261</v>
      </c>
      <c r="HM13" s="382">
        <v>141</v>
      </c>
      <c r="HN13" s="382">
        <v>29</v>
      </c>
      <c r="HO13" s="382">
        <v>57</v>
      </c>
      <c r="HP13" s="382">
        <v>0</v>
      </c>
      <c r="HQ13" s="130">
        <v>-105</v>
      </c>
      <c r="HR13" s="130">
        <f>SUM(HL13:HQ13)</f>
        <v>383</v>
      </c>
      <c r="HS13" s="131"/>
      <c r="HT13" s="382">
        <v>269</v>
      </c>
      <c r="HU13" s="382">
        <v>147</v>
      </c>
      <c r="HV13" s="382">
        <v>23</v>
      </c>
      <c r="HW13" s="382">
        <v>57</v>
      </c>
      <c r="HX13" s="382">
        <v>0</v>
      </c>
      <c r="HY13" s="130">
        <v>-116</v>
      </c>
      <c r="HZ13" s="130">
        <f>SUM(HT13:HY13)</f>
        <v>380</v>
      </c>
      <c r="IA13" s="131"/>
      <c r="IB13" s="382">
        <v>1060</v>
      </c>
      <c r="IC13" s="382">
        <v>576</v>
      </c>
      <c r="ID13" s="382">
        <v>103</v>
      </c>
      <c r="IE13" s="382">
        <v>235</v>
      </c>
      <c r="IF13" s="382">
        <v>1</v>
      </c>
      <c r="IG13" s="130">
        <v>-288</v>
      </c>
      <c r="IH13" s="130">
        <v>1687</v>
      </c>
    </row>
    <row r="14" spans="2:242" ht="13.9" customHeight="1">
      <c r="B14" s="2"/>
      <c r="C14" s="128"/>
      <c r="D14" s="128"/>
      <c r="E14" s="128"/>
      <c r="F14" s="128"/>
      <c r="G14" s="128"/>
      <c r="H14" s="130"/>
      <c r="I14" s="130"/>
      <c r="J14" s="131"/>
      <c r="K14" s="128"/>
      <c r="L14" s="128"/>
      <c r="M14" s="128"/>
      <c r="N14" s="128"/>
      <c r="O14" s="128"/>
      <c r="P14" s="130"/>
      <c r="Q14" s="130"/>
      <c r="R14" s="131"/>
      <c r="S14" s="128"/>
      <c r="T14" s="128"/>
      <c r="U14" s="128"/>
      <c r="V14" s="128"/>
      <c r="W14" s="128"/>
      <c r="X14" s="130"/>
      <c r="Y14" s="130"/>
      <c r="Z14" s="131"/>
      <c r="AA14" s="128"/>
      <c r="AB14" s="128"/>
      <c r="AC14" s="128"/>
      <c r="AD14" s="128"/>
      <c r="AE14" s="128"/>
      <c r="AF14" s="130"/>
      <c r="AG14" s="130"/>
      <c r="AH14" s="131"/>
      <c r="AI14" s="128"/>
      <c r="AJ14" s="128"/>
      <c r="AK14" s="128"/>
      <c r="AL14" s="128"/>
      <c r="AM14" s="128"/>
      <c r="AN14" s="130"/>
      <c r="AO14" s="130"/>
      <c r="AP14" s="131"/>
      <c r="AQ14" s="128"/>
      <c r="AR14" s="128"/>
      <c r="AS14" s="128"/>
      <c r="AT14" s="128"/>
      <c r="AU14" s="128"/>
      <c r="AV14" s="130"/>
      <c r="AW14" s="130"/>
      <c r="AX14" s="131"/>
      <c r="AY14" s="128"/>
      <c r="AZ14" s="128"/>
      <c r="BA14" s="128"/>
      <c r="BB14" s="128"/>
      <c r="BC14" s="128"/>
      <c r="BD14" s="130"/>
      <c r="BE14" s="130"/>
      <c r="BF14" s="131"/>
      <c r="BG14" s="128"/>
      <c r="BH14" s="128"/>
      <c r="BI14" s="128"/>
      <c r="BJ14" s="128"/>
      <c r="BK14" s="128"/>
      <c r="BL14" s="130"/>
      <c r="BM14" s="130"/>
      <c r="BN14" s="131"/>
      <c r="BO14" s="128"/>
      <c r="BP14" s="128"/>
      <c r="BQ14" s="128"/>
      <c r="BR14" s="128"/>
      <c r="BS14" s="128"/>
      <c r="BT14" s="130"/>
      <c r="BU14" s="130"/>
      <c r="BV14" s="131"/>
      <c r="BW14" s="128"/>
      <c r="BX14" s="128"/>
      <c r="BY14" s="128"/>
      <c r="BZ14" s="128"/>
      <c r="CA14" s="128"/>
      <c r="CB14" s="130"/>
      <c r="CC14" s="130"/>
      <c r="CD14" s="131"/>
      <c r="CE14" s="128"/>
      <c r="CF14" s="128"/>
      <c r="CG14" s="128"/>
      <c r="CH14" s="128"/>
      <c r="CI14" s="128"/>
      <c r="CJ14" s="130"/>
      <c r="CK14" s="132"/>
      <c r="CL14" s="131"/>
      <c r="CM14" s="128"/>
      <c r="CN14" s="128"/>
      <c r="CO14" s="128"/>
      <c r="CP14" s="128"/>
      <c r="CQ14" s="128"/>
      <c r="CR14" s="130"/>
      <c r="CS14" s="132"/>
      <c r="CT14" s="131"/>
      <c r="CU14" s="128"/>
      <c r="CV14" s="128"/>
      <c r="CW14" s="128"/>
      <c r="CX14" s="128"/>
      <c r="CY14" s="128"/>
      <c r="CZ14" s="130"/>
      <c r="DA14" s="132"/>
      <c r="DB14" s="131"/>
      <c r="DC14" s="128"/>
      <c r="DD14" s="128"/>
      <c r="DE14" s="128"/>
      <c r="DF14" s="128"/>
      <c r="DG14" s="128"/>
      <c r="DH14" s="130"/>
      <c r="DI14" s="132"/>
      <c r="DJ14" s="131"/>
      <c r="DK14" s="128"/>
      <c r="DL14" s="128"/>
      <c r="DM14" s="128"/>
      <c r="DN14" s="128"/>
      <c r="DO14" s="128"/>
      <c r="DP14" s="130"/>
      <c r="DQ14" s="132"/>
      <c r="DR14" s="131"/>
      <c r="DS14" s="128"/>
      <c r="DT14" s="128"/>
      <c r="DU14" s="128"/>
      <c r="DV14" s="128"/>
      <c r="DW14" s="128"/>
      <c r="DX14" s="130"/>
      <c r="DY14" s="132"/>
      <c r="DZ14" s="131"/>
      <c r="EA14" s="131"/>
      <c r="EB14" s="128"/>
      <c r="EC14" s="128"/>
      <c r="ED14" s="128"/>
      <c r="EE14" s="128"/>
      <c r="EF14" s="128"/>
      <c r="EG14" s="130"/>
      <c r="EH14" s="132"/>
      <c r="EI14" s="131"/>
      <c r="EJ14" s="128"/>
      <c r="EK14" s="128"/>
      <c r="EL14" s="128"/>
      <c r="EM14" s="128"/>
      <c r="EN14" s="128"/>
      <c r="EO14" s="130"/>
      <c r="EP14" s="132"/>
      <c r="EQ14" s="131"/>
      <c r="ER14" s="128"/>
      <c r="ES14" s="128"/>
      <c r="ET14" s="128"/>
      <c r="EU14" s="128"/>
      <c r="EV14" s="128"/>
      <c r="EW14" s="130"/>
      <c r="EX14" s="132"/>
      <c r="EY14" s="131"/>
      <c r="EZ14" s="128"/>
      <c r="FA14" s="128"/>
      <c r="FB14" s="128"/>
      <c r="FC14" s="128"/>
      <c r="FD14" s="128"/>
      <c r="FE14" s="130"/>
      <c r="FF14" s="132"/>
      <c r="FG14" s="131"/>
      <c r="FH14" s="128"/>
      <c r="FI14" s="128"/>
      <c r="FJ14" s="128"/>
      <c r="FK14" s="128"/>
      <c r="FL14" s="128"/>
      <c r="FM14" s="130"/>
      <c r="FN14" s="132"/>
      <c r="FO14" s="131"/>
      <c r="FP14" s="128"/>
      <c r="FQ14" s="128"/>
      <c r="FR14" s="128"/>
      <c r="FS14" s="128"/>
      <c r="FT14" s="128"/>
      <c r="FU14" s="130"/>
      <c r="FV14" s="132"/>
      <c r="FW14" s="131"/>
      <c r="FX14" s="128"/>
      <c r="FY14" s="128"/>
      <c r="FZ14" s="128"/>
      <c r="GA14" s="128"/>
      <c r="GB14" s="128"/>
      <c r="GC14" s="130"/>
      <c r="GD14" s="132"/>
      <c r="GE14" s="131"/>
      <c r="GF14" s="128"/>
      <c r="GG14" s="128"/>
      <c r="GH14" s="128"/>
      <c r="GI14" s="128"/>
      <c r="GJ14" s="128"/>
      <c r="GK14" s="130"/>
      <c r="GL14" s="132"/>
      <c r="GM14" s="131"/>
      <c r="GN14" s="128"/>
      <c r="GO14" s="128"/>
      <c r="GP14" s="128"/>
      <c r="GQ14" s="128"/>
      <c r="GR14" s="128"/>
      <c r="GS14" s="130"/>
      <c r="GT14" s="132"/>
      <c r="GU14" s="131"/>
      <c r="GV14" s="128"/>
      <c r="GW14" s="128"/>
      <c r="GX14" s="128"/>
      <c r="GY14" s="128"/>
      <c r="GZ14" s="128"/>
      <c r="HA14" s="130"/>
      <c r="HB14" s="132"/>
      <c r="HC14" s="131"/>
      <c r="HD14" s="382"/>
      <c r="HE14" s="382"/>
      <c r="HF14" s="382"/>
      <c r="HG14" s="382"/>
      <c r="HH14" s="382"/>
      <c r="HI14" s="130"/>
      <c r="HJ14" s="132"/>
      <c r="HK14" s="131"/>
      <c r="HL14" s="382"/>
      <c r="HM14" s="382"/>
      <c r="HN14" s="382"/>
      <c r="HO14" s="382"/>
      <c r="HP14" s="382"/>
      <c r="HQ14" s="130"/>
      <c r="HR14" s="132"/>
      <c r="HS14" s="131"/>
      <c r="HT14" s="382"/>
      <c r="HU14" s="382"/>
      <c r="HV14" s="382"/>
      <c r="HW14" s="382"/>
      <c r="HX14" s="382"/>
      <c r="HY14" s="130"/>
      <c r="HZ14" s="132"/>
      <c r="IA14" s="131"/>
      <c r="IB14" s="382"/>
      <c r="IC14" s="382"/>
      <c r="ID14" s="382"/>
      <c r="IE14" s="382"/>
      <c r="IF14" s="382"/>
      <c r="IG14" s="130"/>
      <c r="IH14" s="132"/>
    </row>
    <row r="15" spans="2:242" ht="13.9" customHeight="1">
      <c r="B15" s="273" t="s">
        <v>164</v>
      </c>
      <c r="C15" s="133">
        <v>1971</v>
      </c>
      <c r="D15" s="133">
        <v>72</v>
      </c>
      <c r="E15" s="133">
        <v>168</v>
      </c>
      <c r="F15" s="133">
        <v>163</v>
      </c>
      <c r="G15" s="133">
        <v>-20</v>
      </c>
      <c r="H15" s="133">
        <v>-244</v>
      </c>
      <c r="I15" s="133">
        <f>SUM(C15:H15)</f>
        <v>2110</v>
      </c>
      <c r="J15" s="133"/>
      <c r="K15" s="133">
        <v>1224</v>
      </c>
      <c r="L15" s="133">
        <v>-2</v>
      </c>
      <c r="M15" s="133">
        <v>77</v>
      </c>
      <c r="N15" s="133">
        <v>-56</v>
      </c>
      <c r="O15" s="133">
        <v>-36</v>
      </c>
      <c r="P15" s="133">
        <v>-1789</v>
      </c>
      <c r="Q15" s="133">
        <f>SUM(K15:P15)</f>
        <v>-582</v>
      </c>
      <c r="R15" s="133"/>
      <c r="S15" s="133">
        <v>531</v>
      </c>
      <c r="T15" s="133">
        <v>-10</v>
      </c>
      <c r="U15" s="133">
        <v>33</v>
      </c>
      <c r="V15" s="133">
        <v>-59</v>
      </c>
      <c r="W15" s="133">
        <v>1</v>
      </c>
      <c r="X15" s="133">
        <v>15</v>
      </c>
      <c r="Y15" s="133">
        <f>SUM(S15:X15)</f>
        <v>511</v>
      </c>
      <c r="Z15" s="133"/>
      <c r="AA15" s="133">
        <v>875</v>
      </c>
      <c r="AB15" s="133">
        <v>-8</v>
      </c>
      <c r="AC15" s="133">
        <v>17</v>
      </c>
      <c r="AD15" s="133">
        <v>-8</v>
      </c>
      <c r="AE15" s="133">
        <v>-3</v>
      </c>
      <c r="AF15" s="133">
        <v>-967</v>
      </c>
      <c r="AG15" s="133">
        <f>SUM(AA15:AF15)</f>
        <v>-94</v>
      </c>
      <c r="AH15" s="133"/>
      <c r="AI15" s="133">
        <v>440</v>
      </c>
      <c r="AJ15" s="133">
        <v>16</v>
      </c>
      <c r="AK15" s="133">
        <v>-40</v>
      </c>
      <c r="AL15" s="133">
        <v>-29</v>
      </c>
      <c r="AM15" s="133">
        <v>6</v>
      </c>
      <c r="AN15" s="133">
        <v>47</v>
      </c>
      <c r="AO15" s="133">
        <f>SUM(AI15:AN15)</f>
        <v>440</v>
      </c>
      <c r="AP15" s="133"/>
      <c r="AQ15" s="133">
        <v>2142</v>
      </c>
      <c r="AR15" s="133">
        <v>-99</v>
      </c>
      <c r="AS15" s="133">
        <v>-196</v>
      </c>
      <c r="AT15" s="133">
        <v>-135</v>
      </c>
      <c r="AU15" s="133">
        <v>1</v>
      </c>
      <c r="AV15" s="133">
        <v>-863</v>
      </c>
      <c r="AW15" s="133">
        <f>SUM(AQ15:AV15)</f>
        <v>850</v>
      </c>
      <c r="AX15" s="133"/>
      <c r="AY15" s="133">
        <v>439</v>
      </c>
      <c r="AZ15" s="133">
        <v>-13</v>
      </c>
      <c r="BA15" s="133">
        <v>36</v>
      </c>
      <c r="BB15" s="133">
        <v>-11</v>
      </c>
      <c r="BC15" s="133">
        <v>3</v>
      </c>
      <c r="BD15" s="133">
        <v>12</v>
      </c>
      <c r="BE15" s="133">
        <f>SUM(AY15:BD15)</f>
        <v>466</v>
      </c>
      <c r="BF15" s="133"/>
      <c r="BG15" s="133">
        <v>464</v>
      </c>
      <c r="BH15" s="133">
        <v>-8</v>
      </c>
      <c r="BI15" s="133">
        <v>26</v>
      </c>
      <c r="BJ15" s="133">
        <v>-6</v>
      </c>
      <c r="BK15" s="133">
        <v>7</v>
      </c>
      <c r="BL15" s="133">
        <v>29</v>
      </c>
      <c r="BM15" s="133">
        <f>SUM(BG15:BL15)</f>
        <v>512</v>
      </c>
      <c r="BN15" s="133"/>
      <c r="BO15" s="133">
        <v>446</v>
      </c>
      <c r="BP15" s="133">
        <v>-27</v>
      </c>
      <c r="BQ15" s="133">
        <v>-275</v>
      </c>
      <c r="BR15" s="133">
        <v>-16</v>
      </c>
      <c r="BS15" s="133">
        <v>27</v>
      </c>
      <c r="BT15" s="133">
        <v>34</v>
      </c>
      <c r="BU15" s="133">
        <f>SUM(BO15:BT15)</f>
        <v>189</v>
      </c>
      <c r="BV15" s="133"/>
      <c r="BW15" s="133">
        <v>1705</v>
      </c>
      <c r="BX15" s="133">
        <v>-84</v>
      </c>
      <c r="BY15" s="133">
        <v>-241</v>
      </c>
      <c r="BZ15" s="133">
        <v>-42</v>
      </c>
      <c r="CA15" s="133">
        <v>44</v>
      </c>
      <c r="CB15" s="133">
        <v>73</v>
      </c>
      <c r="CC15" s="133">
        <f>SUM(BW15:CB15)</f>
        <v>1455</v>
      </c>
      <c r="CD15" s="133"/>
      <c r="CE15" s="133">
        <v>593</v>
      </c>
      <c r="CF15" s="133">
        <v>-3</v>
      </c>
      <c r="CG15" s="133">
        <v>-8</v>
      </c>
      <c r="CH15" s="133">
        <v>-18</v>
      </c>
      <c r="CI15" s="133">
        <v>10</v>
      </c>
      <c r="CJ15" s="133">
        <v>12</v>
      </c>
      <c r="CK15" s="133">
        <f>SUM(CE15:CJ15)</f>
        <v>586</v>
      </c>
      <c r="CL15" s="133"/>
      <c r="CM15" s="133">
        <v>407</v>
      </c>
      <c r="CN15" s="133">
        <v>15</v>
      </c>
      <c r="CO15" s="133">
        <v>16</v>
      </c>
      <c r="CP15" s="133">
        <v>-3</v>
      </c>
      <c r="CQ15" s="133">
        <v>9</v>
      </c>
      <c r="CR15" s="133">
        <v>25</v>
      </c>
      <c r="CS15" s="133">
        <f>SUM(CM15:CR15)</f>
        <v>469</v>
      </c>
      <c r="CT15" s="133"/>
      <c r="CU15" s="133">
        <v>390</v>
      </c>
      <c r="CV15" s="133">
        <v>22</v>
      </c>
      <c r="CW15" s="133">
        <v>13</v>
      </c>
      <c r="CX15" s="133">
        <v>-11</v>
      </c>
      <c r="CY15" s="133">
        <v>5</v>
      </c>
      <c r="CZ15" s="133">
        <v>40</v>
      </c>
      <c r="DA15" s="133">
        <f>SUM(CU15:CZ15)</f>
        <v>459</v>
      </c>
      <c r="DB15" s="133"/>
      <c r="DC15" s="133">
        <v>1748</v>
      </c>
      <c r="DD15" s="133">
        <v>42</v>
      </c>
      <c r="DE15" s="133">
        <v>22</v>
      </c>
      <c r="DF15" s="133">
        <v>-41</v>
      </c>
      <c r="DG15" s="133">
        <v>27</v>
      </c>
      <c r="DH15" s="133">
        <v>72</v>
      </c>
      <c r="DI15" s="133">
        <f>SUM(DC15:DH15)</f>
        <v>1870</v>
      </c>
      <c r="DJ15" s="133"/>
      <c r="DK15" s="133">
        <v>386</v>
      </c>
      <c r="DL15" s="133">
        <v>64</v>
      </c>
      <c r="DM15" s="133">
        <v>-4</v>
      </c>
      <c r="DN15" s="133">
        <v>-7</v>
      </c>
      <c r="DO15" s="133">
        <v>4</v>
      </c>
      <c r="DP15" s="133">
        <v>17</v>
      </c>
      <c r="DQ15" s="133">
        <f>SUM(DK15:DP15)</f>
        <v>460</v>
      </c>
      <c r="DR15" s="133"/>
      <c r="DS15" s="133">
        <v>393</v>
      </c>
      <c r="DT15" s="133">
        <v>52</v>
      </c>
      <c r="DU15" s="133">
        <v>17</v>
      </c>
      <c r="DV15" s="133">
        <v>-7</v>
      </c>
      <c r="DW15" s="133">
        <v>3</v>
      </c>
      <c r="DX15" s="133">
        <v>5</v>
      </c>
      <c r="DY15" s="133">
        <f>SUM(DS15:DX15)</f>
        <v>463</v>
      </c>
      <c r="DZ15" s="133"/>
      <c r="EA15" s="133"/>
      <c r="EB15" s="133">
        <v>388</v>
      </c>
      <c r="EC15" s="133">
        <v>60</v>
      </c>
      <c r="ED15" s="133">
        <v>17</v>
      </c>
      <c r="EE15" s="133">
        <v>-22</v>
      </c>
      <c r="EF15" s="133">
        <v>1</v>
      </c>
      <c r="EG15" s="133">
        <v>22</v>
      </c>
      <c r="EH15" s="133">
        <f>SUM(EB15:EG15)</f>
        <v>466</v>
      </c>
      <c r="EI15" s="133"/>
      <c r="EJ15" s="133">
        <v>1460</v>
      </c>
      <c r="EK15" s="133">
        <v>193</v>
      </c>
      <c r="EL15" s="133">
        <v>-30</v>
      </c>
      <c r="EM15" s="133">
        <v>-48</v>
      </c>
      <c r="EN15" s="133">
        <v>6</v>
      </c>
      <c r="EO15" s="133">
        <v>56</v>
      </c>
      <c r="EP15" s="133">
        <f>SUM(EJ15:EO15)</f>
        <v>1637</v>
      </c>
      <c r="EQ15" s="133"/>
      <c r="ER15" s="133">
        <v>403</v>
      </c>
      <c r="ES15" s="133">
        <v>51</v>
      </c>
      <c r="ET15" s="133">
        <v>14</v>
      </c>
      <c r="EU15" s="133">
        <v>-5</v>
      </c>
      <c r="EV15" s="133">
        <v>-1</v>
      </c>
      <c r="EW15" s="133">
        <v>6</v>
      </c>
      <c r="EX15" s="133">
        <f>SUM(ER15:EW15)</f>
        <v>468</v>
      </c>
      <c r="EY15" s="133"/>
      <c r="EZ15" s="133">
        <v>418</v>
      </c>
      <c r="FA15" s="133">
        <v>49</v>
      </c>
      <c r="FB15" s="133">
        <v>16</v>
      </c>
      <c r="FC15" s="133">
        <v>13</v>
      </c>
      <c r="FD15" s="133">
        <v>-3</v>
      </c>
      <c r="FE15" s="133">
        <v>13</v>
      </c>
      <c r="FF15" s="133">
        <f>SUM(EZ15:FE15)</f>
        <v>506</v>
      </c>
      <c r="FG15" s="133"/>
      <c r="FH15" s="133">
        <v>310</v>
      </c>
      <c r="FI15" s="133">
        <v>59</v>
      </c>
      <c r="FJ15" s="133">
        <v>20</v>
      </c>
      <c r="FK15" s="133">
        <v>-6</v>
      </c>
      <c r="FL15" s="133">
        <v>2</v>
      </c>
      <c r="FM15" s="133">
        <v>40</v>
      </c>
      <c r="FN15" s="133">
        <f>SUM(FH15:FM15)</f>
        <v>425</v>
      </c>
      <c r="FO15" s="133"/>
      <c r="FP15" s="133">
        <v>1451</v>
      </c>
      <c r="FQ15" s="133">
        <v>196</v>
      </c>
      <c r="FR15" s="133">
        <v>39</v>
      </c>
      <c r="FS15" s="133">
        <v>-4</v>
      </c>
      <c r="FT15" s="133">
        <v>-1</v>
      </c>
      <c r="FU15" s="133">
        <v>98</v>
      </c>
      <c r="FV15" s="133">
        <f>SUM(FP15:FU15)</f>
        <v>1779</v>
      </c>
      <c r="FW15" s="133"/>
      <c r="FX15" s="133">
        <v>397</v>
      </c>
      <c r="FY15" s="133">
        <v>40</v>
      </c>
      <c r="FZ15" s="133">
        <v>20</v>
      </c>
      <c r="GA15" s="133">
        <v>-19</v>
      </c>
      <c r="GB15" s="133">
        <v>0</v>
      </c>
      <c r="GC15" s="133">
        <v>1</v>
      </c>
      <c r="GD15" s="133">
        <f>SUM(FX15:GC15)</f>
        <v>439</v>
      </c>
      <c r="GE15" s="133"/>
      <c r="GF15" s="133">
        <v>383</v>
      </c>
      <c r="GG15" s="133">
        <v>55</v>
      </c>
      <c r="GH15" s="133">
        <v>18</v>
      </c>
      <c r="GI15" s="133">
        <v>-25</v>
      </c>
      <c r="GJ15" s="133">
        <v>1</v>
      </c>
      <c r="GK15" s="133">
        <v>13</v>
      </c>
      <c r="GL15" s="133">
        <f>SUM(GF15:GK15)</f>
        <v>445</v>
      </c>
      <c r="GM15" s="133"/>
      <c r="GN15" s="133">
        <v>355</v>
      </c>
      <c r="GO15" s="133">
        <v>52</v>
      </c>
      <c r="GP15" s="133">
        <v>13</v>
      </c>
      <c r="GQ15" s="133">
        <v>-29</v>
      </c>
      <c r="GR15" s="133">
        <v>3</v>
      </c>
      <c r="GS15" s="133">
        <v>42</v>
      </c>
      <c r="GT15" s="133">
        <f>SUM(GN15:GS15)</f>
        <v>436</v>
      </c>
      <c r="GU15" s="133"/>
      <c r="GV15" s="133">
        <v>1438</v>
      </c>
      <c r="GW15" s="133">
        <v>189</v>
      </c>
      <c r="GX15" s="133">
        <v>-16</v>
      </c>
      <c r="GY15" s="133">
        <v>-92</v>
      </c>
      <c r="GZ15" s="133">
        <v>2</v>
      </c>
      <c r="HA15" s="133">
        <v>131</v>
      </c>
      <c r="HB15" s="133">
        <f>SUM(GV15:HA15)</f>
        <v>1652</v>
      </c>
      <c r="HC15" s="133"/>
      <c r="HD15" s="382">
        <v>384</v>
      </c>
      <c r="HE15" s="382">
        <v>44</v>
      </c>
      <c r="HF15" s="382">
        <v>14</v>
      </c>
      <c r="HG15" s="382">
        <v>-20</v>
      </c>
      <c r="HH15" s="382">
        <v>2</v>
      </c>
      <c r="HI15" s="382">
        <v>17</v>
      </c>
      <c r="HJ15" s="382">
        <f>SUM(HD15:HI15)</f>
        <v>441</v>
      </c>
      <c r="HK15" s="133"/>
      <c r="HL15" s="382">
        <v>386</v>
      </c>
      <c r="HM15" s="382">
        <v>43</v>
      </c>
      <c r="HN15" s="382">
        <v>8</v>
      </c>
      <c r="HO15" s="382">
        <v>-2</v>
      </c>
      <c r="HP15" s="382">
        <v>0</v>
      </c>
      <c r="HQ15" s="382">
        <v>196</v>
      </c>
      <c r="HR15" s="382">
        <f>SUM(HL15:HQ15)</f>
        <v>631</v>
      </c>
      <c r="HS15" s="133"/>
      <c r="HT15" s="389">
        <v>328</v>
      </c>
      <c r="HU15" s="389">
        <v>56</v>
      </c>
      <c r="HV15" s="389">
        <v>17</v>
      </c>
      <c r="HW15" s="389">
        <v>1</v>
      </c>
      <c r="HX15" s="389">
        <v>0</v>
      </c>
      <c r="HY15" s="389">
        <v>214</v>
      </c>
      <c r="HZ15" s="389">
        <f>SUM(HT15:HY15)</f>
        <v>616</v>
      </c>
      <c r="IA15" s="133"/>
      <c r="IB15" s="389">
        <v>1242</v>
      </c>
      <c r="IC15" s="389">
        <v>186</v>
      </c>
      <c r="ID15" s="389">
        <v>43</v>
      </c>
      <c r="IE15" s="389">
        <v>-33</v>
      </c>
      <c r="IF15" s="389">
        <v>2</v>
      </c>
      <c r="IG15" s="389">
        <v>577</v>
      </c>
      <c r="IH15" s="389">
        <v>2017</v>
      </c>
    </row>
    <row r="16" spans="2:242" ht="13.9" customHeight="1">
      <c r="B16" s="2"/>
      <c r="C16" s="128"/>
      <c r="D16" s="128"/>
      <c r="E16" s="128"/>
      <c r="F16" s="128"/>
      <c r="G16" s="128"/>
      <c r="H16" s="128"/>
      <c r="I16" s="132"/>
      <c r="J16" s="131"/>
      <c r="K16" s="128"/>
      <c r="L16" s="128"/>
      <c r="M16" s="128"/>
      <c r="N16" s="128"/>
      <c r="O16" s="128"/>
      <c r="P16" s="128"/>
      <c r="Q16" s="132"/>
      <c r="R16" s="131"/>
      <c r="S16" s="128"/>
      <c r="T16" s="128"/>
      <c r="U16" s="128"/>
      <c r="V16" s="128"/>
      <c r="W16" s="128"/>
      <c r="X16" s="128"/>
      <c r="Y16" s="132"/>
      <c r="Z16" s="131"/>
      <c r="AA16" s="128"/>
      <c r="AB16" s="128"/>
      <c r="AC16" s="128"/>
      <c r="AD16" s="128"/>
      <c r="AE16" s="128"/>
      <c r="AF16" s="128"/>
      <c r="AG16" s="132"/>
      <c r="AH16" s="131"/>
      <c r="AI16" s="128"/>
      <c r="AJ16" s="128"/>
      <c r="AK16" s="128"/>
      <c r="AL16" s="128"/>
      <c r="AM16" s="128"/>
      <c r="AN16" s="128"/>
      <c r="AO16" s="132"/>
      <c r="AP16" s="131"/>
      <c r="AQ16" s="128"/>
      <c r="AR16" s="128"/>
      <c r="AS16" s="128"/>
      <c r="AT16" s="128"/>
      <c r="AU16" s="128"/>
      <c r="AV16" s="128"/>
      <c r="AW16" s="132"/>
      <c r="AX16" s="131"/>
      <c r="AY16" s="128"/>
      <c r="AZ16" s="128"/>
      <c r="BA16" s="128"/>
      <c r="BB16" s="128"/>
      <c r="BC16" s="128"/>
      <c r="BD16" s="128"/>
      <c r="BE16" s="132"/>
      <c r="BF16" s="131"/>
      <c r="BG16" s="128"/>
      <c r="BH16" s="128"/>
      <c r="BI16" s="128"/>
      <c r="BJ16" s="128"/>
      <c r="BK16" s="128"/>
      <c r="BL16" s="128"/>
      <c r="BM16" s="132"/>
      <c r="BN16" s="131"/>
      <c r="BO16" s="128"/>
      <c r="BP16" s="128"/>
      <c r="BQ16" s="128"/>
      <c r="BR16" s="128"/>
      <c r="BS16" s="128"/>
      <c r="BT16" s="128"/>
      <c r="BU16" s="132"/>
      <c r="BV16" s="131"/>
      <c r="BW16" s="128"/>
      <c r="BX16" s="128"/>
      <c r="BY16" s="128"/>
      <c r="BZ16" s="128"/>
      <c r="CA16" s="128"/>
      <c r="CB16" s="128"/>
      <c r="CC16" s="132"/>
      <c r="CD16" s="131"/>
      <c r="CE16" s="128"/>
      <c r="CF16" s="128"/>
      <c r="CG16" s="128"/>
      <c r="CH16" s="128"/>
      <c r="CI16" s="128"/>
      <c r="CJ16" s="128"/>
      <c r="CK16" s="132"/>
      <c r="CL16" s="131"/>
      <c r="CM16" s="128"/>
      <c r="CN16" s="128"/>
      <c r="CO16" s="130"/>
      <c r="CP16" s="128"/>
      <c r="CQ16" s="128"/>
      <c r="CR16" s="128"/>
      <c r="CS16" s="132"/>
      <c r="CT16" s="131"/>
      <c r="CU16" s="128"/>
      <c r="CV16" s="128"/>
      <c r="CW16" s="130"/>
      <c r="CX16" s="128"/>
      <c r="CY16" s="128"/>
      <c r="CZ16" s="128"/>
      <c r="DA16" s="132"/>
      <c r="DB16" s="131"/>
      <c r="DC16" s="128"/>
      <c r="DD16" s="128"/>
      <c r="DE16" s="130"/>
      <c r="DF16" s="128"/>
      <c r="DG16" s="128"/>
      <c r="DH16" s="128"/>
      <c r="DI16" s="132"/>
      <c r="DJ16" s="131"/>
      <c r="DK16" s="128"/>
      <c r="DL16" s="128"/>
      <c r="DM16" s="130"/>
      <c r="DN16" s="128"/>
      <c r="DO16" s="128"/>
      <c r="DP16" s="128"/>
      <c r="DQ16" s="132"/>
      <c r="DR16" s="131"/>
      <c r="DS16" s="128"/>
      <c r="DT16" s="128"/>
      <c r="DU16" s="130"/>
      <c r="DV16" s="128"/>
      <c r="DW16" s="128"/>
      <c r="DX16" s="128"/>
      <c r="DY16" s="132"/>
      <c r="DZ16" s="131"/>
      <c r="EA16" s="131"/>
      <c r="EB16" s="128"/>
      <c r="EC16" s="128"/>
      <c r="ED16" s="130"/>
      <c r="EE16" s="128"/>
      <c r="EF16" s="128"/>
      <c r="EG16" s="128"/>
      <c r="EH16" s="132"/>
      <c r="EI16" s="131"/>
      <c r="EJ16" s="128"/>
      <c r="EK16" s="128"/>
      <c r="EL16" s="130"/>
      <c r="EM16" s="128"/>
      <c r="EN16" s="128"/>
      <c r="EO16" s="128"/>
      <c r="EP16" s="132"/>
      <c r="EQ16" s="131"/>
      <c r="ER16" s="128"/>
      <c r="ES16" s="128"/>
      <c r="ET16" s="130"/>
      <c r="EU16" s="128"/>
      <c r="EV16" s="128"/>
      <c r="EW16" s="128"/>
      <c r="EX16" s="132"/>
      <c r="EY16" s="131"/>
      <c r="EZ16" s="128"/>
      <c r="FA16" s="128"/>
      <c r="FB16" s="130"/>
      <c r="FC16" s="128"/>
      <c r="FD16" s="128"/>
      <c r="FE16" s="128"/>
      <c r="FF16" s="132"/>
      <c r="FG16" s="131"/>
      <c r="FH16" s="128"/>
      <c r="FI16" s="128"/>
      <c r="FJ16" s="130"/>
      <c r="FK16" s="128"/>
      <c r="FL16" s="128"/>
      <c r="FM16" s="128"/>
      <c r="FN16" s="132"/>
      <c r="FO16" s="131"/>
      <c r="FP16" s="128"/>
      <c r="FQ16" s="128"/>
      <c r="FR16" s="130"/>
      <c r="FS16" s="128"/>
      <c r="FT16" s="128"/>
      <c r="FU16" s="128"/>
      <c r="FV16" s="132"/>
      <c r="FW16" s="131"/>
      <c r="FX16" s="128"/>
      <c r="FY16" s="128"/>
      <c r="FZ16" s="130"/>
      <c r="GA16" s="128"/>
      <c r="GB16" s="128"/>
      <c r="GC16" s="128"/>
      <c r="GD16" s="132"/>
      <c r="GE16" s="131"/>
      <c r="GF16" s="128"/>
      <c r="GG16" s="128"/>
      <c r="GH16" s="130"/>
      <c r="GI16" s="128"/>
      <c r="GJ16" s="128"/>
      <c r="GK16" s="128"/>
      <c r="GL16" s="132"/>
      <c r="GM16" s="131"/>
      <c r="GN16" s="128"/>
      <c r="GO16" s="128"/>
      <c r="GP16" s="130"/>
      <c r="GQ16" s="128"/>
      <c r="GR16" s="128"/>
      <c r="GS16" s="128"/>
      <c r="GT16" s="132"/>
      <c r="GU16" s="131"/>
      <c r="GV16" s="128"/>
      <c r="GW16" s="128"/>
      <c r="GX16" s="130"/>
      <c r="GY16" s="128"/>
      <c r="GZ16" s="128"/>
      <c r="HA16" s="128"/>
      <c r="HB16" s="132"/>
      <c r="HC16" s="131"/>
      <c r="HD16" s="382"/>
      <c r="HE16" s="382"/>
      <c r="HF16" s="130"/>
      <c r="HG16" s="382"/>
      <c r="HH16" s="382"/>
      <c r="HI16" s="382"/>
      <c r="HJ16" s="132"/>
      <c r="HK16" s="131"/>
      <c r="HL16" s="382"/>
      <c r="HM16" s="382"/>
      <c r="HN16" s="130"/>
      <c r="HO16" s="382"/>
      <c r="HP16" s="382"/>
      <c r="HQ16" s="382"/>
      <c r="HR16" s="132"/>
      <c r="HS16" s="131"/>
      <c r="HT16" s="382"/>
      <c r="HU16" s="382"/>
      <c r="HV16" s="130"/>
      <c r="HW16" s="382"/>
      <c r="HX16" s="382"/>
      <c r="HY16" s="382"/>
      <c r="HZ16" s="132"/>
      <c r="IA16" s="131"/>
      <c r="IB16" s="382"/>
      <c r="IC16" s="382"/>
      <c r="ID16" s="130"/>
      <c r="IE16" s="382"/>
      <c r="IF16" s="382"/>
      <c r="IG16" s="382"/>
      <c r="IH16" s="132"/>
    </row>
    <row r="17" spans="2:242" ht="13.9" customHeight="1">
      <c r="B17" s="2" t="s">
        <v>286</v>
      </c>
      <c r="C17" s="128">
        <v>403</v>
      </c>
      <c r="D17" s="130">
        <v>-51</v>
      </c>
      <c r="E17" s="128">
        <v>2</v>
      </c>
      <c r="F17" s="128">
        <v>71</v>
      </c>
      <c r="G17" s="128">
        <v>-5</v>
      </c>
      <c r="H17" s="129">
        <v>-3</v>
      </c>
      <c r="I17" s="130">
        <f>SUM(C17:H17)</f>
        <v>417</v>
      </c>
      <c r="J17" s="131"/>
      <c r="K17" s="128">
        <v>470</v>
      </c>
      <c r="L17" s="130">
        <v>-34</v>
      </c>
      <c r="M17" s="128">
        <v>10</v>
      </c>
      <c r="N17" s="130">
        <v>-11</v>
      </c>
      <c r="O17" s="129">
        <v>0</v>
      </c>
      <c r="P17" s="129">
        <v>0</v>
      </c>
      <c r="Q17" s="130">
        <f>SUM(K17:P17)</f>
        <v>435</v>
      </c>
      <c r="R17" s="131"/>
      <c r="S17" s="128">
        <v>106</v>
      </c>
      <c r="T17" s="130">
        <v>-13</v>
      </c>
      <c r="U17" s="128">
        <v>1</v>
      </c>
      <c r="V17" s="130">
        <v>5</v>
      </c>
      <c r="W17" s="129">
        <v>0</v>
      </c>
      <c r="X17" s="129">
        <v>0</v>
      </c>
      <c r="Y17" s="130">
        <f>SUM(S17:X17)</f>
        <v>99</v>
      </c>
      <c r="Z17" s="131"/>
      <c r="AA17" s="128">
        <v>141</v>
      </c>
      <c r="AB17" s="130">
        <v>-10</v>
      </c>
      <c r="AC17" s="128">
        <v>4</v>
      </c>
      <c r="AD17" s="130">
        <v>2</v>
      </c>
      <c r="AE17" s="129">
        <v>0</v>
      </c>
      <c r="AF17" s="129">
        <v>-1</v>
      </c>
      <c r="AG17" s="130">
        <f>SUM(AA17:AF17)</f>
        <v>136</v>
      </c>
      <c r="AH17" s="131"/>
      <c r="AI17" s="128">
        <v>207</v>
      </c>
      <c r="AJ17" s="130">
        <v>-8</v>
      </c>
      <c r="AK17" s="128">
        <v>2</v>
      </c>
      <c r="AL17" s="130">
        <v>4</v>
      </c>
      <c r="AM17" s="129">
        <v>1</v>
      </c>
      <c r="AN17" s="129">
        <v>-1</v>
      </c>
      <c r="AO17" s="130">
        <f>SUM(AI17:AN17)</f>
        <v>205</v>
      </c>
      <c r="AP17" s="131"/>
      <c r="AQ17" s="128">
        <v>569</v>
      </c>
      <c r="AR17" s="130">
        <v>-39</v>
      </c>
      <c r="AS17" s="128">
        <v>6</v>
      </c>
      <c r="AT17" s="128">
        <v>12</v>
      </c>
      <c r="AU17" s="128">
        <v>1</v>
      </c>
      <c r="AV17" s="129">
        <v>0</v>
      </c>
      <c r="AW17" s="130">
        <f>SUM(AQ17:AV17)</f>
        <v>549</v>
      </c>
      <c r="AX17" s="131"/>
      <c r="AY17" s="128">
        <v>49</v>
      </c>
      <c r="AZ17" s="130">
        <v>-10</v>
      </c>
      <c r="BA17" s="128">
        <v>1</v>
      </c>
      <c r="BB17" s="128">
        <v>-5</v>
      </c>
      <c r="BC17" s="129">
        <v>0</v>
      </c>
      <c r="BD17" s="129">
        <v>-1</v>
      </c>
      <c r="BE17" s="130">
        <f>SUM(AY17:BD17)</f>
        <v>34</v>
      </c>
      <c r="BF17" s="131"/>
      <c r="BG17" s="128">
        <v>163</v>
      </c>
      <c r="BH17" s="130">
        <v>-11</v>
      </c>
      <c r="BI17" s="128">
        <v>-2</v>
      </c>
      <c r="BJ17" s="128">
        <v>4</v>
      </c>
      <c r="BK17" s="128">
        <v>1</v>
      </c>
      <c r="BL17" s="129">
        <v>4</v>
      </c>
      <c r="BM17" s="130">
        <f>SUM(BG17:BL17)</f>
        <v>159</v>
      </c>
      <c r="BN17" s="131"/>
      <c r="BO17" s="128">
        <v>91</v>
      </c>
      <c r="BP17" s="130">
        <v>-12</v>
      </c>
      <c r="BQ17" s="128">
        <v>1</v>
      </c>
      <c r="BR17" s="128">
        <v>1</v>
      </c>
      <c r="BS17" s="129">
        <v>0</v>
      </c>
      <c r="BT17" s="129">
        <v>-1</v>
      </c>
      <c r="BU17" s="130">
        <f>SUM(BO17:BT17)</f>
        <v>80</v>
      </c>
      <c r="BV17" s="131"/>
      <c r="BW17" s="128">
        <v>403</v>
      </c>
      <c r="BX17" s="130">
        <v>-48</v>
      </c>
      <c r="BY17" s="128">
        <v>2</v>
      </c>
      <c r="BZ17" s="128">
        <v>13</v>
      </c>
      <c r="CA17" s="128">
        <v>1</v>
      </c>
      <c r="CB17" s="129">
        <v>0</v>
      </c>
      <c r="CC17" s="130">
        <f>SUM(BW17:CB17)</f>
        <v>371</v>
      </c>
      <c r="CD17" s="131"/>
      <c r="CE17" s="128">
        <v>68</v>
      </c>
      <c r="CF17" s="130">
        <v>-10</v>
      </c>
      <c r="CG17" s="128">
        <v>0</v>
      </c>
      <c r="CH17" s="130">
        <v>-7</v>
      </c>
      <c r="CI17" s="128">
        <v>0</v>
      </c>
      <c r="CJ17" s="129">
        <v>0</v>
      </c>
      <c r="CK17" s="130">
        <f>SUM(CE17:CJ17)</f>
        <v>51</v>
      </c>
      <c r="CL17" s="131"/>
      <c r="CM17" s="128">
        <v>90</v>
      </c>
      <c r="CN17" s="130">
        <v>-11</v>
      </c>
      <c r="CO17" s="130">
        <v>1</v>
      </c>
      <c r="CP17" s="130">
        <v>4</v>
      </c>
      <c r="CQ17" s="128">
        <v>0</v>
      </c>
      <c r="CR17" s="128">
        <v>0</v>
      </c>
      <c r="CS17" s="130">
        <f>SUM(CM17:CR17)</f>
        <v>84</v>
      </c>
      <c r="CT17" s="131"/>
      <c r="CU17" s="128">
        <v>110</v>
      </c>
      <c r="CV17" s="130">
        <v>-11</v>
      </c>
      <c r="CW17" s="128">
        <v>0</v>
      </c>
      <c r="CX17" s="130">
        <v>1</v>
      </c>
      <c r="CY17" s="128">
        <v>0</v>
      </c>
      <c r="CZ17" s="128">
        <v>0</v>
      </c>
      <c r="DA17" s="130">
        <f>SUM(CU17:CZ17)</f>
        <v>100</v>
      </c>
      <c r="DB17" s="131"/>
      <c r="DC17" s="128">
        <v>342</v>
      </c>
      <c r="DD17" s="130">
        <v>-42</v>
      </c>
      <c r="DE17" s="128">
        <v>2</v>
      </c>
      <c r="DF17" s="130">
        <v>1</v>
      </c>
      <c r="DG17" s="128">
        <v>0</v>
      </c>
      <c r="DH17" s="130">
        <v>2</v>
      </c>
      <c r="DI17" s="130">
        <f>SUM(DC17:DH17)</f>
        <v>305</v>
      </c>
      <c r="DJ17" s="131"/>
      <c r="DK17" s="128">
        <v>94</v>
      </c>
      <c r="DL17" s="130">
        <v>-9</v>
      </c>
      <c r="DM17" s="128">
        <v>1</v>
      </c>
      <c r="DN17" s="130">
        <v>-1</v>
      </c>
      <c r="DO17" s="128">
        <v>0</v>
      </c>
      <c r="DP17" s="128">
        <v>0</v>
      </c>
      <c r="DQ17" s="130">
        <f>SUM(DK17:DP17)</f>
        <v>85</v>
      </c>
      <c r="DR17" s="131"/>
      <c r="DS17" s="128">
        <v>76</v>
      </c>
      <c r="DT17" s="130">
        <v>-7</v>
      </c>
      <c r="DU17" s="128">
        <v>2</v>
      </c>
      <c r="DV17" s="130">
        <v>-4</v>
      </c>
      <c r="DW17" s="128">
        <v>0</v>
      </c>
      <c r="DX17" s="128">
        <v>0</v>
      </c>
      <c r="DY17" s="130">
        <f>SUM(DS17:DX17)</f>
        <v>67</v>
      </c>
      <c r="DZ17" s="131"/>
      <c r="EA17" s="131"/>
      <c r="EB17" s="128">
        <v>79</v>
      </c>
      <c r="EC17" s="130">
        <v>-7</v>
      </c>
      <c r="ED17" s="128">
        <v>1</v>
      </c>
      <c r="EE17" s="130">
        <v>-1</v>
      </c>
      <c r="EF17" s="128">
        <v>1</v>
      </c>
      <c r="EG17" s="128">
        <v>0</v>
      </c>
      <c r="EH17" s="130">
        <f>SUM(EB17:EG17)</f>
        <v>73</v>
      </c>
      <c r="EI17" s="131"/>
      <c r="EJ17" s="128">
        <v>332</v>
      </c>
      <c r="EK17" s="130">
        <v>-26</v>
      </c>
      <c r="EL17" s="128">
        <v>1</v>
      </c>
      <c r="EM17" s="130">
        <v>-6</v>
      </c>
      <c r="EN17" s="128">
        <v>0</v>
      </c>
      <c r="EO17" s="128">
        <v>0</v>
      </c>
      <c r="EP17" s="130">
        <f>SUM(EJ17:EO17)</f>
        <v>301</v>
      </c>
      <c r="EQ17" s="131"/>
      <c r="ER17" s="128">
        <v>76</v>
      </c>
      <c r="ES17" s="130">
        <v>-6</v>
      </c>
      <c r="ET17" s="128">
        <v>1</v>
      </c>
      <c r="EU17" s="130">
        <v>-5</v>
      </c>
      <c r="EV17" s="128">
        <v>0</v>
      </c>
      <c r="EW17" s="128">
        <v>-1</v>
      </c>
      <c r="EX17" s="130">
        <f>SUM(ER17:EW17)</f>
        <v>65</v>
      </c>
      <c r="EY17" s="131"/>
      <c r="EZ17" s="128">
        <v>71</v>
      </c>
      <c r="FA17" s="130">
        <v>-6</v>
      </c>
      <c r="FB17" s="128">
        <v>3</v>
      </c>
      <c r="FC17" s="130">
        <v>-4</v>
      </c>
      <c r="FD17" s="128">
        <v>0</v>
      </c>
      <c r="FE17" s="128">
        <v>-1</v>
      </c>
      <c r="FF17" s="130">
        <f>SUM(EZ17:FE17)</f>
        <v>63</v>
      </c>
      <c r="FG17" s="131"/>
      <c r="FH17" s="128">
        <v>59</v>
      </c>
      <c r="FI17" s="130">
        <v>-4</v>
      </c>
      <c r="FJ17" s="128">
        <v>3</v>
      </c>
      <c r="FK17" s="130">
        <v>-6</v>
      </c>
      <c r="FL17" s="128">
        <v>0</v>
      </c>
      <c r="FM17" s="128">
        <v>2</v>
      </c>
      <c r="FN17" s="130">
        <f>SUM(FH17:FM17)</f>
        <v>54</v>
      </c>
      <c r="FO17" s="131"/>
      <c r="FP17" s="128">
        <v>256</v>
      </c>
      <c r="FQ17" s="130">
        <v>-13</v>
      </c>
      <c r="FR17" s="128">
        <v>10</v>
      </c>
      <c r="FS17" s="130">
        <v>-9</v>
      </c>
      <c r="FT17" s="128">
        <v>0</v>
      </c>
      <c r="FU17" s="128">
        <v>0</v>
      </c>
      <c r="FV17" s="130">
        <f>SUM(FP17:FU17)</f>
        <v>244</v>
      </c>
      <c r="FW17" s="131"/>
      <c r="FX17" s="128">
        <v>52</v>
      </c>
      <c r="FY17" s="128">
        <v>0</v>
      </c>
      <c r="FZ17" s="128">
        <v>2</v>
      </c>
      <c r="GA17" s="130">
        <v>-5</v>
      </c>
      <c r="GB17" s="128">
        <v>-2</v>
      </c>
      <c r="GC17" s="128">
        <v>-1</v>
      </c>
      <c r="GD17" s="130">
        <f>SUM(FX17:GC17)</f>
        <v>46</v>
      </c>
      <c r="GE17" s="131"/>
      <c r="GF17" s="128">
        <v>70</v>
      </c>
      <c r="GG17" s="128">
        <v>4</v>
      </c>
      <c r="GH17" s="128">
        <v>0</v>
      </c>
      <c r="GI17" s="130">
        <v>-7</v>
      </c>
      <c r="GJ17" s="128">
        <v>2</v>
      </c>
      <c r="GK17" s="128">
        <v>2</v>
      </c>
      <c r="GL17" s="130">
        <f>SUM(GF17:GK17)</f>
        <v>71</v>
      </c>
      <c r="GM17" s="131"/>
      <c r="GN17" s="128">
        <v>67</v>
      </c>
      <c r="GO17" s="128">
        <v>2</v>
      </c>
      <c r="GP17" s="128">
        <v>1</v>
      </c>
      <c r="GQ17" s="130">
        <v>0</v>
      </c>
      <c r="GR17" s="128">
        <v>0</v>
      </c>
      <c r="GS17" s="128">
        <v>0</v>
      </c>
      <c r="GT17" s="130">
        <f>SUM(GN17:GS17)</f>
        <v>70</v>
      </c>
      <c r="GU17" s="131"/>
      <c r="GV17" s="128">
        <v>250</v>
      </c>
      <c r="GW17" s="128">
        <v>7</v>
      </c>
      <c r="GX17" s="128">
        <v>5</v>
      </c>
      <c r="GY17" s="130">
        <v>-10</v>
      </c>
      <c r="GZ17" s="128">
        <v>0</v>
      </c>
      <c r="HA17" s="128">
        <v>-2</v>
      </c>
      <c r="HB17" s="130">
        <f>SUM(GV17:HA17)</f>
        <v>250</v>
      </c>
      <c r="HC17" s="131"/>
      <c r="HD17" s="382">
        <v>46</v>
      </c>
      <c r="HE17" s="382">
        <v>3</v>
      </c>
      <c r="HF17" s="382">
        <v>3</v>
      </c>
      <c r="HG17" s="130">
        <v>-6</v>
      </c>
      <c r="HH17" s="382">
        <v>0</v>
      </c>
      <c r="HI17" s="382">
        <v>-1</v>
      </c>
      <c r="HJ17" s="130">
        <f>SUM(HD17:HI17)</f>
        <v>45</v>
      </c>
      <c r="HK17" s="131"/>
      <c r="HL17" s="382">
        <v>101</v>
      </c>
      <c r="HM17" s="382">
        <v>3</v>
      </c>
      <c r="HN17" s="382">
        <v>1</v>
      </c>
      <c r="HO17" s="130">
        <v>21</v>
      </c>
      <c r="HP17" s="382">
        <v>0</v>
      </c>
      <c r="HQ17" s="382">
        <v>1</v>
      </c>
      <c r="HR17" s="130">
        <f>SUM(HL17:HQ17)</f>
        <v>127</v>
      </c>
      <c r="HS17" s="131"/>
      <c r="HT17" s="382">
        <v>73</v>
      </c>
      <c r="HU17" s="382">
        <v>6</v>
      </c>
      <c r="HV17" s="382">
        <v>2</v>
      </c>
      <c r="HW17" s="130">
        <v>3</v>
      </c>
      <c r="HX17" s="382">
        <v>0</v>
      </c>
      <c r="HY17" s="382">
        <v>-2</v>
      </c>
      <c r="HZ17" s="130">
        <f>SUM(HT17:HY17)</f>
        <v>82</v>
      </c>
      <c r="IA17" s="131"/>
      <c r="IB17" s="382">
        <v>279</v>
      </c>
      <c r="IC17" s="382">
        <v>-1</v>
      </c>
      <c r="ID17" s="382">
        <v>7</v>
      </c>
      <c r="IE17" s="130">
        <v>24</v>
      </c>
      <c r="IF17" s="382">
        <v>0</v>
      </c>
      <c r="IG17" s="382">
        <v>-2</v>
      </c>
      <c r="IH17" s="130">
        <v>307</v>
      </c>
    </row>
    <row r="18" spans="2:242" ht="13.9" customHeight="1">
      <c r="B18" s="2"/>
      <c r="C18" s="128"/>
      <c r="D18" s="128"/>
      <c r="E18" s="128"/>
      <c r="F18" s="128"/>
      <c r="G18" s="128"/>
      <c r="H18" s="128"/>
      <c r="I18" s="130"/>
      <c r="J18" s="131"/>
      <c r="K18" s="128"/>
      <c r="L18" s="128"/>
      <c r="M18" s="128"/>
      <c r="N18" s="128"/>
      <c r="O18" s="128"/>
      <c r="P18" s="128"/>
      <c r="Q18" s="130"/>
      <c r="R18" s="131"/>
      <c r="S18" s="128"/>
      <c r="T18" s="128"/>
      <c r="U18" s="128"/>
      <c r="V18" s="128"/>
      <c r="W18" s="128"/>
      <c r="X18" s="128"/>
      <c r="Y18" s="130"/>
      <c r="Z18" s="131"/>
      <c r="AA18" s="128"/>
      <c r="AB18" s="128"/>
      <c r="AC18" s="128"/>
      <c r="AD18" s="128"/>
      <c r="AE18" s="128"/>
      <c r="AF18" s="128"/>
      <c r="AG18" s="130"/>
      <c r="AH18" s="131"/>
      <c r="AI18" s="128"/>
      <c r="AJ18" s="128"/>
      <c r="AK18" s="128"/>
      <c r="AL18" s="128"/>
      <c r="AM18" s="128"/>
      <c r="AN18" s="128"/>
      <c r="AO18" s="130"/>
      <c r="AP18" s="131"/>
      <c r="AQ18" s="128"/>
      <c r="AR18" s="128"/>
      <c r="AS18" s="128"/>
      <c r="AT18" s="128"/>
      <c r="AU18" s="128"/>
      <c r="AV18" s="128"/>
      <c r="AW18" s="130"/>
      <c r="AX18" s="131"/>
      <c r="AY18" s="128"/>
      <c r="AZ18" s="128"/>
      <c r="BA18" s="128"/>
      <c r="BB18" s="128"/>
      <c r="BC18" s="128"/>
      <c r="BD18" s="128"/>
      <c r="BE18" s="130"/>
      <c r="BF18" s="131"/>
      <c r="BG18" s="128"/>
      <c r="BH18" s="128"/>
      <c r="BI18" s="128"/>
      <c r="BJ18" s="128"/>
      <c r="BK18" s="128"/>
      <c r="BL18" s="128"/>
      <c r="BM18" s="130"/>
      <c r="BN18" s="131"/>
      <c r="BO18" s="128"/>
      <c r="BP18" s="128"/>
      <c r="BQ18" s="128"/>
      <c r="BR18" s="128"/>
      <c r="BS18" s="128"/>
      <c r="BT18" s="128"/>
      <c r="BU18" s="130"/>
      <c r="BV18" s="131"/>
      <c r="BW18" s="128"/>
      <c r="BX18" s="128"/>
      <c r="BY18" s="128"/>
      <c r="BZ18" s="128"/>
      <c r="CA18" s="128"/>
      <c r="CB18" s="128"/>
      <c r="CC18" s="130"/>
      <c r="CD18" s="131"/>
      <c r="CE18" s="128"/>
      <c r="CF18" s="128"/>
      <c r="CG18" s="128"/>
      <c r="CH18" s="128"/>
      <c r="CI18" s="128"/>
      <c r="CJ18" s="128"/>
      <c r="CK18" s="132"/>
      <c r="CL18" s="131"/>
      <c r="CM18" s="128"/>
      <c r="CN18" s="128"/>
      <c r="CO18" s="128"/>
      <c r="CP18" s="128"/>
      <c r="CQ18" s="128"/>
      <c r="CR18" s="128"/>
      <c r="CS18" s="132"/>
      <c r="CT18" s="131"/>
      <c r="CU18" s="128"/>
      <c r="CV18" s="128"/>
      <c r="CW18" s="128"/>
      <c r="CX18" s="128"/>
      <c r="CY18" s="128"/>
      <c r="CZ18" s="128"/>
      <c r="DA18" s="132"/>
      <c r="DB18" s="131"/>
      <c r="DC18" s="128"/>
      <c r="DD18" s="128"/>
      <c r="DE18" s="128"/>
      <c r="DF18" s="128"/>
      <c r="DG18" s="128"/>
      <c r="DH18" s="128"/>
      <c r="DI18" s="132"/>
      <c r="DJ18" s="131"/>
      <c r="DK18" s="128"/>
      <c r="DL18" s="128"/>
      <c r="DM18" s="128"/>
      <c r="DN18" s="128"/>
      <c r="DO18" s="128"/>
      <c r="DP18" s="128"/>
      <c r="DQ18" s="132"/>
      <c r="DR18" s="131"/>
      <c r="DS18" s="128"/>
      <c r="DT18" s="128"/>
      <c r="DU18" s="128"/>
      <c r="DV18" s="128"/>
      <c r="DW18" s="128"/>
      <c r="DX18" s="128"/>
      <c r="DY18" s="132"/>
      <c r="DZ18" s="131"/>
      <c r="EA18" s="131"/>
      <c r="EB18" s="128"/>
      <c r="EC18" s="128"/>
      <c r="ED18" s="128"/>
      <c r="EE18" s="128"/>
      <c r="EF18" s="128"/>
      <c r="EG18" s="128"/>
      <c r="EH18" s="132"/>
      <c r="EI18" s="131"/>
      <c r="EJ18" s="128"/>
      <c r="EK18" s="128"/>
      <c r="EL18" s="128"/>
      <c r="EM18" s="128"/>
      <c r="EN18" s="128"/>
      <c r="EO18" s="128"/>
      <c r="EP18" s="132"/>
      <c r="EQ18" s="131"/>
      <c r="ER18" s="128"/>
      <c r="ES18" s="128"/>
      <c r="ET18" s="128"/>
      <c r="EU18" s="128"/>
      <c r="EV18" s="128"/>
      <c r="EW18" s="128"/>
      <c r="EX18" s="132"/>
      <c r="EY18" s="131"/>
      <c r="EZ18" s="128"/>
      <c r="FA18" s="128"/>
      <c r="FB18" s="128"/>
      <c r="FC18" s="128"/>
      <c r="FD18" s="128"/>
      <c r="FE18" s="128"/>
      <c r="FF18" s="132"/>
      <c r="FG18" s="131"/>
      <c r="FH18" s="128"/>
      <c r="FI18" s="128"/>
      <c r="FJ18" s="128"/>
      <c r="FK18" s="128"/>
      <c r="FL18" s="128"/>
      <c r="FM18" s="128"/>
      <c r="FN18" s="132"/>
      <c r="FO18" s="131"/>
      <c r="FP18" s="128"/>
      <c r="FQ18" s="128"/>
      <c r="FR18" s="128"/>
      <c r="FS18" s="128"/>
      <c r="FT18" s="128"/>
      <c r="FU18" s="128"/>
      <c r="FV18" s="132"/>
      <c r="FW18" s="131"/>
      <c r="FX18" s="128"/>
      <c r="FY18" s="128"/>
      <c r="FZ18" s="128"/>
      <c r="GA18" s="128"/>
      <c r="GB18" s="128"/>
      <c r="GD18" s="132"/>
      <c r="GE18" s="131"/>
      <c r="GF18" s="128"/>
      <c r="GG18" s="128"/>
      <c r="GH18" s="128"/>
      <c r="GI18" s="128"/>
      <c r="GJ18" s="128"/>
      <c r="GL18" s="132"/>
      <c r="GM18" s="131"/>
      <c r="GN18" s="128"/>
      <c r="GO18" s="128"/>
      <c r="GP18" s="128"/>
      <c r="GQ18" s="128"/>
      <c r="GR18" s="128"/>
      <c r="GT18" s="132"/>
      <c r="GU18" s="131"/>
      <c r="GV18" s="128"/>
      <c r="GW18" s="128"/>
      <c r="GX18" s="128"/>
      <c r="GY18" s="128"/>
      <c r="GZ18" s="128"/>
      <c r="HB18" s="132"/>
      <c r="HC18" s="131"/>
      <c r="HD18" s="382"/>
      <c r="HE18" s="382"/>
      <c r="HF18" s="382"/>
      <c r="HG18" s="382"/>
      <c r="HH18" s="382"/>
      <c r="HJ18" s="132"/>
      <c r="HK18" s="131"/>
      <c r="HL18" s="382"/>
      <c r="HM18" s="382"/>
      <c r="HN18" s="382"/>
      <c r="HO18" s="382"/>
      <c r="HP18" s="382"/>
      <c r="HR18" s="132"/>
      <c r="HS18" s="131"/>
      <c r="HT18" s="382"/>
      <c r="HU18" s="382"/>
      <c r="HV18" s="382"/>
      <c r="HW18" s="382"/>
      <c r="HX18" s="382"/>
      <c r="HZ18" s="132"/>
      <c r="IA18" s="131"/>
      <c r="IB18" s="382"/>
      <c r="IC18" s="382"/>
      <c r="ID18" s="382"/>
      <c r="IE18" s="382"/>
      <c r="IF18" s="382"/>
      <c r="IH18" s="132"/>
    </row>
    <row r="19" spans="2:242" ht="13.5" customHeight="1">
      <c r="B19" s="387" t="s">
        <v>292</v>
      </c>
      <c r="C19" s="389">
        <f t="shared" ref="C19:H19" si="31">C15-C17</f>
        <v>1568</v>
      </c>
      <c r="D19" s="389">
        <f t="shared" si="31"/>
        <v>123</v>
      </c>
      <c r="E19" s="389">
        <f t="shared" si="31"/>
        <v>166</v>
      </c>
      <c r="F19" s="389">
        <f t="shared" si="31"/>
        <v>92</v>
      </c>
      <c r="G19" s="389">
        <f t="shared" si="31"/>
        <v>-15</v>
      </c>
      <c r="H19" s="389">
        <f t="shared" si="31"/>
        <v>-241</v>
      </c>
      <c r="I19" s="389">
        <f>SUM(C19:H19)</f>
        <v>1693</v>
      </c>
      <c r="J19" s="389"/>
      <c r="K19" s="389">
        <f t="shared" ref="K19:P19" si="32">K15-K17</f>
        <v>754</v>
      </c>
      <c r="L19" s="389">
        <f t="shared" si="32"/>
        <v>32</v>
      </c>
      <c r="M19" s="389">
        <f t="shared" si="32"/>
        <v>67</v>
      </c>
      <c r="N19" s="389">
        <f t="shared" si="32"/>
        <v>-45</v>
      </c>
      <c r="O19" s="389">
        <f t="shared" si="32"/>
        <v>-36</v>
      </c>
      <c r="P19" s="389">
        <f t="shared" si="32"/>
        <v>-1789</v>
      </c>
      <c r="Q19" s="389">
        <f>SUM(K19:P19)</f>
        <v>-1017</v>
      </c>
      <c r="R19" s="389"/>
      <c r="S19" s="389">
        <f t="shared" ref="S19:X19" si="33">S15-S17</f>
        <v>425</v>
      </c>
      <c r="T19" s="389">
        <f t="shared" si="33"/>
        <v>3</v>
      </c>
      <c r="U19" s="389">
        <f t="shared" si="33"/>
        <v>32</v>
      </c>
      <c r="V19" s="389">
        <f t="shared" si="33"/>
        <v>-64</v>
      </c>
      <c r="W19" s="389">
        <f t="shared" si="33"/>
        <v>1</v>
      </c>
      <c r="X19" s="389">
        <f t="shared" si="33"/>
        <v>15</v>
      </c>
      <c r="Y19" s="389">
        <f>SUM(S19:X19)</f>
        <v>412</v>
      </c>
      <c r="Z19" s="389"/>
      <c r="AA19" s="389">
        <f t="shared" ref="AA19:AF19" si="34">AA15-AA17</f>
        <v>734</v>
      </c>
      <c r="AB19" s="389">
        <f t="shared" si="34"/>
        <v>2</v>
      </c>
      <c r="AC19" s="389">
        <f t="shared" si="34"/>
        <v>13</v>
      </c>
      <c r="AD19" s="389">
        <f t="shared" si="34"/>
        <v>-10</v>
      </c>
      <c r="AE19" s="389">
        <f t="shared" si="34"/>
        <v>-3</v>
      </c>
      <c r="AF19" s="389">
        <f t="shared" si="34"/>
        <v>-966</v>
      </c>
      <c r="AG19" s="389">
        <f>SUM(AA19:AF19)</f>
        <v>-230</v>
      </c>
      <c r="AH19" s="389"/>
      <c r="AI19" s="389">
        <f t="shared" ref="AI19:AN19" si="35">AI15-AI17</f>
        <v>233</v>
      </c>
      <c r="AJ19" s="389">
        <f t="shared" si="35"/>
        <v>24</v>
      </c>
      <c r="AK19" s="389">
        <f t="shared" si="35"/>
        <v>-42</v>
      </c>
      <c r="AL19" s="389">
        <f t="shared" si="35"/>
        <v>-33</v>
      </c>
      <c r="AM19" s="389">
        <f t="shared" si="35"/>
        <v>5</v>
      </c>
      <c r="AN19" s="389">
        <f t="shared" si="35"/>
        <v>48</v>
      </c>
      <c r="AO19" s="389">
        <f>SUM(AI19:AN19)</f>
        <v>235</v>
      </c>
      <c r="AP19" s="389"/>
      <c r="AQ19" s="389">
        <f t="shared" ref="AQ19:AV19" si="36">AQ15-AQ17</f>
        <v>1573</v>
      </c>
      <c r="AR19" s="389">
        <f t="shared" si="36"/>
        <v>-60</v>
      </c>
      <c r="AS19" s="389">
        <f t="shared" si="36"/>
        <v>-202</v>
      </c>
      <c r="AT19" s="389">
        <f t="shared" si="36"/>
        <v>-147</v>
      </c>
      <c r="AU19" s="389">
        <f t="shared" si="36"/>
        <v>0</v>
      </c>
      <c r="AV19" s="389">
        <f t="shared" si="36"/>
        <v>-863</v>
      </c>
      <c r="AW19" s="389">
        <f>SUM(AQ19:AV19)</f>
        <v>301</v>
      </c>
      <c r="AX19" s="389"/>
      <c r="AY19" s="389">
        <f t="shared" ref="AY19:BD19" si="37">AY15-AY17</f>
        <v>390</v>
      </c>
      <c r="AZ19" s="389">
        <f t="shared" si="37"/>
        <v>-3</v>
      </c>
      <c r="BA19" s="389">
        <f t="shared" si="37"/>
        <v>35</v>
      </c>
      <c r="BB19" s="389">
        <f t="shared" si="37"/>
        <v>-6</v>
      </c>
      <c r="BC19" s="389">
        <f t="shared" si="37"/>
        <v>3</v>
      </c>
      <c r="BD19" s="389">
        <f t="shared" si="37"/>
        <v>13</v>
      </c>
      <c r="BE19" s="389">
        <f>SUM(AY19:BD19)</f>
        <v>432</v>
      </c>
      <c r="BF19" s="389"/>
      <c r="BG19" s="389">
        <f t="shared" ref="BG19:BL19" si="38">BG15-BG17</f>
        <v>301</v>
      </c>
      <c r="BH19" s="389">
        <f t="shared" si="38"/>
        <v>3</v>
      </c>
      <c r="BI19" s="389">
        <f t="shared" si="38"/>
        <v>28</v>
      </c>
      <c r="BJ19" s="389">
        <f t="shared" si="38"/>
        <v>-10</v>
      </c>
      <c r="BK19" s="389">
        <f t="shared" si="38"/>
        <v>6</v>
      </c>
      <c r="BL19" s="389">
        <f t="shared" si="38"/>
        <v>25</v>
      </c>
      <c r="BM19" s="389">
        <f>SUM(BG19:BL19)</f>
        <v>353</v>
      </c>
      <c r="BN19" s="389"/>
      <c r="BO19" s="389">
        <f t="shared" ref="BO19:BT19" si="39">BO15-BO17</f>
        <v>355</v>
      </c>
      <c r="BP19" s="389">
        <f t="shared" si="39"/>
        <v>-15</v>
      </c>
      <c r="BQ19" s="389">
        <f t="shared" si="39"/>
        <v>-276</v>
      </c>
      <c r="BR19" s="389">
        <f t="shared" si="39"/>
        <v>-17</v>
      </c>
      <c r="BS19" s="389">
        <f t="shared" si="39"/>
        <v>27</v>
      </c>
      <c r="BT19" s="389">
        <f t="shared" si="39"/>
        <v>35</v>
      </c>
      <c r="BU19" s="389">
        <f>SUM(BO19:BT19)</f>
        <v>109</v>
      </c>
      <c r="BV19" s="389"/>
      <c r="BW19" s="389">
        <f t="shared" ref="BW19:CB19" si="40">BW15-BW17</f>
        <v>1302</v>
      </c>
      <c r="BX19" s="389">
        <f t="shared" si="40"/>
        <v>-36</v>
      </c>
      <c r="BY19" s="389">
        <f t="shared" si="40"/>
        <v>-243</v>
      </c>
      <c r="BZ19" s="389">
        <f t="shared" si="40"/>
        <v>-55</v>
      </c>
      <c r="CA19" s="389">
        <f t="shared" si="40"/>
        <v>43</v>
      </c>
      <c r="CB19" s="389">
        <f t="shared" si="40"/>
        <v>73</v>
      </c>
      <c r="CC19" s="389">
        <f>SUM(BW19:CB19)</f>
        <v>1084</v>
      </c>
      <c r="CD19" s="389"/>
      <c r="CE19" s="389">
        <f t="shared" ref="CE19:CJ19" si="41">CE15-CE17</f>
        <v>525</v>
      </c>
      <c r="CF19" s="389">
        <f t="shared" si="41"/>
        <v>7</v>
      </c>
      <c r="CG19" s="389">
        <f t="shared" si="41"/>
        <v>-8</v>
      </c>
      <c r="CH19" s="389">
        <f t="shared" si="41"/>
        <v>-11</v>
      </c>
      <c r="CI19" s="389">
        <f t="shared" si="41"/>
        <v>10</v>
      </c>
      <c r="CJ19" s="389">
        <f t="shared" si="41"/>
        <v>12</v>
      </c>
      <c r="CK19" s="389">
        <f>SUM(CE19:CJ19)</f>
        <v>535</v>
      </c>
      <c r="CL19" s="389"/>
      <c r="CM19" s="389">
        <f>CM15-CM17</f>
        <v>317</v>
      </c>
      <c r="CN19" s="389">
        <f>CN15-CN17</f>
        <v>26</v>
      </c>
      <c r="CO19" s="389">
        <v>15</v>
      </c>
      <c r="CP19" s="389">
        <f>CP15-CP17</f>
        <v>-7</v>
      </c>
      <c r="CQ19" s="389">
        <f>CQ15-CQ17</f>
        <v>9</v>
      </c>
      <c r="CR19" s="389">
        <f>CR15-CR17</f>
        <v>25</v>
      </c>
      <c r="CS19" s="389">
        <f>SUM(CM19:CR19)</f>
        <v>385</v>
      </c>
      <c r="CT19" s="389"/>
      <c r="CU19" s="389">
        <f t="shared" ref="CU19:CZ19" si="42">CU15-CU17</f>
        <v>280</v>
      </c>
      <c r="CV19" s="389">
        <f t="shared" si="42"/>
        <v>33</v>
      </c>
      <c r="CW19" s="389">
        <f t="shared" si="42"/>
        <v>13</v>
      </c>
      <c r="CX19" s="389">
        <f t="shared" si="42"/>
        <v>-12</v>
      </c>
      <c r="CY19" s="389">
        <f t="shared" si="42"/>
        <v>5</v>
      </c>
      <c r="CZ19" s="389">
        <f t="shared" si="42"/>
        <v>40</v>
      </c>
      <c r="DA19" s="389">
        <f>SUM(CU19:CZ19)</f>
        <v>359</v>
      </c>
      <c r="DB19" s="389"/>
      <c r="DC19" s="389">
        <f t="shared" ref="DC19:DH19" si="43">DC15-DC17</f>
        <v>1406</v>
      </c>
      <c r="DD19" s="389">
        <f t="shared" si="43"/>
        <v>84</v>
      </c>
      <c r="DE19" s="389">
        <f t="shared" si="43"/>
        <v>20</v>
      </c>
      <c r="DF19" s="389">
        <f t="shared" si="43"/>
        <v>-42</v>
      </c>
      <c r="DG19" s="389">
        <f t="shared" si="43"/>
        <v>27</v>
      </c>
      <c r="DH19" s="389">
        <f t="shared" si="43"/>
        <v>70</v>
      </c>
      <c r="DI19" s="389">
        <f>SUM(DC19:DH19)</f>
        <v>1565</v>
      </c>
      <c r="DJ19" s="389"/>
      <c r="DK19" s="389">
        <f t="shared" ref="DK19:DP19" si="44">DK15-DK17</f>
        <v>292</v>
      </c>
      <c r="DL19" s="389">
        <f t="shared" si="44"/>
        <v>73</v>
      </c>
      <c r="DM19" s="389">
        <f t="shared" si="44"/>
        <v>-5</v>
      </c>
      <c r="DN19" s="389">
        <f t="shared" si="44"/>
        <v>-6</v>
      </c>
      <c r="DO19" s="389">
        <f t="shared" si="44"/>
        <v>4</v>
      </c>
      <c r="DP19" s="389">
        <f t="shared" si="44"/>
        <v>17</v>
      </c>
      <c r="DQ19" s="389">
        <f>SUM(DK19:DP19)</f>
        <v>375</v>
      </c>
      <c r="DR19" s="389"/>
      <c r="DS19" s="389">
        <f t="shared" ref="DS19:DX19" si="45">DS15-DS17</f>
        <v>317</v>
      </c>
      <c r="DT19" s="389">
        <f t="shared" si="45"/>
        <v>59</v>
      </c>
      <c r="DU19" s="389">
        <f t="shared" si="45"/>
        <v>15</v>
      </c>
      <c r="DV19" s="389">
        <f t="shared" si="45"/>
        <v>-3</v>
      </c>
      <c r="DW19" s="389">
        <f t="shared" si="45"/>
        <v>3</v>
      </c>
      <c r="DX19" s="389">
        <f t="shared" si="45"/>
        <v>5</v>
      </c>
      <c r="DY19" s="389">
        <f>SUM(DS19:DX19)</f>
        <v>396</v>
      </c>
      <c r="DZ19" s="389"/>
      <c r="EA19" s="389"/>
      <c r="EB19" s="389">
        <f t="shared" ref="EB19:EG19" si="46">EB15-EB17</f>
        <v>309</v>
      </c>
      <c r="EC19" s="389">
        <f t="shared" si="46"/>
        <v>67</v>
      </c>
      <c r="ED19" s="389">
        <f t="shared" si="46"/>
        <v>16</v>
      </c>
      <c r="EE19" s="389">
        <f t="shared" si="46"/>
        <v>-21</v>
      </c>
      <c r="EF19" s="389">
        <f t="shared" si="46"/>
        <v>0</v>
      </c>
      <c r="EG19" s="389">
        <f t="shared" si="46"/>
        <v>22</v>
      </c>
      <c r="EH19" s="389">
        <f>SUM(EB19:EG19)</f>
        <v>393</v>
      </c>
      <c r="EI19" s="389"/>
      <c r="EJ19" s="389">
        <f t="shared" ref="EJ19:EO19" si="47">EJ15-EJ17</f>
        <v>1128</v>
      </c>
      <c r="EK19" s="389">
        <f t="shared" si="47"/>
        <v>219</v>
      </c>
      <c r="EL19" s="389">
        <f t="shared" si="47"/>
        <v>-31</v>
      </c>
      <c r="EM19" s="389">
        <f t="shared" si="47"/>
        <v>-42</v>
      </c>
      <c r="EN19" s="389">
        <f t="shared" si="47"/>
        <v>6</v>
      </c>
      <c r="EO19" s="389">
        <f t="shared" si="47"/>
        <v>56</v>
      </c>
      <c r="EP19" s="389">
        <f>SUM(EJ19:EO19)</f>
        <v>1336</v>
      </c>
      <c r="EQ19" s="389"/>
      <c r="ER19" s="389">
        <f t="shared" ref="ER19:EW19" si="48">ER15-ER17</f>
        <v>327</v>
      </c>
      <c r="ES19" s="389">
        <f t="shared" si="48"/>
        <v>57</v>
      </c>
      <c r="ET19" s="389">
        <f t="shared" si="48"/>
        <v>13</v>
      </c>
      <c r="EU19" s="389">
        <f t="shared" si="48"/>
        <v>0</v>
      </c>
      <c r="EV19" s="389">
        <f t="shared" si="48"/>
        <v>-1</v>
      </c>
      <c r="EW19" s="389">
        <f t="shared" si="48"/>
        <v>7</v>
      </c>
      <c r="EX19" s="389">
        <f>SUM(ER19:EW19)</f>
        <v>403</v>
      </c>
      <c r="EY19" s="389"/>
      <c r="EZ19" s="389">
        <f t="shared" ref="EZ19:FE19" si="49">EZ15-EZ17</f>
        <v>347</v>
      </c>
      <c r="FA19" s="389">
        <f t="shared" si="49"/>
        <v>55</v>
      </c>
      <c r="FB19" s="389">
        <f t="shared" si="49"/>
        <v>13</v>
      </c>
      <c r="FC19" s="389">
        <f t="shared" si="49"/>
        <v>17</v>
      </c>
      <c r="FD19" s="389">
        <f t="shared" si="49"/>
        <v>-3</v>
      </c>
      <c r="FE19" s="389">
        <f t="shared" si="49"/>
        <v>14</v>
      </c>
      <c r="FF19" s="389">
        <f>SUM(EZ19:FE19)</f>
        <v>443</v>
      </c>
      <c r="FG19" s="389"/>
      <c r="FH19" s="389">
        <f t="shared" ref="FH19:FM19" si="50">FH15-FH17</f>
        <v>251</v>
      </c>
      <c r="FI19" s="389">
        <f t="shared" si="50"/>
        <v>63</v>
      </c>
      <c r="FJ19" s="389">
        <f t="shared" si="50"/>
        <v>17</v>
      </c>
      <c r="FK19" s="389">
        <f t="shared" si="50"/>
        <v>0</v>
      </c>
      <c r="FL19" s="389">
        <f t="shared" si="50"/>
        <v>2</v>
      </c>
      <c r="FM19" s="389">
        <f t="shared" si="50"/>
        <v>38</v>
      </c>
      <c r="FN19" s="389">
        <f>SUM(FH19:FM19)</f>
        <v>371</v>
      </c>
      <c r="FO19" s="389"/>
      <c r="FP19" s="389">
        <f t="shared" ref="FP19:FU19" si="51">FP15-FP17</f>
        <v>1195</v>
      </c>
      <c r="FQ19" s="389">
        <f t="shared" si="51"/>
        <v>209</v>
      </c>
      <c r="FR19" s="389">
        <f t="shared" si="51"/>
        <v>29</v>
      </c>
      <c r="FS19" s="389">
        <f t="shared" si="51"/>
        <v>5</v>
      </c>
      <c r="FT19" s="389">
        <f t="shared" si="51"/>
        <v>-1</v>
      </c>
      <c r="FU19" s="389">
        <f t="shared" si="51"/>
        <v>98</v>
      </c>
      <c r="FV19" s="389">
        <f>SUM(FP19:FU19)</f>
        <v>1535</v>
      </c>
      <c r="FW19" s="389"/>
      <c r="FX19" s="389">
        <f t="shared" ref="FX19:GB19" si="52">FX15-FX17</f>
        <v>345</v>
      </c>
      <c r="FY19" s="389">
        <f t="shared" si="52"/>
        <v>40</v>
      </c>
      <c r="FZ19" s="389">
        <f t="shared" si="52"/>
        <v>18</v>
      </c>
      <c r="GA19" s="389">
        <f t="shared" si="52"/>
        <v>-14</v>
      </c>
      <c r="GB19" s="389">
        <f t="shared" si="52"/>
        <v>2</v>
      </c>
      <c r="GC19" s="389">
        <v>2</v>
      </c>
      <c r="GD19" s="389">
        <f>FX19+FY19+FZ19+GA19+GB19+GC19</f>
        <v>393</v>
      </c>
      <c r="GE19" s="389"/>
      <c r="GF19" s="389">
        <f t="shared" ref="GF19:GJ19" si="53">GF15-GF17</f>
        <v>313</v>
      </c>
      <c r="GG19" s="389">
        <f t="shared" si="53"/>
        <v>51</v>
      </c>
      <c r="GH19" s="389">
        <f t="shared" si="53"/>
        <v>18</v>
      </c>
      <c r="GI19" s="389">
        <f t="shared" si="53"/>
        <v>-18</v>
      </c>
      <c r="GJ19" s="389">
        <f t="shared" si="53"/>
        <v>-1</v>
      </c>
      <c r="GK19" s="389">
        <v>11</v>
      </c>
      <c r="GL19" s="389">
        <f>GF19+GG19+GH19+GI19+GJ19+GK19</f>
        <v>374</v>
      </c>
      <c r="GM19" s="389"/>
      <c r="GN19" s="389">
        <f t="shared" ref="GN19:GR19" si="54">GN15-GN17</f>
        <v>288</v>
      </c>
      <c r="GO19" s="389">
        <f t="shared" si="54"/>
        <v>50</v>
      </c>
      <c r="GP19" s="389">
        <f t="shared" si="54"/>
        <v>12</v>
      </c>
      <c r="GQ19" s="389">
        <f t="shared" si="54"/>
        <v>-29</v>
      </c>
      <c r="GR19" s="389">
        <f t="shared" si="54"/>
        <v>3</v>
      </c>
      <c r="GS19" s="389">
        <v>42</v>
      </c>
      <c r="GT19" s="389">
        <f>GN19+GO19+GP19+GQ19+GR19+GS19</f>
        <v>366</v>
      </c>
      <c r="GU19" s="389"/>
      <c r="GV19" s="389">
        <f t="shared" ref="GV19:GZ19" si="55">GV15-GV17</f>
        <v>1188</v>
      </c>
      <c r="GW19" s="389">
        <f t="shared" si="55"/>
        <v>182</v>
      </c>
      <c r="GX19" s="389">
        <f t="shared" si="55"/>
        <v>-21</v>
      </c>
      <c r="GY19" s="389">
        <f t="shared" si="55"/>
        <v>-82</v>
      </c>
      <c r="GZ19" s="389">
        <f t="shared" si="55"/>
        <v>2</v>
      </c>
      <c r="HA19" s="389">
        <v>133</v>
      </c>
      <c r="HB19" s="389">
        <f>GV19+GW19+GX19+GY19+GZ19+HA19</f>
        <v>1402</v>
      </c>
      <c r="HC19" s="389"/>
      <c r="HD19" s="389">
        <f t="shared" ref="HD19:HH19" si="56">HD15-HD17</f>
        <v>338</v>
      </c>
      <c r="HE19" s="389">
        <f t="shared" si="56"/>
        <v>41</v>
      </c>
      <c r="HF19" s="389">
        <f t="shared" si="56"/>
        <v>11</v>
      </c>
      <c r="HG19" s="389">
        <f t="shared" si="56"/>
        <v>-14</v>
      </c>
      <c r="HH19" s="389">
        <f t="shared" si="56"/>
        <v>2</v>
      </c>
      <c r="HI19" s="389">
        <v>18</v>
      </c>
      <c r="HJ19" s="389">
        <f>HD19+HE19+HF19+HG19+HH19+HI19</f>
        <v>396</v>
      </c>
      <c r="HK19" s="389"/>
      <c r="HL19" s="389">
        <f t="shared" ref="HL19:HP19" si="57">HL15-HL17</f>
        <v>285</v>
      </c>
      <c r="HM19" s="389">
        <f t="shared" si="57"/>
        <v>40</v>
      </c>
      <c r="HN19" s="389">
        <f t="shared" si="57"/>
        <v>7</v>
      </c>
      <c r="HO19" s="389">
        <f t="shared" si="57"/>
        <v>-23</v>
      </c>
      <c r="HP19" s="389">
        <f t="shared" si="57"/>
        <v>0</v>
      </c>
      <c r="HQ19" s="389">
        <v>195</v>
      </c>
      <c r="HR19" s="389">
        <f>HL19+HM19+HN19+HO19+HP19+HQ19</f>
        <v>504</v>
      </c>
      <c r="HS19" s="389"/>
      <c r="HT19" s="389">
        <f t="shared" ref="HT19:HY19" si="58">HT15-HT17</f>
        <v>255</v>
      </c>
      <c r="HU19" s="389">
        <f t="shared" si="58"/>
        <v>50</v>
      </c>
      <c r="HV19" s="389">
        <f t="shared" si="58"/>
        <v>15</v>
      </c>
      <c r="HW19" s="389">
        <f t="shared" si="58"/>
        <v>-2</v>
      </c>
      <c r="HX19" s="389">
        <f t="shared" si="58"/>
        <v>0</v>
      </c>
      <c r="HY19" s="389">
        <f t="shared" si="58"/>
        <v>216</v>
      </c>
      <c r="HZ19" s="389">
        <f>HZ15-HZ17</f>
        <v>534</v>
      </c>
      <c r="IA19" s="389"/>
      <c r="IB19" s="389">
        <v>963</v>
      </c>
      <c r="IC19" s="389">
        <v>187</v>
      </c>
      <c r="ID19" s="389">
        <v>36</v>
      </c>
      <c r="IE19" s="389">
        <v>-57</v>
      </c>
      <c r="IF19" s="389">
        <v>2</v>
      </c>
      <c r="IG19" s="389">
        <v>579</v>
      </c>
      <c r="IH19" s="389">
        <v>1710</v>
      </c>
    </row>
    <row r="20" spans="2:242" ht="13.9" customHeight="1">
      <c r="B20" s="2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31"/>
      <c r="DS20" s="128"/>
      <c r="DT20" s="128"/>
      <c r="DU20" s="128"/>
      <c r="DV20" s="128"/>
      <c r="DW20" s="128"/>
      <c r="DX20" s="128"/>
      <c r="DY20" s="128"/>
      <c r="DZ20" s="131"/>
      <c r="EA20" s="128"/>
      <c r="EB20" s="128"/>
      <c r="EC20" s="128"/>
      <c r="ED20" s="128"/>
      <c r="EE20" s="128"/>
      <c r="EF20" s="128"/>
      <c r="EG20" s="128"/>
      <c r="EH20" s="128"/>
      <c r="EI20" s="131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31"/>
      <c r="FH20" s="128"/>
      <c r="FI20" s="128"/>
      <c r="FJ20" s="128"/>
      <c r="FK20" s="128"/>
      <c r="FL20" s="128"/>
      <c r="FM20" s="128"/>
      <c r="FN20" s="128"/>
      <c r="FO20" s="131"/>
      <c r="FP20" s="128"/>
      <c r="FQ20" s="128"/>
      <c r="FR20" s="128"/>
      <c r="FS20" s="128"/>
      <c r="FT20" s="128"/>
      <c r="FU20" s="128"/>
      <c r="FV20" s="128"/>
      <c r="FW20" s="131"/>
      <c r="FX20" s="128"/>
      <c r="FY20" s="128"/>
      <c r="FZ20" s="128"/>
      <c r="GA20" s="128"/>
      <c r="GB20" s="128"/>
      <c r="GC20" s="128"/>
      <c r="GD20" s="128"/>
      <c r="GE20" s="131"/>
      <c r="GF20" s="128"/>
      <c r="GG20" s="128"/>
      <c r="GH20" s="128"/>
      <c r="GI20" s="128"/>
      <c r="GJ20" s="128"/>
      <c r="GK20" s="128"/>
      <c r="GL20" s="128"/>
      <c r="GM20" s="131"/>
      <c r="GN20" s="128"/>
      <c r="GO20" s="128"/>
      <c r="GP20" s="128"/>
      <c r="GQ20" s="128"/>
      <c r="GR20" s="128"/>
      <c r="GS20" s="128"/>
      <c r="GT20" s="128"/>
      <c r="GU20" s="131"/>
      <c r="GV20" s="128"/>
      <c r="GW20" s="128"/>
      <c r="GX20" s="128"/>
      <c r="GY20" s="128"/>
      <c r="GZ20" s="128"/>
      <c r="HA20" s="128"/>
      <c r="HB20" s="128"/>
      <c r="HC20" s="131"/>
      <c r="HD20" s="128"/>
      <c r="HE20" s="128"/>
      <c r="HF20" s="128"/>
      <c r="HG20" s="382"/>
      <c r="HH20" s="382"/>
      <c r="HI20" s="382"/>
      <c r="HJ20" s="382"/>
      <c r="HK20" s="133"/>
      <c r="HL20" s="382"/>
      <c r="HM20" s="382"/>
      <c r="HN20" s="382"/>
      <c r="HO20" s="382"/>
      <c r="HP20" s="382"/>
      <c r="HQ20" s="382"/>
      <c r="HR20" s="382"/>
      <c r="HS20" s="133"/>
      <c r="HT20" s="382"/>
      <c r="HU20" s="382"/>
      <c r="HV20" s="382"/>
      <c r="HW20" s="382"/>
      <c r="HX20" s="382"/>
      <c r="HY20" s="382"/>
      <c r="HZ20" s="382"/>
      <c r="IA20" s="128"/>
      <c r="IB20" s="382"/>
      <c r="IC20" s="382"/>
      <c r="ID20" s="382"/>
      <c r="IE20" s="382"/>
      <c r="IF20" s="382"/>
      <c r="IG20" s="382"/>
      <c r="IH20" s="382"/>
    </row>
    <row r="21" spans="2:242" ht="13.9" customHeight="1">
      <c r="B21" s="2" t="s">
        <v>333</v>
      </c>
      <c r="C21" s="128"/>
      <c r="D21" s="128"/>
      <c r="E21" s="128"/>
      <c r="F21" s="128"/>
      <c r="G21" s="128">
        <v>-4</v>
      </c>
      <c r="H21" s="130">
        <v>-1</v>
      </c>
      <c r="I21" s="130">
        <v>-5</v>
      </c>
      <c r="J21" s="131"/>
      <c r="K21" s="128"/>
      <c r="L21" s="128"/>
      <c r="M21" s="128">
        <v>1</v>
      </c>
      <c r="N21" s="128"/>
      <c r="O21" s="130">
        <v>-4</v>
      </c>
      <c r="P21" s="128"/>
      <c r="Q21" s="130">
        <v>-3</v>
      </c>
      <c r="R21" s="131"/>
      <c r="S21" s="128"/>
      <c r="T21" s="128"/>
      <c r="U21" s="128"/>
      <c r="V21" s="128"/>
      <c r="W21" s="130"/>
      <c r="X21" s="128"/>
      <c r="Y21" s="130"/>
      <c r="Z21" s="131"/>
      <c r="AA21" s="128"/>
      <c r="AB21" s="128"/>
      <c r="AC21" s="128"/>
      <c r="AD21" s="128"/>
      <c r="AE21" s="130">
        <v>-1</v>
      </c>
      <c r="AF21" s="128"/>
      <c r="AG21" s="130"/>
      <c r="AH21" s="131"/>
      <c r="AI21" s="128"/>
      <c r="AJ21" s="128"/>
      <c r="AK21" s="128"/>
      <c r="AL21" s="128"/>
      <c r="AM21" s="130">
        <v>-1</v>
      </c>
      <c r="AN21" s="128"/>
      <c r="AO21" s="130">
        <v>-1</v>
      </c>
      <c r="AP21" s="131"/>
      <c r="AQ21" s="128"/>
      <c r="AR21" s="128"/>
      <c r="AS21" s="128"/>
      <c r="AT21" s="128"/>
      <c r="AU21" s="128"/>
      <c r="AV21" s="128"/>
      <c r="AW21" s="130"/>
      <c r="AX21" s="131"/>
      <c r="AY21" s="128"/>
      <c r="AZ21" s="128"/>
      <c r="BA21" s="128"/>
      <c r="BB21" s="128"/>
      <c r="BC21" s="128"/>
      <c r="BD21" s="128"/>
      <c r="BE21" s="130"/>
      <c r="BF21" s="131"/>
      <c r="BG21" s="128"/>
      <c r="BH21" s="128"/>
      <c r="BI21" s="128"/>
      <c r="BJ21" s="128"/>
      <c r="BK21" s="128"/>
      <c r="BL21" s="128"/>
      <c r="BM21" s="130"/>
      <c r="BN21" s="131"/>
      <c r="BO21" s="128"/>
      <c r="BP21" s="128"/>
      <c r="BQ21" s="128"/>
      <c r="BR21" s="128"/>
      <c r="BS21" s="128"/>
      <c r="BT21" s="128"/>
      <c r="BU21" s="130"/>
      <c r="BV21" s="131"/>
      <c r="BW21" s="128"/>
      <c r="BX21" s="128"/>
      <c r="BY21" s="128"/>
      <c r="BZ21" s="128"/>
      <c r="CA21" s="128"/>
      <c r="CB21" s="128"/>
      <c r="CC21" s="130"/>
      <c r="CD21" s="131"/>
      <c r="CE21" s="128"/>
      <c r="CF21" s="128"/>
      <c r="CG21" s="128"/>
      <c r="CH21" s="128"/>
      <c r="CI21" s="128"/>
      <c r="CJ21" s="128"/>
      <c r="CK21" s="132"/>
      <c r="CL21" s="131"/>
      <c r="CM21" s="128"/>
      <c r="CN21" s="128"/>
      <c r="CO21" s="128"/>
      <c r="CP21" s="128"/>
      <c r="CQ21" s="128"/>
      <c r="CR21" s="128"/>
      <c r="CS21" s="132"/>
      <c r="CT21" s="131"/>
      <c r="CU21" s="128"/>
      <c r="CV21" s="128"/>
      <c r="CW21" s="128"/>
      <c r="CX21" s="128"/>
      <c r="CY21" s="128"/>
      <c r="CZ21" s="128"/>
      <c r="DA21" s="132"/>
      <c r="DB21" s="131"/>
      <c r="DC21" s="128"/>
      <c r="DD21" s="128"/>
      <c r="DE21" s="128"/>
      <c r="DF21" s="128"/>
      <c r="DG21" s="128"/>
      <c r="DH21" s="128"/>
      <c r="DI21" s="132"/>
      <c r="DJ21" s="131"/>
      <c r="DK21" s="128"/>
      <c r="DL21" s="128"/>
      <c r="DM21" s="128"/>
      <c r="DN21" s="128"/>
      <c r="DO21" s="128"/>
      <c r="DP21" s="128"/>
      <c r="DQ21" s="132"/>
      <c r="DR21" s="131"/>
      <c r="DS21" s="128"/>
      <c r="DT21" s="128"/>
      <c r="DU21" s="128"/>
      <c r="DV21" s="128"/>
      <c r="DW21" s="128"/>
      <c r="DX21" s="128"/>
      <c r="DY21" s="132"/>
      <c r="DZ21" s="131"/>
      <c r="EA21" s="131"/>
      <c r="EB21" s="128"/>
      <c r="EC21" s="128"/>
      <c r="ED21" s="128"/>
      <c r="EE21" s="128"/>
      <c r="EF21" s="128"/>
      <c r="EG21" s="128"/>
      <c r="EH21" s="132"/>
      <c r="EI21" s="131"/>
      <c r="EJ21" s="128"/>
      <c r="EK21" s="128"/>
      <c r="EL21" s="128"/>
      <c r="EM21" s="128"/>
      <c r="EN21" s="128"/>
      <c r="EO21" s="128"/>
      <c r="EP21" s="132"/>
      <c r="EQ21" s="131"/>
      <c r="ER21" s="128"/>
      <c r="ES21" s="128"/>
      <c r="ET21" s="128"/>
      <c r="EU21" s="128"/>
      <c r="EV21" s="128"/>
      <c r="EW21" s="128"/>
      <c r="EX21" s="132"/>
      <c r="EY21" s="131"/>
      <c r="EZ21" s="128"/>
      <c r="FA21" s="128"/>
      <c r="FB21" s="128"/>
      <c r="FC21" s="128"/>
      <c r="FD21" s="128"/>
      <c r="FE21" s="128"/>
      <c r="FF21" s="132"/>
      <c r="FG21" s="131"/>
      <c r="FH21" s="128"/>
      <c r="FI21" s="128"/>
      <c r="FJ21" s="128"/>
      <c r="FK21" s="128"/>
      <c r="FL21" s="128"/>
      <c r="FM21" s="128"/>
      <c r="FN21" s="132"/>
      <c r="FO21" s="131"/>
      <c r="FP21" s="128"/>
      <c r="FQ21" s="128"/>
      <c r="FR21" s="128"/>
      <c r="FS21" s="128"/>
      <c r="FT21" s="128"/>
      <c r="FU21" s="128"/>
      <c r="FV21" s="132"/>
      <c r="FW21" s="131"/>
      <c r="FX21" s="128"/>
      <c r="FY21" s="128"/>
      <c r="FZ21" s="128"/>
      <c r="GA21" s="128"/>
      <c r="GB21" s="128"/>
      <c r="GD21" s="132"/>
      <c r="GE21" s="131"/>
      <c r="GF21" s="128">
        <v>-3</v>
      </c>
      <c r="GG21" s="128">
        <v>0</v>
      </c>
      <c r="GH21" s="128">
        <v>0</v>
      </c>
      <c r="GI21" s="128">
        <v>0</v>
      </c>
      <c r="GJ21" s="128">
        <v>0</v>
      </c>
      <c r="GK21" s="128">
        <v>0</v>
      </c>
      <c r="GL21" s="130">
        <v>-3</v>
      </c>
      <c r="GM21" s="131"/>
      <c r="GN21" s="128">
        <v>3</v>
      </c>
      <c r="GO21" s="128">
        <v>0</v>
      </c>
      <c r="GP21" s="128">
        <v>0</v>
      </c>
      <c r="GQ21" s="128">
        <v>0</v>
      </c>
      <c r="GR21" s="128">
        <v>0</v>
      </c>
      <c r="GS21" s="128">
        <v>0</v>
      </c>
      <c r="GT21" s="130">
        <f>SUM(GN21:GS21)</f>
        <v>3</v>
      </c>
      <c r="GU21" s="131"/>
      <c r="GV21" s="128">
        <v>8</v>
      </c>
      <c r="GW21" s="128">
        <v>0</v>
      </c>
      <c r="GX21" s="128">
        <v>0</v>
      </c>
      <c r="GY21" s="128">
        <v>0</v>
      </c>
      <c r="GZ21" s="128">
        <v>0</v>
      </c>
      <c r="HA21" s="128">
        <v>0</v>
      </c>
      <c r="HB21" s="130">
        <f>SUM(GV21:HA21)</f>
        <v>8</v>
      </c>
      <c r="HC21" s="131"/>
      <c r="HD21" s="382">
        <v>3</v>
      </c>
      <c r="HE21" s="382">
        <v>0</v>
      </c>
      <c r="HF21" s="382">
        <v>0</v>
      </c>
      <c r="HG21" s="382">
        <v>0</v>
      </c>
      <c r="HH21" s="382">
        <v>0</v>
      </c>
      <c r="HI21" s="382">
        <v>0</v>
      </c>
      <c r="HJ21" s="130">
        <f>SUM(HD21:HI21)</f>
        <v>3</v>
      </c>
      <c r="HK21" s="131"/>
      <c r="HL21" s="382">
        <v>1</v>
      </c>
      <c r="HM21" s="382">
        <v>0</v>
      </c>
      <c r="HN21" s="382">
        <v>0</v>
      </c>
      <c r="HO21" s="382">
        <v>0</v>
      </c>
      <c r="HP21" s="382">
        <v>0</v>
      </c>
      <c r="HQ21" s="382">
        <v>0</v>
      </c>
      <c r="HR21" s="130">
        <f>SUM(HL21:HQ21)</f>
        <v>1</v>
      </c>
      <c r="HS21" s="131"/>
      <c r="HT21" s="382">
        <v>16</v>
      </c>
      <c r="HU21" s="382">
        <v>0</v>
      </c>
      <c r="HV21" s="382">
        <v>0</v>
      </c>
      <c r="HW21" s="382">
        <v>0</v>
      </c>
      <c r="HX21" s="382">
        <v>0</v>
      </c>
      <c r="HY21" s="382">
        <v>0</v>
      </c>
      <c r="HZ21" s="130">
        <f>SUM(HT21:HY21)</f>
        <v>16</v>
      </c>
      <c r="IA21" s="131"/>
      <c r="IB21" s="382">
        <v>19</v>
      </c>
      <c r="IC21" s="382">
        <v>0</v>
      </c>
      <c r="ID21" s="382">
        <v>0</v>
      </c>
      <c r="IE21" s="382">
        <v>0</v>
      </c>
      <c r="IF21" s="382">
        <v>0</v>
      </c>
      <c r="IG21" s="382">
        <v>0</v>
      </c>
      <c r="IH21" s="130">
        <v>19</v>
      </c>
    </row>
    <row r="22" spans="2:242" ht="13.9" customHeight="1">
      <c r="B22" s="2"/>
      <c r="C22" s="128"/>
      <c r="D22" s="128"/>
      <c r="E22" s="128"/>
      <c r="F22" s="128"/>
      <c r="G22" s="128"/>
      <c r="H22" s="130"/>
      <c r="I22" s="130"/>
      <c r="J22" s="131"/>
      <c r="K22" s="128"/>
      <c r="L22" s="128"/>
      <c r="M22" s="128"/>
      <c r="N22" s="128"/>
      <c r="O22" s="130"/>
      <c r="P22" s="128"/>
      <c r="Q22" s="130"/>
      <c r="R22" s="131"/>
      <c r="S22" s="128"/>
      <c r="T22" s="128"/>
      <c r="U22" s="128"/>
      <c r="V22" s="128"/>
      <c r="W22" s="130"/>
      <c r="X22" s="128"/>
      <c r="Y22" s="130"/>
      <c r="Z22" s="131"/>
      <c r="AA22" s="128"/>
      <c r="AB22" s="128"/>
      <c r="AC22" s="128"/>
      <c r="AD22" s="128"/>
      <c r="AE22" s="130"/>
      <c r="AF22" s="128"/>
      <c r="AG22" s="130"/>
      <c r="AH22" s="131"/>
      <c r="AI22" s="128"/>
      <c r="AJ22" s="128"/>
      <c r="AK22" s="128"/>
      <c r="AL22" s="128"/>
      <c r="AM22" s="130"/>
      <c r="AN22" s="128"/>
      <c r="AO22" s="130"/>
      <c r="AP22" s="131"/>
      <c r="AQ22" s="128"/>
      <c r="AR22" s="128"/>
      <c r="AS22" s="128"/>
      <c r="AT22" s="128"/>
      <c r="AU22" s="128"/>
      <c r="AV22" s="128"/>
      <c r="AW22" s="130"/>
      <c r="AX22" s="131"/>
      <c r="AY22" s="128"/>
      <c r="AZ22" s="128"/>
      <c r="BA22" s="128"/>
      <c r="BB22" s="128"/>
      <c r="BC22" s="128"/>
      <c r="BD22" s="128"/>
      <c r="BE22" s="130"/>
      <c r="BF22" s="131"/>
      <c r="BG22" s="128"/>
      <c r="BH22" s="128"/>
      <c r="BI22" s="128"/>
      <c r="BJ22" s="128"/>
      <c r="BK22" s="128"/>
      <c r="BL22" s="128"/>
      <c r="BM22" s="130"/>
      <c r="BN22" s="131"/>
      <c r="BO22" s="128"/>
      <c r="BP22" s="128"/>
      <c r="BQ22" s="128"/>
      <c r="BR22" s="128"/>
      <c r="BS22" s="128"/>
      <c r="BT22" s="128"/>
      <c r="BU22" s="130"/>
      <c r="BV22" s="131"/>
      <c r="BW22" s="128"/>
      <c r="BX22" s="128"/>
      <c r="BY22" s="128"/>
      <c r="BZ22" s="128"/>
      <c r="CA22" s="128"/>
      <c r="CB22" s="128"/>
      <c r="CC22" s="130"/>
      <c r="CD22" s="131"/>
      <c r="CE22" s="128"/>
      <c r="CF22" s="128"/>
      <c r="CG22" s="128"/>
      <c r="CH22" s="128"/>
      <c r="CI22" s="128"/>
      <c r="CJ22" s="128"/>
      <c r="CK22" s="132"/>
      <c r="CL22" s="131"/>
      <c r="CM22" s="128"/>
      <c r="CN22" s="128"/>
      <c r="CO22" s="128"/>
      <c r="CP22" s="128"/>
      <c r="CQ22" s="128"/>
      <c r="CR22" s="128"/>
      <c r="CS22" s="132"/>
      <c r="CT22" s="131"/>
      <c r="CU22" s="128"/>
      <c r="CV22" s="128"/>
      <c r="CW22" s="128"/>
      <c r="CX22" s="128"/>
      <c r="CY22" s="128"/>
      <c r="CZ22" s="128"/>
      <c r="DA22" s="132"/>
      <c r="DB22" s="131"/>
      <c r="DC22" s="128"/>
      <c r="DD22" s="128"/>
      <c r="DE22" s="128"/>
      <c r="DF22" s="128"/>
      <c r="DG22" s="128"/>
      <c r="DH22" s="128"/>
      <c r="DI22" s="132"/>
      <c r="DJ22" s="131"/>
      <c r="DK22" s="128"/>
      <c r="DL22" s="128"/>
      <c r="DM22" s="128"/>
      <c r="DN22" s="128"/>
      <c r="DO22" s="128"/>
      <c r="DP22" s="128"/>
      <c r="DQ22" s="132"/>
      <c r="DR22" s="131"/>
      <c r="DS22" s="128"/>
      <c r="DT22" s="128"/>
      <c r="DU22" s="128"/>
      <c r="DV22" s="128"/>
      <c r="DW22" s="128"/>
      <c r="DX22" s="128"/>
      <c r="DY22" s="132"/>
      <c r="DZ22" s="131"/>
      <c r="EA22" s="131"/>
      <c r="EB22" s="128"/>
      <c r="EC22" s="128"/>
      <c r="ED22" s="128"/>
      <c r="EE22" s="128"/>
      <c r="EF22" s="128"/>
      <c r="EG22" s="128"/>
      <c r="EH22" s="132"/>
      <c r="EI22" s="131"/>
      <c r="EJ22" s="128"/>
      <c r="EK22" s="128"/>
      <c r="EL22" s="128"/>
      <c r="EM22" s="128"/>
      <c r="EN22" s="128"/>
      <c r="EO22" s="128"/>
      <c r="EP22" s="132"/>
      <c r="EQ22" s="131"/>
      <c r="ER22" s="128"/>
      <c r="ES22" s="128"/>
      <c r="ET22" s="128"/>
      <c r="EU22" s="128"/>
      <c r="EV22" s="128"/>
      <c r="EW22" s="128"/>
      <c r="EX22" s="132"/>
      <c r="EY22" s="131"/>
      <c r="EZ22" s="128"/>
      <c r="FA22" s="128"/>
      <c r="FB22" s="128"/>
      <c r="FC22" s="128"/>
      <c r="FD22" s="128"/>
      <c r="FE22" s="128"/>
      <c r="FF22" s="132"/>
      <c r="FG22" s="131"/>
      <c r="FH22" s="128"/>
      <c r="FI22" s="128"/>
      <c r="FJ22" s="128"/>
      <c r="FK22" s="128"/>
      <c r="FL22" s="128"/>
      <c r="FM22" s="128"/>
      <c r="FN22" s="132"/>
      <c r="FO22" s="131"/>
      <c r="FP22" s="128"/>
      <c r="FQ22" s="128"/>
      <c r="FR22" s="128"/>
      <c r="FS22" s="128"/>
      <c r="FT22" s="128"/>
      <c r="FU22" s="128"/>
      <c r="FV22" s="132"/>
      <c r="FW22" s="131"/>
      <c r="FX22" s="128"/>
      <c r="FY22" s="128"/>
      <c r="FZ22" s="128"/>
      <c r="GA22" s="128"/>
      <c r="GB22" s="128"/>
      <c r="GD22" s="132"/>
      <c r="GE22" s="131"/>
      <c r="GF22" s="128"/>
      <c r="GG22" s="128"/>
      <c r="GH22" s="128"/>
      <c r="GI22" s="128"/>
      <c r="GJ22" s="128"/>
      <c r="GL22" s="132"/>
      <c r="GM22" s="131"/>
      <c r="GN22" s="128"/>
      <c r="GO22" s="128"/>
      <c r="GP22" s="128"/>
      <c r="GQ22" s="128"/>
      <c r="GR22" s="128"/>
      <c r="GT22" s="132"/>
      <c r="GU22" s="131"/>
      <c r="GV22" s="128"/>
      <c r="GW22" s="128"/>
      <c r="GX22" s="128"/>
      <c r="GY22" s="128"/>
      <c r="GZ22" s="128"/>
      <c r="HB22" s="132"/>
      <c r="HC22" s="131"/>
      <c r="HD22" s="382"/>
      <c r="HE22" s="382"/>
      <c r="HF22" s="382"/>
      <c r="HG22" s="382"/>
      <c r="HH22" s="382"/>
      <c r="HJ22" s="132"/>
      <c r="HK22" s="131"/>
      <c r="HL22" s="382"/>
      <c r="HM22" s="382"/>
      <c r="HN22" s="382"/>
      <c r="HO22" s="382"/>
      <c r="HP22" s="382"/>
      <c r="HR22" s="132"/>
      <c r="HS22" s="131"/>
      <c r="HT22" s="382"/>
      <c r="HU22" s="382"/>
      <c r="HV22" s="382"/>
      <c r="HW22" s="382"/>
      <c r="HX22" s="382"/>
      <c r="HZ22" s="132"/>
      <c r="IA22" s="131"/>
      <c r="IB22" s="382"/>
      <c r="IC22" s="382"/>
      <c r="ID22" s="382"/>
      <c r="IE22" s="382"/>
      <c r="IF22" s="382"/>
      <c r="IH22" s="132"/>
    </row>
    <row r="23" spans="2:242" ht="13.9" customHeight="1">
      <c r="B23" s="2" t="s">
        <v>287</v>
      </c>
      <c r="C23" s="128">
        <v>396</v>
      </c>
      <c r="D23" s="130">
        <v>28</v>
      </c>
      <c r="E23" s="128">
        <v>39</v>
      </c>
      <c r="F23" s="128">
        <v>336</v>
      </c>
      <c r="G23" s="129">
        <v>0</v>
      </c>
      <c r="H23" s="130">
        <v>-346</v>
      </c>
      <c r="I23" s="130">
        <f>SUM(C23:H23)</f>
        <v>453</v>
      </c>
      <c r="J23" s="131"/>
      <c r="K23" s="128">
        <v>187</v>
      </c>
      <c r="L23" s="130">
        <v>8</v>
      </c>
      <c r="M23" s="128">
        <v>17</v>
      </c>
      <c r="N23" s="128">
        <v>3</v>
      </c>
      <c r="O23" s="129">
        <v>0</v>
      </c>
      <c r="P23" s="130">
        <v>-143</v>
      </c>
      <c r="Q23" s="130">
        <f>SUM(K23:P23)</f>
        <v>72</v>
      </c>
      <c r="R23" s="131"/>
      <c r="S23" s="128">
        <v>104</v>
      </c>
      <c r="T23" s="130">
        <v>1</v>
      </c>
      <c r="U23" s="128">
        <v>7</v>
      </c>
      <c r="V23" s="129">
        <v>0</v>
      </c>
      <c r="W23" s="129">
        <v>0</v>
      </c>
      <c r="X23" s="129">
        <v>0</v>
      </c>
      <c r="Y23" s="130">
        <f>SUM(S23:X23)</f>
        <v>112</v>
      </c>
      <c r="Z23" s="131"/>
      <c r="AA23" s="128">
        <v>172</v>
      </c>
      <c r="AB23" s="129">
        <v>0</v>
      </c>
      <c r="AC23" s="128">
        <v>3</v>
      </c>
      <c r="AD23" s="128">
        <v>1</v>
      </c>
      <c r="AE23" s="129">
        <v>0</v>
      </c>
      <c r="AF23" s="130">
        <v>1166</v>
      </c>
      <c r="AG23" s="130">
        <f>SUM(AA23:AF23)</f>
        <v>1342</v>
      </c>
      <c r="AH23" s="131"/>
      <c r="AI23" s="128">
        <v>58</v>
      </c>
      <c r="AJ23" s="130">
        <v>6</v>
      </c>
      <c r="AK23" s="128">
        <v>-10</v>
      </c>
      <c r="AL23" s="128">
        <v>1</v>
      </c>
      <c r="AM23" s="129">
        <v>2</v>
      </c>
      <c r="AN23" s="129">
        <v>0</v>
      </c>
      <c r="AO23" s="130">
        <f>SUM(AI23:AN23)</f>
        <v>57</v>
      </c>
      <c r="AP23" s="131"/>
      <c r="AQ23" s="128">
        <v>381</v>
      </c>
      <c r="AR23" s="130">
        <v>-13</v>
      </c>
      <c r="AS23" s="128">
        <v>-45</v>
      </c>
      <c r="AT23" s="128">
        <v>2</v>
      </c>
      <c r="AU23" s="129">
        <v>0</v>
      </c>
      <c r="AV23" s="130">
        <v>1168</v>
      </c>
      <c r="AW23" s="130">
        <f>SUM(AQ23:AV23)</f>
        <v>1493</v>
      </c>
      <c r="AX23" s="131"/>
      <c r="AY23" s="128">
        <v>95</v>
      </c>
      <c r="AZ23" s="130">
        <v>-1</v>
      </c>
      <c r="BA23" s="128">
        <v>8</v>
      </c>
      <c r="BB23" s="129">
        <v>0</v>
      </c>
      <c r="BC23" s="129">
        <v>0</v>
      </c>
      <c r="BD23" s="130">
        <v>-2</v>
      </c>
      <c r="BE23" s="130">
        <f>SUM(AY23:BD23)</f>
        <v>100</v>
      </c>
      <c r="BF23" s="131"/>
      <c r="BG23" s="128">
        <v>72</v>
      </c>
      <c r="BH23" s="130">
        <v>2</v>
      </c>
      <c r="BI23" s="128">
        <v>7</v>
      </c>
      <c r="BJ23" s="128">
        <v>1</v>
      </c>
      <c r="BK23" s="129">
        <v>2</v>
      </c>
      <c r="BL23" s="130">
        <v>-1</v>
      </c>
      <c r="BM23" s="130">
        <f>SUM(BG23:BL23)</f>
        <v>83</v>
      </c>
      <c r="BN23" s="131"/>
      <c r="BO23" s="128">
        <v>55</v>
      </c>
      <c r="BP23" s="130">
        <v>-3</v>
      </c>
      <c r="BQ23" s="128">
        <v>29</v>
      </c>
      <c r="BR23" s="128">
        <v>1</v>
      </c>
      <c r="BS23" s="129">
        <v>0</v>
      </c>
      <c r="BT23" s="130">
        <v>1</v>
      </c>
      <c r="BU23" s="130">
        <f>SUM(BO23:BT23)</f>
        <v>83</v>
      </c>
      <c r="BV23" s="131"/>
      <c r="BW23" s="128">
        <v>262</v>
      </c>
      <c r="BX23" s="130">
        <v>-11</v>
      </c>
      <c r="BY23" s="128">
        <v>32</v>
      </c>
      <c r="BZ23" s="128">
        <v>2</v>
      </c>
      <c r="CA23" s="128">
        <v>4</v>
      </c>
      <c r="CB23" s="130">
        <v>-1</v>
      </c>
      <c r="CC23" s="130">
        <f>SUM(BW23:CB23)</f>
        <v>288</v>
      </c>
      <c r="CD23" s="131"/>
      <c r="CE23" s="128">
        <v>125</v>
      </c>
      <c r="CF23" s="130">
        <v>-1</v>
      </c>
      <c r="CG23" s="128">
        <v>0</v>
      </c>
      <c r="CH23" s="128">
        <v>1</v>
      </c>
      <c r="CI23" s="128">
        <v>2</v>
      </c>
      <c r="CJ23" s="129">
        <v>0</v>
      </c>
      <c r="CK23" s="130">
        <f>SUM(CE23:CJ23)</f>
        <v>127</v>
      </c>
      <c r="CL23" s="131"/>
      <c r="CM23" s="128">
        <v>79</v>
      </c>
      <c r="CN23" s="130">
        <v>6</v>
      </c>
      <c r="CO23" s="128">
        <v>4</v>
      </c>
      <c r="CP23" s="128">
        <v>0</v>
      </c>
      <c r="CQ23" s="128">
        <v>2</v>
      </c>
      <c r="CR23" s="128">
        <v>0</v>
      </c>
      <c r="CS23" s="130">
        <f>SUM(CM23:CR23)</f>
        <v>91</v>
      </c>
      <c r="CT23" s="131"/>
      <c r="CU23" s="128">
        <v>61</v>
      </c>
      <c r="CV23" s="130">
        <v>10</v>
      </c>
      <c r="CW23" s="128">
        <v>3</v>
      </c>
      <c r="CX23" s="128">
        <v>0</v>
      </c>
      <c r="CY23" s="128">
        <v>1</v>
      </c>
      <c r="CZ23" s="128">
        <v>0</v>
      </c>
      <c r="DA23" s="130">
        <f>SUM(CU23:CZ23)</f>
        <v>75</v>
      </c>
      <c r="DB23" s="131"/>
      <c r="DC23" s="128">
        <v>343</v>
      </c>
      <c r="DD23" s="130">
        <v>20</v>
      </c>
      <c r="DE23" s="128">
        <v>12</v>
      </c>
      <c r="DF23" s="128">
        <v>1</v>
      </c>
      <c r="DG23" s="128">
        <v>6</v>
      </c>
      <c r="DH23" s="128">
        <v>0</v>
      </c>
      <c r="DI23" s="130">
        <f>SUM(DC23:DH23)</f>
        <v>382</v>
      </c>
      <c r="DJ23" s="131"/>
      <c r="DK23" s="128">
        <v>74</v>
      </c>
      <c r="DL23" s="130">
        <v>17</v>
      </c>
      <c r="DM23" s="128">
        <v>0</v>
      </c>
      <c r="DN23" s="128">
        <v>1</v>
      </c>
      <c r="DO23" s="128">
        <v>1</v>
      </c>
      <c r="DP23" s="128">
        <v>0</v>
      </c>
      <c r="DQ23" s="130">
        <f>SUM(DK23:DP23)</f>
        <v>93</v>
      </c>
      <c r="DR23" s="131"/>
      <c r="DS23" s="128">
        <v>74</v>
      </c>
      <c r="DT23" s="130">
        <v>13</v>
      </c>
      <c r="DU23" s="128">
        <v>0</v>
      </c>
      <c r="DV23" s="128">
        <v>0</v>
      </c>
      <c r="DW23" s="128">
        <v>2</v>
      </c>
      <c r="DX23" s="128">
        <v>0</v>
      </c>
      <c r="DY23" s="130">
        <f>SUM(DS23:DX23)</f>
        <v>89</v>
      </c>
      <c r="DZ23" s="131"/>
      <c r="EA23" s="131"/>
      <c r="EB23" s="128">
        <v>74</v>
      </c>
      <c r="EC23" s="130">
        <v>17</v>
      </c>
      <c r="ED23" s="128">
        <v>0</v>
      </c>
      <c r="EE23" s="128">
        <v>1</v>
      </c>
      <c r="EF23" s="128">
        <v>-1</v>
      </c>
      <c r="EG23" s="128">
        <v>0</v>
      </c>
      <c r="EH23" s="130">
        <f>SUM(EB23:EG23)</f>
        <v>91</v>
      </c>
      <c r="EI23" s="131"/>
      <c r="EJ23" s="128">
        <v>279</v>
      </c>
      <c r="EK23" s="130">
        <v>54</v>
      </c>
      <c r="EL23" s="128">
        <v>1</v>
      </c>
      <c r="EM23" s="128">
        <v>1</v>
      </c>
      <c r="EN23" s="128">
        <v>1</v>
      </c>
      <c r="EO23" s="128">
        <v>0</v>
      </c>
      <c r="EP23" s="130">
        <f>SUM(EJ23:EO23)</f>
        <v>336</v>
      </c>
      <c r="EQ23" s="131"/>
      <c r="ER23" s="128">
        <v>78</v>
      </c>
      <c r="ES23" s="130">
        <v>13</v>
      </c>
      <c r="ET23" s="128">
        <v>0</v>
      </c>
      <c r="EU23" s="128">
        <v>0</v>
      </c>
      <c r="EV23" s="128">
        <v>1</v>
      </c>
      <c r="EW23" s="128">
        <v>0</v>
      </c>
      <c r="EX23" s="130">
        <f>SUM(ER23:EW23)</f>
        <v>92</v>
      </c>
      <c r="EY23" s="131"/>
      <c r="EZ23" s="128">
        <v>86</v>
      </c>
      <c r="FA23" s="130">
        <v>14</v>
      </c>
      <c r="FB23" s="128">
        <v>0</v>
      </c>
      <c r="FC23" s="128">
        <v>0</v>
      </c>
      <c r="FD23" s="128">
        <v>0</v>
      </c>
      <c r="FE23" s="128">
        <v>0</v>
      </c>
      <c r="FF23" s="130">
        <f>SUM(EZ23:FE23)</f>
        <v>100</v>
      </c>
      <c r="FG23" s="131"/>
      <c r="FH23" s="128">
        <v>59</v>
      </c>
      <c r="FI23" s="130">
        <v>15</v>
      </c>
      <c r="FJ23" s="128">
        <v>0</v>
      </c>
      <c r="FK23" s="128">
        <v>1</v>
      </c>
      <c r="FL23" s="128">
        <v>-1</v>
      </c>
      <c r="FM23" s="128">
        <v>0</v>
      </c>
      <c r="FN23" s="130">
        <f>SUM(FH23:FM23)</f>
        <v>74</v>
      </c>
      <c r="FO23" s="131"/>
      <c r="FP23" s="128">
        <v>294</v>
      </c>
      <c r="FQ23" s="130">
        <v>50</v>
      </c>
      <c r="FR23" s="128">
        <v>0</v>
      </c>
      <c r="FS23" s="128">
        <v>1</v>
      </c>
      <c r="FT23" s="128">
        <v>1</v>
      </c>
      <c r="FU23" s="128">
        <v>0</v>
      </c>
      <c r="FV23" s="130">
        <f>SUM(FP23:FU23)</f>
        <v>346</v>
      </c>
      <c r="FW23" s="131"/>
      <c r="FX23" s="128">
        <v>87</v>
      </c>
      <c r="FY23" s="130">
        <v>10</v>
      </c>
      <c r="FZ23" s="128">
        <v>0</v>
      </c>
      <c r="GA23" s="128">
        <v>0</v>
      </c>
      <c r="GB23" s="128">
        <v>1</v>
      </c>
      <c r="GC23" s="128">
        <v>0</v>
      </c>
      <c r="GD23" s="130">
        <f>SUM(FX23:GB23)</f>
        <v>98</v>
      </c>
      <c r="GE23" s="131"/>
      <c r="GF23" s="128">
        <v>72</v>
      </c>
      <c r="GG23" s="130">
        <v>12</v>
      </c>
      <c r="GH23" s="128">
        <v>0</v>
      </c>
      <c r="GI23" s="128">
        <v>0</v>
      </c>
      <c r="GJ23" s="128">
        <v>0</v>
      </c>
      <c r="GK23" s="128">
        <v>0</v>
      </c>
      <c r="GL23" s="130">
        <f>SUM(GF23:GJ23)</f>
        <v>84</v>
      </c>
      <c r="GM23" s="131"/>
      <c r="GN23" s="128">
        <v>68</v>
      </c>
      <c r="GO23" s="130">
        <v>12</v>
      </c>
      <c r="GP23" s="128">
        <v>1</v>
      </c>
      <c r="GQ23" s="128">
        <v>1</v>
      </c>
      <c r="GR23" s="128">
        <v>0</v>
      </c>
      <c r="GS23" s="128">
        <v>0</v>
      </c>
      <c r="GT23" s="130">
        <f>SUM(GN23:GR23)</f>
        <v>82</v>
      </c>
      <c r="GU23" s="131"/>
      <c r="GV23" s="128">
        <v>274</v>
      </c>
      <c r="GW23" s="130">
        <v>44</v>
      </c>
      <c r="GX23" s="128">
        <v>1</v>
      </c>
      <c r="GY23" s="128">
        <v>1</v>
      </c>
      <c r="GZ23" s="128">
        <v>1</v>
      </c>
      <c r="HA23" s="128">
        <v>0</v>
      </c>
      <c r="HB23" s="130">
        <f>SUM(GV23:GZ23)</f>
        <v>321</v>
      </c>
      <c r="HC23" s="131"/>
      <c r="HD23" s="382">
        <v>79</v>
      </c>
      <c r="HE23" s="130">
        <v>10</v>
      </c>
      <c r="HF23" s="382">
        <v>0</v>
      </c>
      <c r="HG23" s="382">
        <v>0</v>
      </c>
      <c r="HH23" s="382">
        <v>1</v>
      </c>
      <c r="HI23" s="382">
        <v>0</v>
      </c>
      <c r="HJ23" s="130">
        <f>SUM(HD23:HH23)</f>
        <v>90</v>
      </c>
      <c r="HK23" s="131"/>
      <c r="HL23" s="382">
        <v>66</v>
      </c>
      <c r="HM23" s="130">
        <v>10</v>
      </c>
      <c r="HN23" s="382">
        <v>1</v>
      </c>
      <c r="HO23" s="382">
        <v>0</v>
      </c>
      <c r="HP23" s="382">
        <v>0</v>
      </c>
      <c r="HQ23" s="382">
        <v>0</v>
      </c>
      <c r="HR23" s="130">
        <f>SUM(HL23:HP23)</f>
        <v>77</v>
      </c>
      <c r="HS23" s="131"/>
      <c r="HT23" s="382">
        <v>60</v>
      </c>
      <c r="HU23" s="130">
        <v>12</v>
      </c>
      <c r="HV23" s="382">
        <v>-1</v>
      </c>
      <c r="HW23" s="382">
        <v>0</v>
      </c>
      <c r="HX23" s="382">
        <v>0</v>
      </c>
      <c r="HY23" s="382">
        <v>1</v>
      </c>
      <c r="HZ23" s="130">
        <f>SUM(HT23:HY23)</f>
        <v>72</v>
      </c>
      <c r="IA23" s="131"/>
      <c r="IB23" s="382">
        <v>224</v>
      </c>
      <c r="IC23" s="130">
        <v>41</v>
      </c>
      <c r="ID23" s="382">
        <v>0</v>
      </c>
      <c r="IE23" s="382">
        <v>1</v>
      </c>
      <c r="IF23" s="382">
        <v>1</v>
      </c>
      <c r="IG23" s="382">
        <v>7</v>
      </c>
      <c r="IH23" s="130">
        <v>274</v>
      </c>
    </row>
    <row r="24" spans="2:242" ht="13.9" customHeight="1">
      <c r="B24" s="2"/>
      <c r="C24" s="128"/>
      <c r="D24" s="128"/>
      <c r="E24" s="128"/>
      <c r="F24" s="128"/>
      <c r="G24" s="128"/>
      <c r="H24" s="128"/>
      <c r="I24" s="132"/>
      <c r="J24" s="131"/>
      <c r="K24" s="128"/>
      <c r="L24" s="128"/>
      <c r="M24" s="128"/>
      <c r="N24" s="128"/>
      <c r="O24" s="128"/>
      <c r="P24" s="128"/>
      <c r="Q24" s="132"/>
      <c r="R24" s="131"/>
      <c r="S24" s="128"/>
      <c r="T24" s="128"/>
      <c r="U24" s="128"/>
      <c r="V24" s="128"/>
      <c r="W24" s="128"/>
      <c r="X24" s="128"/>
      <c r="Y24" s="132"/>
      <c r="Z24" s="131"/>
      <c r="AA24" s="128"/>
      <c r="AB24" s="128"/>
      <c r="AC24" s="128"/>
      <c r="AD24" s="128"/>
      <c r="AE24" s="128"/>
      <c r="AF24" s="128"/>
      <c r="AG24" s="132"/>
      <c r="AH24" s="131"/>
      <c r="AI24" s="128"/>
      <c r="AJ24" s="128"/>
      <c r="AK24" s="128"/>
      <c r="AL24" s="128"/>
      <c r="AM24" s="128"/>
      <c r="AN24" s="128"/>
      <c r="AO24" s="132"/>
      <c r="AP24" s="131"/>
      <c r="AQ24" s="128"/>
      <c r="AR24" s="128"/>
      <c r="AS24" s="128"/>
      <c r="AT24" s="128"/>
      <c r="AU24" s="128"/>
      <c r="AV24" s="128"/>
      <c r="AW24" s="132"/>
      <c r="AX24" s="131"/>
      <c r="AY24" s="128"/>
      <c r="AZ24" s="128"/>
      <c r="BA24" s="128"/>
      <c r="BB24" s="128"/>
      <c r="BC24" s="128"/>
      <c r="BD24" s="128"/>
      <c r="BE24" s="132"/>
      <c r="BF24" s="131"/>
      <c r="BG24" s="128"/>
      <c r="BH24" s="128"/>
      <c r="BI24" s="128"/>
      <c r="BJ24" s="128"/>
      <c r="BK24" s="128"/>
      <c r="BL24" s="128"/>
      <c r="BM24" s="132"/>
      <c r="BN24" s="131"/>
      <c r="BO24" s="128"/>
      <c r="BP24" s="128"/>
      <c r="BQ24" s="128"/>
      <c r="BR24" s="128"/>
      <c r="BS24" s="128"/>
      <c r="BT24" s="128"/>
      <c r="BU24" s="132"/>
      <c r="BV24" s="131"/>
      <c r="BW24" s="128"/>
      <c r="BX24" s="128"/>
      <c r="BY24" s="128"/>
      <c r="BZ24" s="128"/>
      <c r="CA24" s="128"/>
      <c r="CB24" s="128"/>
      <c r="CC24" s="132"/>
      <c r="CD24" s="131"/>
      <c r="CE24" s="128"/>
      <c r="CF24" s="128"/>
      <c r="CG24" s="128"/>
      <c r="CH24" s="128"/>
      <c r="CI24" s="128"/>
      <c r="CJ24" s="128"/>
      <c r="CK24" s="132"/>
      <c r="CL24" s="131"/>
      <c r="CM24" s="128"/>
      <c r="CN24" s="128"/>
      <c r="CO24" s="128"/>
      <c r="CP24" s="128"/>
      <c r="CQ24" s="128"/>
      <c r="CR24" s="128"/>
      <c r="CS24" s="132"/>
      <c r="CT24" s="131"/>
      <c r="CU24" s="128"/>
      <c r="CV24" s="128"/>
      <c r="CW24" s="128"/>
      <c r="CX24" s="128"/>
      <c r="CY24" s="128"/>
      <c r="CZ24" s="128"/>
      <c r="DA24" s="132"/>
      <c r="DB24" s="131"/>
      <c r="DC24" s="128"/>
      <c r="DD24" s="128"/>
      <c r="DE24" s="128"/>
      <c r="DF24" s="128"/>
      <c r="DG24" s="128"/>
      <c r="DH24" s="128"/>
      <c r="DI24" s="132"/>
      <c r="DJ24" s="131"/>
      <c r="DK24" s="128"/>
      <c r="DL24" s="128"/>
      <c r="DM24" s="128"/>
      <c r="DN24" s="128"/>
      <c r="DO24" s="128"/>
      <c r="DP24" s="128"/>
      <c r="DQ24" s="132"/>
      <c r="DR24" s="131"/>
      <c r="DS24" s="128"/>
      <c r="DT24" s="128"/>
      <c r="DU24" s="128"/>
      <c r="DV24" s="128"/>
      <c r="DW24" s="128"/>
      <c r="DX24" s="128"/>
      <c r="DY24" s="132"/>
      <c r="DZ24" s="131"/>
      <c r="EA24" s="131"/>
      <c r="EB24" s="128"/>
      <c r="EC24" s="128"/>
      <c r="ED24" s="128"/>
      <c r="EE24" s="128"/>
      <c r="EF24" s="128"/>
      <c r="EG24" s="128"/>
      <c r="EH24" s="132"/>
      <c r="EI24" s="131"/>
      <c r="EJ24" s="128"/>
      <c r="EK24" s="128"/>
      <c r="EL24" s="128"/>
      <c r="EM24" s="128"/>
      <c r="EN24" s="128"/>
      <c r="EO24" s="128"/>
      <c r="EP24" s="132"/>
      <c r="EQ24" s="131"/>
      <c r="ER24" s="128"/>
      <c r="ES24" s="128"/>
      <c r="ET24" s="128"/>
      <c r="EU24" s="128"/>
      <c r="EV24" s="128"/>
      <c r="EW24" s="128"/>
      <c r="EX24" s="132"/>
      <c r="EY24" s="131"/>
      <c r="EZ24" s="128"/>
      <c r="FA24" s="128"/>
      <c r="FB24" s="128"/>
      <c r="FC24" s="128"/>
      <c r="FD24" s="128"/>
      <c r="FE24" s="128"/>
      <c r="FF24" s="132"/>
      <c r="FG24" s="131"/>
      <c r="FH24" s="128"/>
      <c r="FI24" s="128"/>
      <c r="FJ24" s="128"/>
      <c r="FK24" s="128"/>
      <c r="FL24" s="128"/>
      <c r="FM24" s="128"/>
      <c r="FN24" s="132"/>
      <c r="FO24" s="131"/>
      <c r="FP24" s="128"/>
      <c r="FQ24" s="128"/>
      <c r="FR24" s="128"/>
      <c r="FS24" s="128"/>
      <c r="FT24" s="128"/>
      <c r="FU24" s="128"/>
      <c r="FV24" s="132"/>
      <c r="FW24" s="131"/>
      <c r="FX24" s="128"/>
      <c r="FY24" s="128"/>
      <c r="FZ24" s="128"/>
      <c r="GA24" s="128"/>
      <c r="GB24" s="128"/>
      <c r="GD24" s="132"/>
      <c r="GE24" s="131"/>
      <c r="GF24" s="128"/>
      <c r="GG24" s="128"/>
      <c r="GH24" s="128"/>
      <c r="GI24" s="128"/>
      <c r="GJ24" s="128"/>
      <c r="GL24" s="132"/>
      <c r="GM24" s="131"/>
      <c r="GN24" s="128"/>
      <c r="GO24" s="128"/>
      <c r="GP24" s="128"/>
      <c r="GQ24" s="128"/>
      <c r="GR24" s="128"/>
      <c r="GT24" s="132"/>
      <c r="GU24" s="131"/>
      <c r="GV24" s="128"/>
      <c r="GW24" s="128"/>
      <c r="GX24" s="128"/>
      <c r="GY24" s="128"/>
      <c r="GZ24" s="128"/>
      <c r="HB24" s="132"/>
      <c r="HC24" s="131"/>
      <c r="HD24" s="382"/>
      <c r="HE24" s="382"/>
      <c r="HF24" s="382"/>
      <c r="HG24" s="382"/>
      <c r="HH24" s="382"/>
      <c r="HJ24" s="132"/>
      <c r="HK24" s="131"/>
      <c r="HL24" s="382"/>
      <c r="HM24" s="382"/>
      <c r="HN24" s="382"/>
      <c r="HO24" s="382"/>
      <c r="HP24" s="382"/>
      <c r="HR24" s="132"/>
      <c r="HS24" s="131"/>
      <c r="HT24" s="382"/>
      <c r="HU24" s="382"/>
      <c r="HV24" s="382"/>
      <c r="HW24" s="382"/>
      <c r="HX24" s="382"/>
      <c r="HZ24" s="132"/>
      <c r="IA24" s="131"/>
      <c r="IB24" s="382"/>
      <c r="IC24" s="382"/>
      <c r="ID24" s="382"/>
      <c r="IE24" s="382"/>
      <c r="IF24" s="382"/>
      <c r="IH24" s="132"/>
    </row>
    <row r="25" spans="2:242" ht="13.9" customHeight="1">
      <c r="B25" s="201" t="s">
        <v>288</v>
      </c>
      <c r="C25" s="133">
        <f>C19-C23</f>
        <v>1172</v>
      </c>
      <c r="D25" s="133">
        <f>D19-D23</f>
        <v>95</v>
      </c>
      <c r="E25" s="133">
        <f>E19-E23</f>
        <v>127</v>
      </c>
      <c r="F25" s="133">
        <f>F19-F23</f>
        <v>-244</v>
      </c>
      <c r="G25" s="133">
        <f>SUM(G19:G23)</f>
        <v>-19</v>
      </c>
      <c r="H25" s="133">
        <f>H19+H21-H23</f>
        <v>104</v>
      </c>
      <c r="I25" s="133">
        <f>SUM(C25:H25)</f>
        <v>1235</v>
      </c>
      <c r="J25" s="133"/>
      <c r="K25" s="133">
        <f>K19-K23</f>
        <v>567</v>
      </c>
      <c r="L25" s="133">
        <f>L19-L23</f>
        <v>24</v>
      </c>
      <c r="M25" s="133">
        <f>M19+M21-M23</f>
        <v>51</v>
      </c>
      <c r="N25" s="133">
        <f>N19-N23</f>
        <v>-48</v>
      </c>
      <c r="O25" s="133">
        <f>SUM(O19:O23)</f>
        <v>-40</v>
      </c>
      <c r="P25" s="133">
        <f>P19-P23</f>
        <v>-1646</v>
      </c>
      <c r="Q25" s="133">
        <f>SUM(K25:P25)</f>
        <v>-1092</v>
      </c>
      <c r="R25" s="133"/>
      <c r="S25" s="133">
        <f>S19-S23</f>
        <v>321</v>
      </c>
      <c r="T25" s="133">
        <f>T19-T23</f>
        <v>2</v>
      </c>
      <c r="U25" s="133">
        <f>U19+U21-U23</f>
        <v>25</v>
      </c>
      <c r="V25" s="133">
        <f>V19-V23</f>
        <v>-64</v>
      </c>
      <c r="W25" s="133">
        <f>SUM(W19:W23)</f>
        <v>1</v>
      </c>
      <c r="X25" s="133">
        <f>X19-X23</f>
        <v>15</v>
      </c>
      <c r="Y25" s="133">
        <f>SUM(S25:X25)</f>
        <v>300</v>
      </c>
      <c r="Z25" s="133"/>
      <c r="AA25" s="133">
        <f>AA19-AA23</f>
        <v>562</v>
      </c>
      <c r="AB25" s="133">
        <f>AB19-AB23</f>
        <v>2</v>
      </c>
      <c r="AC25" s="133">
        <f>AC19+AC21-AC23</f>
        <v>10</v>
      </c>
      <c r="AD25" s="133">
        <f>AD19-AD23</f>
        <v>-11</v>
      </c>
      <c r="AE25" s="133">
        <f>SUM(AE19:AE23)</f>
        <v>-4</v>
      </c>
      <c r="AF25" s="133">
        <f>AF19-AF23</f>
        <v>-2132</v>
      </c>
      <c r="AG25" s="133">
        <f>SUM(AA25:AF25)</f>
        <v>-1573</v>
      </c>
      <c r="AH25" s="133"/>
      <c r="AI25" s="133">
        <f>AI19-AI23</f>
        <v>175</v>
      </c>
      <c r="AJ25" s="133">
        <f>AJ19-AJ23</f>
        <v>18</v>
      </c>
      <c r="AK25" s="133">
        <f>AK19+AK21-AK23</f>
        <v>-32</v>
      </c>
      <c r="AL25" s="133">
        <f>AL19-AL23</f>
        <v>-34</v>
      </c>
      <c r="AM25" s="133">
        <f>AM19-AM21-AM23</f>
        <v>4</v>
      </c>
      <c r="AN25" s="133">
        <f>AN19-AN23</f>
        <v>48</v>
      </c>
      <c r="AO25" s="133">
        <f>AO19+AO21-AO23</f>
        <v>177</v>
      </c>
      <c r="AP25" s="133"/>
      <c r="AQ25" s="133">
        <f>AQ19-AQ23</f>
        <v>1192</v>
      </c>
      <c r="AR25" s="133">
        <f>AR19-AR23</f>
        <v>-47</v>
      </c>
      <c r="AS25" s="133">
        <f>AS19-AS23</f>
        <v>-157</v>
      </c>
      <c r="AT25" s="133">
        <f>AT19-AT23</f>
        <v>-149</v>
      </c>
      <c r="AU25" s="133">
        <v>-2</v>
      </c>
      <c r="AV25" s="133">
        <f>AV19-AV23</f>
        <v>-2031</v>
      </c>
      <c r="AW25" s="133">
        <f>SUM(AQ25:AV25)</f>
        <v>-1194</v>
      </c>
      <c r="AX25" s="133"/>
      <c r="AY25" s="133">
        <f>AY19-AY23</f>
        <v>295</v>
      </c>
      <c r="AZ25" s="133">
        <f>AZ19-AZ23</f>
        <v>-2</v>
      </c>
      <c r="BA25" s="133">
        <f>BA19-BA23</f>
        <v>27</v>
      </c>
      <c r="BB25" s="133">
        <f>BB19-BB23</f>
        <v>-6</v>
      </c>
      <c r="BC25" s="133">
        <f>BC19</f>
        <v>3</v>
      </c>
      <c r="BD25" s="133">
        <f>BD19-BD23</f>
        <v>15</v>
      </c>
      <c r="BE25" s="133">
        <f>SUM(AY25:BD25)</f>
        <v>332</v>
      </c>
      <c r="BF25" s="133"/>
      <c r="BG25" s="133">
        <f t="shared" ref="BG25:BL25" si="59">BG19-BG23</f>
        <v>229</v>
      </c>
      <c r="BH25" s="133">
        <f t="shared" si="59"/>
        <v>1</v>
      </c>
      <c r="BI25" s="133">
        <f t="shared" si="59"/>
        <v>21</v>
      </c>
      <c r="BJ25" s="133">
        <f t="shared" si="59"/>
        <v>-11</v>
      </c>
      <c r="BK25" s="133">
        <f t="shared" si="59"/>
        <v>4</v>
      </c>
      <c r="BL25" s="133">
        <f t="shared" si="59"/>
        <v>26</v>
      </c>
      <c r="BM25" s="133">
        <f>SUM(BG25:BL25)</f>
        <v>270</v>
      </c>
      <c r="BN25" s="133"/>
      <c r="BO25" s="133">
        <f>BO19-BO23</f>
        <v>300</v>
      </c>
      <c r="BP25" s="133">
        <f>BP19-BP23</f>
        <v>-12</v>
      </c>
      <c r="BQ25" s="133">
        <f>BQ19-BQ23</f>
        <v>-305</v>
      </c>
      <c r="BR25" s="133">
        <f>BR19-BR23</f>
        <v>-18</v>
      </c>
      <c r="BS25" s="133">
        <f>BS19</f>
        <v>27</v>
      </c>
      <c r="BT25" s="133">
        <f>BT19-BT23</f>
        <v>34</v>
      </c>
      <c r="BU25" s="133">
        <f>SUM(BO25:BT25)</f>
        <v>26</v>
      </c>
      <c r="BV25" s="133"/>
      <c r="BW25" s="133">
        <f t="shared" ref="BW25:CB25" si="60">BW19-BW23</f>
        <v>1040</v>
      </c>
      <c r="BX25" s="133">
        <f t="shared" si="60"/>
        <v>-25</v>
      </c>
      <c r="BY25" s="133">
        <f t="shared" si="60"/>
        <v>-275</v>
      </c>
      <c r="BZ25" s="133">
        <f t="shared" si="60"/>
        <v>-57</v>
      </c>
      <c r="CA25" s="133">
        <f t="shared" si="60"/>
        <v>39</v>
      </c>
      <c r="CB25" s="133">
        <f t="shared" si="60"/>
        <v>74</v>
      </c>
      <c r="CC25" s="133">
        <f>SUM(BW25:CB25)</f>
        <v>796</v>
      </c>
      <c r="CD25" s="133"/>
      <c r="CE25" s="133">
        <f>CE19-CE23</f>
        <v>400</v>
      </c>
      <c r="CF25" s="133">
        <f>CF19-CF23</f>
        <v>8</v>
      </c>
      <c r="CG25" s="133">
        <f>CG19-CG23</f>
        <v>-8</v>
      </c>
      <c r="CH25" s="133">
        <v>-12</v>
      </c>
      <c r="CI25" s="133">
        <f>CI19-CI23</f>
        <v>8</v>
      </c>
      <c r="CJ25" s="133">
        <f>CJ19-CJ23</f>
        <v>12</v>
      </c>
      <c r="CK25" s="133">
        <f>SUM(CE25:CJ25)</f>
        <v>408</v>
      </c>
      <c r="CL25" s="133"/>
      <c r="CM25" s="133">
        <f t="shared" ref="CM25:CR25" si="61">CM19-CM23</f>
        <v>238</v>
      </c>
      <c r="CN25" s="133">
        <f t="shared" si="61"/>
        <v>20</v>
      </c>
      <c r="CO25" s="133">
        <f t="shared" si="61"/>
        <v>11</v>
      </c>
      <c r="CP25" s="133">
        <f t="shared" si="61"/>
        <v>-7</v>
      </c>
      <c r="CQ25" s="133">
        <f t="shared" si="61"/>
        <v>7</v>
      </c>
      <c r="CR25" s="133">
        <f t="shared" si="61"/>
        <v>25</v>
      </c>
      <c r="CS25" s="133">
        <f>SUM(CM25:CR25)</f>
        <v>294</v>
      </c>
      <c r="CT25" s="133"/>
      <c r="CU25" s="133">
        <f t="shared" ref="CU25:CZ25" si="62">CU19-CU23</f>
        <v>219</v>
      </c>
      <c r="CV25" s="133">
        <f t="shared" si="62"/>
        <v>23</v>
      </c>
      <c r="CW25" s="133">
        <f t="shared" si="62"/>
        <v>10</v>
      </c>
      <c r="CX25" s="133">
        <f t="shared" si="62"/>
        <v>-12</v>
      </c>
      <c r="CY25" s="133">
        <f t="shared" si="62"/>
        <v>4</v>
      </c>
      <c r="CZ25" s="133">
        <f t="shared" si="62"/>
        <v>40</v>
      </c>
      <c r="DA25" s="133">
        <f>SUM(CU25:CZ25)</f>
        <v>284</v>
      </c>
      <c r="DB25" s="133"/>
      <c r="DC25" s="133">
        <f t="shared" ref="DC25:DH25" si="63">DC19-DC23</f>
        <v>1063</v>
      </c>
      <c r="DD25" s="133">
        <f t="shared" si="63"/>
        <v>64</v>
      </c>
      <c r="DE25" s="133">
        <f t="shared" si="63"/>
        <v>8</v>
      </c>
      <c r="DF25" s="133">
        <f t="shared" si="63"/>
        <v>-43</v>
      </c>
      <c r="DG25" s="133">
        <f t="shared" si="63"/>
        <v>21</v>
      </c>
      <c r="DH25" s="133">
        <f t="shared" si="63"/>
        <v>70</v>
      </c>
      <c r="DI25" s="133">
        <f>SUM(DC25:DH25)</f>
        <v>1183</v>
      </c>
      <c r="DJ25" s="133"/>
      <c r="DK25" s="133">
        <f t="shared" ref="DK25:DP25" si="64">DK19-DK23</f>
        <v>218</v>
      </c>
      <c r="DL25" s="133">
        <f t="shared" si="64"/>
        <v>56</v>
      </c>
      <c r="DM25" s="133">
        <f t="shared" si="64"/>
        <v>-5</v>
      </c>
      <c r="DN25" s="133">
        <f t="shared" si="64"/>
        <v>-7</v>
      </c>
      <c r="DO25" s="133">
        <f t="shared" si="64"/>
        <v>3</v>
      </c>
      <c r="DP25" s="133">
        <f t="shared" si="64"/>
        <v>17</v>
      </c>
      <c r="DQ25" s="133">
        <f>SUM(DK25:DP25)</f>
        <v>282</v>
      </c>
      <c r="DR25" s="133"/>
      <c r="DS25" s="133">
        <f t="shared" ref="DS25:DX25" si="65">DS19-DS23</f>
        <v>243</v>
      </c>
      <c r="DT25" s="133">
        <f t="shared" si="65"/>
        <v>46</v>
      </c>
      <c r="DU25" s="133">
        <f t="shared" si="65"/>
        <v>15</v>
      </c>
      <c r="DV25" s="133">
        <f t="shared" si="65"/>
        <v>-3</v>
      </c>
      <c r="DW25" s="133">
        <f t="shared" si="65"/>
        <v>1</v>
      </c>
      <c r="DX25" s="133">
        <f t="shared" si="65"/>
        <v>5</v>
      </c>
      <c r="DY25" s="133">
        <f>SUM(DS25:DX25)</f>
        <v>307</v>
      </c>
      <c r="DZ25" s="133"/>
      <c r="EA25" s="133"/>
      <c r="EB25" s="133">
        <f t="shared" ref="EB25:EG25" si="66">EB19-EB23</f>
        <v>235</v>
      </c>
      <c r="EC25" s="133">
        <f t="shared" si="66"/>
        <v>50</v>
      </c>
      <c r="ED25" s="133">
        <f t="shared" si="66"/>
        <v>16</v>
      </c>
      <c r="EE25" s="133">
        <f t="shared" si="66"/>
        <v>-22</v>
      </c>
      <c r="EF25" s="133">
        <f t="shared" si="66"/>
        <v>1</v>
      </c>
      <c r="EG25" s="133">
        <f t="shared" si="66"/>
        <v>22</v>
      </c>
      <c r="EH25" s="133">
        <f>SUM(EB25:EG25)</f>
        <v>302</v>
      </c>
      <c r="EI25" s="133"/>
      <c r="EJ25" s="133">
        <f t="shared" ref="EJ25:EO25" si="67">EJ19-EJ23</f>
        <v>849</v>
      </c>
      <c r="EK25" s="133">
        <f t="shared" si="67"/>
        <v>165</v>
      </c>
      <c r="EL25" s="133">
        <f t="shared" si="67"/>
        <v>-32</v>
      </c>
      <c r="EM25" s="133">
        <f t="shared" si="67"/>
        <v>-43</v>
      </c>
      <c r="EN25" s="133">
        <f t="shared" si="67"/>
        <v>5</v>
      </c>
      <c r="EO25" s="133">
        <f t="shared" si="67"/>
        <v>56</v>
      </c>
      <c r="EP25" s="133">
        <f>SUM(EJ25:EO25)</f>
        <v>1000</v>
      </c>
      <c r="EQ25" s="133"/>
      <c r="ER25" s="133">
        <f t="shared" ref="ER25:EW25" si="68">ER19-ER23</f>
        <v>249</v>
      </c>
      <c r="ES25" s="133">
        <f t="shared" si="68"/>
        <v>44</v>
      </c>
      <c r="ET25" s="133">
        <f t="shared" si="68"/>
        <v>13</v>
      </c>
      <c r="EU25" s="133">
        <f t="shared" si="68"/>
        <v>0</v>
      </c>
      <c r="EV25" s="133">
        <f t="shared" si="68"/>
        <v>-2</v>
      </c>
      <c r="EW25" s="133">
        <f t="shared" si="68"/>
        <v>7</v>
      </c>
      <c r="EX25" s="133">
        <f>SUM(ER25:EW25)</f>
        <v>311</v>
      </c>
      <c r="EY25" s="133"/>
      <c r="EZ25" s="133">
        <f t="shared" ref="EZ25:FE25" si="69">EZ19-EZ23</f>
        <v>261</v>
      </c>
      <c r="FA25" s="133">
        <f t="shared" si="69"/>
        <v>41</v>
      </c>
      <c r="FB25" s="133">
        <f t="shared" si="69"/>
        <v>13</v>
      </c>
      <c r="FC25" s="133">
        <f t="shared" si="69"/>
        <v>17</v>
      </c>
      <c r="FD25" s="133">
        <f t="shared" si="69"/>
        <v>-3</v>
      </c>
      <c r="FE25" s="133">
        <f t="shared" si="69"/>
        <v>14</v>
      </c>
      <c r="FF25" s="133">
        <f>SUM(EZ25:FE25)</f>
        <v>343</v>
      </c>
      <c r="FG25" s="133"/>
      <c r="FH25" s="133">
        <f t="shared" ref="FH25:FM25" si="70">FH19-FH23</f>
        <v>192</v>
      </c>
      <c r="FI25" s="133">
        <f t="shared" si="70"/>
        <v>48</v>
      </c>
      <c r="FJ25" s="133">
        <f t="shared" si="70"/>
        <v>17</v>
      </c>
      <c r="FK25" s="133">
        <f t="shared" si="70"/>
        <v>-1</v>
      </c>
      <c r="FL25" s="133">
        <f t="shared" si="70"/>
        <v>3</v>
      </c>
      <c r="FM25" s="133">
        <f t="shared" si="70"/>
        <v>38</v>
      </c>
      <c r="FN25" s="133">
        <f>SUM(FH25:FM25)</f>
        <v>297</v>
      </c>
      <c r="FO25" s="133"/>
      <c r="FP25" s="133">
        <f t="shared" ref="FP25:FU25" si="71">FP19-FP23</f>
        <v>901</v>
      </c>
      <c r="FQ25" s="133">
        <f t="shared" si="71"/>
        <v>159</v>
      </c>
      <c r="FR25" s="133">
        <f t="shared" si="71"/>
        <v>29</v>
      </c>
      <c r="FS25" s="133">
        <f t="shared" si="71"/>
        <v>4</v>
      </c>
      <c r="FT25" s="133">
        <f t="shared" si="71"/>
        <v>-2</v>
      </c>
      <c r="FU25" s="133">
        <f t="shared" si="71"/>
        <v>98</v>
      </c>
      <c r="FV25" s="133">
        <f>SUM(FP25:FU25)</f>
        <v>1189</v>
      </c>
      <c r="FW25" s="133"/>
      <c r="FX25" s="133">
        <f t="shared" ref="FX25:GC25" si="72">FX19-FX23</f>
        <v>258</v>
      </c>
      <c r="FY25" s="133">
        <f t="shared" si="72"/>
        <v>30</v>
      </c>
      <c r="FZ25" s="133">
        <f t="shared" si="72"/>
        <v>18</v>
      </c>
      <c r="GA25" s="133">
        <f t="shared" si="72"/>
        <v>-14</v>
      </c>
      <c r="GB25" s="133">
        <f t="shared" si="72"/>
        <v>1</v>
      </c>
      <c r="GC25" s="133">
        <f t="shared" si="72"/>
        <v>2</v>
      </c>
      <c r="GD25" s="133">
        <f>SUM(FX25:GC25)</f>
        <v>295</v>
      </c>
      <c r="GE25" s="133"/>
      <c r="GF25" s="133">
        <f>GF19+GF21-GF23</f>
        <v>238</v>
      </c>
      <c r="GG25" s="133">
        <f>GG19-GG23</f>
        <v>39</v>
      </c>
      <c r="GH25" s="133">
        <f>GH19-GH23</f>
        <v>18</v>
      </c>
      <c r="GI25" s="133">
        <f>GI19-GI23</f>
        <v>-18</v>
      </c>
      <c r="GJ25" s="133">
        <f>GJ19-GJ23</f>
        <v>-1</v>
      </c>
      <c r="GK25" s="133">
        <f>GK19-GK23</f>
        <v>11</v>
      </c>
      <c r="GL25" s="133">
        <f>SUM(GF25:GK25)</f>
        <v>287</v>
      </c>
      <c r="GM25" s="133"/>
      <c r="GN25" s="133">
        <f>GN19-GN21-GN23</f>
        <v>217</v>
      </c>
      <c r="GO25" s="133">
        <f>GO19-GO23</f>
        <v>38</v>
      </c>
      <c r="GP25" s="133">
        <f>GP19-GP23</f>
        <v>11</v>
      </c>
      <c r="GQ25" s="133">
        <f>GQ19-GQ23</f>
        <v>-30</v>
      </c>
      <c r="GR25" s="133">
        <f>GR19-GR23</f>
        <v>3</v>
      </c>
      <c r="GS25" s="133">
        <f>GS19-GS23</f>
        <v>42</v>
      </c>
      <c r="GT25" s="133">
        <f>SUM(GN25:GS25)</f>
        <v>281</v>
      </c>
      <c r="GU25" s="133"/>
      <c r="GV25" s="133">
        <f>GV19-GV21-GV23</f>
        <v>906</v>
      </c>
      <c r="GW25" s="133">
        <f>GW19-GW23</f>
        <v>138</v>
      </c>
      <c r="GX25" s="133">
        <f>GX19-GX23</f>
        <v>-22</v>
      </c>
      <c r="GY25" s="133">
        <f>GY19-GY23</f>
        <v>-83</v>
      </c>
      <c r="GZ25" s="133">
        <f>GZ19-GZ23</f>
        <v>1</v>
      </c>
      <c r="HA25" s="133">
        <f>HA19-HA23</f>
        <v>133</v>
      </c>
      <c r="HB25" s="133">
        <f>SUM(GV25:HA25)</f>
        <v>1073</v>
      </c>
      <c r="HC25" s="133"/>
      <c r="HD25" s="389">
        <f>HD19-HD21-HD23</f>
        <v>256</v>
      </c>
      <c r="HE25" s="389">
        <f>HE19-HE23</f>
        <v>31</v>
      </c>
      <c r="HF25" s="389">
        <f>HF19-HF23</f>
        <v>11</v>
      </c>
      <c r="HG25" s="389">
        <f>HG19-HG23</f>
        <v>-14</v>
      </c>
      <c r="HH25" s="389">
        <f>HH19-HH23</f>
        <v>1</v>
      </c>
      <c r="HI25" s="389">
        <f>HI19-HI23</f>
        <v>18</v>
      </c>
      <c r="HJ25" s="389">
        <f>SUM(HD25:HI25)</f>
        <v>303</v>
      </c>
      <c r="HK25" s="389"/>
      <c r="HL25" s="389">
        <f>HL19-HL21-HL23</f>
        <v>218</v>
      </c>
      <c r="HM25" s="389">
        <f>HM19-HM23</f>
        <v>30</v>
      </c>
      <c r="HN25" s="389">
        <f>HN19-HN23</f>
        <v>6</v>
      </c>
      <c r="HO25" s="389">
        <f>HO19-HO23</f>
        <v>-23</v>
      </c>
      <c r="HP25" s="389">
        <f>HP19-HP23</f>
        <v>0</v>
      </c>
      <c r="HQ25" s="389">
        <f>HQ19-HQ23</f>
        <v>195</v>
      </c>
      <c r="HR25" s="389">
        <f>SUM(HL25:HQ25)</f>
        <v>426</v>
      </c>
      <c r="HS25" s="389"/>
      <c r="HT25" s="389">
        <f>HT19-HT21-HT23</f>
        <v>179</v>
      </c>
      <c r="HU25" s="389">
        <f>HU19-HU23</f>
        <v>38</v>
      </c>
      <c r="HV25" s="389">
        <f>HV19-HV23</f>
        <v>16</v>
      </c>
      <c r="HW25" s="389">
        <f>HW19-HW23</f>
        <v>-2</v>
      </c>
      <c r="HX25" s="389">
        <f>HX19-HX23</f>
        <v>0</v>
      </c>
      <c r="HY25" s="389">
        <f>HY19-HY23</f>
        <v>215</v>
      </c>
      <c r="HZ25" s="389">
        <f>SUM(HT25:HY25)</f>
        <v>446</v>
      </c>
      <c r="IA25" s="133"/>
      <c r="IB25" s="389">
        <v>720</v>
      </c>
      <c r="IC25" s="389">
        <v>146</v>
      </c>
      <c r="ID25" s="389">
        <v>36</v>
      </c>
      <c r="IE25" s="389">
        <v>-58</v>
      </c>
      <c r="IF25" s="389">
        <v>1</v>
      </c>
      <c r="IG25" s="389">
        <v>572</v>
      </c>
      <c r="IH25" s="389">
        <v>1417</v>
      </c>
    </row>
    <row r="26" spans="2:242" ht="4.1500000000000004" customHeight="1"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74"/>
      <c r="BX26" s="17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74"/>
      <c r="CQ26" s="174"/>
      <c r="CR26" s="174"/>
      <c r="CS26" s="174"/>
      <c r="CT26" s="174"/>
      <c r="CU26" s="174"/>
      <c r="CV26" s="174"/>
      <c r="CW26" s="174"/>
      <c r="CX26" s="174"/>
      <c r="CY26" s="174"/>
      <c r="CZ26" s="174"/>
      <c r="DA26" s="174"/>
      <c r="DB26" s="174"/>
      <c r="DC26" s="174"/>
      <c r="DD26" s="174"/>
      <c r="DE26" s="174"/>
      <c r="DF26" s="174"/>
      <c r="DG26" s="174"/>
      <c r="DH26" s="174"/>
      <c r="DI26" s="174"/>
      <c r="DJ26" s="174"/>
      <c r="DK26" s="174"/>
      <c r="DL26" s="174"/>
      <c r="DM26" s="174"/>
      <c r="DN26" s="174"/>
      <c r="DO26" s="174"/>
      <c r="DP26" s="174"/>
      <c r="DQ26" s="174"/>
      <c r="DR26" s="174"/>
      <c r="DS26" s="174"/>
      <c r="DT26" s="174"/>
      <c r="DU26" s="174"/>
      <c r="DV26" s="174"/>
      <c r="DW26" s="174"/>
      <c r="DX26" s="174"/>
      <c r="DY26" s="174"/>
      <c r="DZ26" s="174"/>
      <c r="EA26" s="184"/>
      <c r="EB26" s="174"/>
      <c r="EC26" s="174"/>
      <c r="ED26" s="174"/>
      <c r="EE26" s="174"/>
      <c r="EF26" s="174"/>
      <c r="EG26" s="174"/>
      <c r="EH26" s="174"/>
      <c r="EI26" s="174"/>
      <c r="EJ26" s="174"/>
      <c r="EK26" s="174"/>
      <c r="EL26" s="174"/>
      <c r="EM26" s="174"/>
      <c r="EN26" s="174"/>
      <c r="EO26" s="174"/>
      <c r="EP26" s="174"/>
      <c r="EQ26" s="184"/>
      <c r="ER26" s="174"/>
      <c r="ES26" s="174"/>
      <c r="ET26" s="174"/>
      <c r="EU26" s="174"/>
      <c r="EV26" s="174"/>
      <c r="EW26" s="174"/>
      <c r="EX26" s="174"/>
      <c r="EY26" s="174"/>
      <c r="EZ26" s="174"/>
      <c r="FA26" s="174"/>
      <c r="FB26" s="174"/>
      <c r="FC26" s="174"/>
      <c r="FD26" s="174"/>
      <c r="FE26" s="174"/>
      <c r="FF26" s="174"/>
      <c r="FG26" s="174"/>
      <c r="FH26" s="174"/>
      <c r="FI26" s="174"/>
      <c r="FJ26" s="174"/>
      <c r="FK26" s="174"/>
      <c r="FL26" s="174"/>
      <c r="FM26" s="174"/>
      <c r="FN26" s="174"/>
      <c r="FO26" s="174"/>
      <c r="FP26" s="184"/>
      <c r="FQ26" s="184"/>
      <c r="FR26" s="184"/>
      <c r="FS26" s="184"/>
      <c r="FT26" s="184"/>
      <c r="FU26" s="184"/>
      <c r="FV26" s="184"/>
      <c r="FW26" s="184"/>
      <c r="FX26" s="184"/>
      <c r="FY26" s="184"/>
      <c r="FZ26" s="184"/>
      <c r="GA26" s="184"/>
      <c r="GB26" s="184"/>
      <c r="GC26" s="184"/>
      <c r="GD26" s="184"/>
      <c r="GE26" s="184"/>
      <c r="GF26" s="184"/>
      <c r="GG26" s="184"/>
      <c r="GH26" s="184"/>
      <c r="GI26" s="184"/>
      <c r="GJ26" s="184"/>
      <c r="GK26" s="184"/>
      <c r="GL26" s="184"/>
      <c r="GM26" s="184"/>
      <c r="GN26" s="184"/>
      <c r="GO26" s="184"/>
      <c r="GP26" s="184"/>
      <c r="GQ26" s="184"/>
      <c r="GR26" s="184"/>
      <c r="GS26" s="184"/>
      <c r="GT26" s="184"/>
      <c r="GU26" s="184"/>
      <c r="GV26" s="184"/>
      <c r="GW26" s="184"/>
      <c r="GX26" s="184"/>
      <c r="GY26" s="184"/>
      <c r="GZ26" s="184"/>
      <c r="HA26" s="184"/>
      <c r="HB26" s="184"/>
      <c r="HC26" s="184"/>
      <c r="HD26" s="184"/>
      <c r="HE26" s="184"/>
      <c r="HF26" s="184"/>
      <c r="HG26" s="184"/>
      <c r="HH26" s="184"/>
      <c r="HI26" s="184"/>
      <c r="HJ26" s="184"/>
      <c r="HK26" s="184"/>
      <c r="HL26" s="184"/>
      <c r="HM26" s="184"/>
      <c r="HN26" s="184"/>
      <c r="HO26" s="184"/>
      <c r="HP26" s="184"/>
      <c r="HQ26" s="184"/>
      <c r="HR26" s="184"/>
      <c r="HS26" s="184"/>
      <c r="HT26" s="184"/>
      <c r="HU26" s="184"/>
      <c r="HV26" s="184"/>
      <c r="HW26" s="184"/>
      <c r="HX26" s="184"/>
      <c r="HY26" s="184"/>
      <c r="HZ26" s="184"/>
      <c r="IA26" s="184"/>
      <c r="IB26" s="184"/>
      <c r="IC26" s="184"/>
      <c r="ID26" s="184"/>
      <c r="IE26" s="184"/>
      <c r="IF26" s="184"/>
      <c r="IG26" s="184"/>
      <c r="IH26" s="184"/>
    </row>
    <row r="27" spans="2:24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EA27" s="2"/>
      <c r="EQ27" s="2"/>
      <c r="FW27" s="2"/>
      <c r="GE27" s="2"/>
      <c r="GM27" s="2"/>
      <c r="GU27" s="2"/>
      <c r="HC27" s="2"/>
      <c r="HK27" s="2"/>
      <c r="HS27" s="2"/>
      <c r="IA27" s="2"/>
    </row>
  </sheetData>
  <pageMargins left="0.39370078740157483" right="0.39370078740157483" top="0.74803149606299213" bottom="0.74803149606299213" header="0.31496062992125984" footer="0.31496062992125984"/>
  <pageSetup paperSize="9" scale="85" orientation="landscape" r:id="rId1"/>
  <headerFooter>
    <oddHeader>&amp;CBezeq - The Israeli Telecommunications Corp.,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3F8A-0713-4D53-8638-BE37CAE733BD}">
  <sheetPr>
    <tabColor theme="8"/>
  </sheetPr>
  <dimension ref="B1:AX138"/>
  <sheetViews>
    <sheetView showGridLines="0" tabSelected="1" zoomScaleNormal="100" workbookViewId="0">
      <pane xSplit="2" ySplit="4" topLeftCell="C107" activePane="bottomRight" state="frozen"/>
      <selection activeCell="AI81" sqref="AI81"/>
      <selection pane="topRight" activeCell="AI81" sqref="AI81"/>
      <selection pane="bottomLeft" activeCell="AI81" sqref="AI81"/>
      <selection pane="bottomRight" activeCell="AI81" sqref="AI81"/>
    </sheetView>
  </sheetViews>
  <sheetFormatPr defaultColWidth="9.28515625" defaultRowHeight="12.75"/>
  <cols>
    <col min="1" max="1" width="1.7109375" customWidth="1"/>
    <col min="2" max="2" width="52.7109375" customWidth="1"/>
    <col min="3" max="3" width="9.28515625" customWidth="1"/>
    <col min="4" max="7" width="9.28515625" hidden="1" customWidth="1"/>
    <col min="8" max="8" width="9.28515625" customWidth="1"/>
    <col min="9" max="12" width="9.28515625" hidden="1" customWidth="1"/>
    <col min="13" max="13" width="9.28515625" customWidth="1"/>
    <col min="14" max="17" width="9.28515625" hidden="1" customWidth="1"/>
    <col min="18" max="18" width="9.28515625" customWidth="1"/>
    <col min="19" max="22" width="9.28515625" hidden="1" customWidth="1"/>
    <col min="23" max="23" width="9.28515625" customWidth="1"/>
    <col min="24" max="27" width="8.7109375" hidden="1" customWidth="1"/>
    <col min="28" max="28" width="9.28515625" customWidth="1"/>
    <col min="29" max="32" width="9.28515625" hidden="1" customWidth="1"/>
    <col min="33" max="33" width="9.28515625" customWidth="1"/>
    <col min="34" max="36" width="9.28515625" hidden="1" customWidth="1"/>
    <col min="37" max="37" width="0" hidden="1" customWidth="1"/>
    <col min="38" max="38" width="9.42578125" bestFit="1" customWidth="1"/>
    <col min="46" max="46" width="0" hidden="1" customWidth="1"/>
    <col min="48" max="48" width="0" hidden="1" customWidth="1"/>
  </cols>
  <sheetData>
    <row r="1" spans="2:50" ht="13.9" customHeight="1"/>
    <row r="2" spans="2:50" ht="13.9" customHeight="1">
      <c r="B2" s="6"/>
    </row>
    <row r="3" spans="2:50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2</v>
      </c>
      <c r="AQ3" s="7" t="s">
        <v>4</v>
      </c>
      <c r="AR3" s="7" t="s">
        <v>49</v>
      </c>
      <c r="AS3" s="7" t="s">
        <v>0</v>
      </c>
      <c r="AT3" s="99" t="s">
        <v>342</v>
      </c>
      <c r="AU3" s="7" t="s">
        <v>1</v>
      </c>
      <c r="AV3" s="7" t="s">
        <v>312</v>
      </c>
      <c r="AW3" s="7" t="s">
        <v>2</v>
      </c>
      <c r="AX3" s="7" t="s">
        <v>4</v>
      </c>
    </row>
    <row r="4" spans="2:50" ht="13.15" customHeight="1">
      <c r="B4" s="15" t="s">
        <v>458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2025</v>
      </c>
      <c r="AS4" s="7">
        <v>2025</v>
      </c>
      <c r="AT4" s="7">
        <v>2025</v>
      </c>
      <c r="AU4" s="7">
        <v>2025</v>
      </c>
      <c r="AV4" s="7">
        <v>2025</v>
      </c>
      <c r="AW4" s="7">
        <v>2025</v>
      </c>
      <c r="AX4" s="7">
        <v>2025</v>
      </c>
    </row>
    <row r="5" spans="2:50" ht="4.1500000000000004" customHeight="1">
      <c r="B5" s="180"/>
      <c r="C5" s="373" t="str">
        <f t="shared" ref="C5" si="0">C3&amp;"/"&amp;C4</f>
        <v>FY/2016</v>
      </c>
      <c r="D5" s="373" t="str">
        <f t="shared" ref="D5" si="1">D3&amp;"/"&amp;D4</f>
        <v>Q1/2017</v>
      </c>
      <c r="E5" s="373" t="str">
        <f t="shared" ref="E5" si="2">E3&amp;"/"&amp;E4</f>
        <v>Q2/2017</v>
      </c>
      <c r="F5" s="373" t="str">
        <f t="shared" ref="F5" si="3">F3&amp;"/"&amp;F4</f>
        <v>Q3/2017</v>
      </c>
      <c r="G5" s="373" t="str">
        <f t="shared" ref="G5" si="4">G3&amp;"/"&amp;G4</f>
        <v>Q4/2017</v>
      </c>
      <c r="H5" s="373" t="str">
        <f t="shared" ref="H5" si="5">H3&amp;"/"&amp;H4</f>
        <v>FY/2017</v>
      </c>
      <c r="I5" s="373" t="str">
        <f t="shared" ref="I5" si="6">I3&amp;"/"&amp;I4</f>
        <v>Q1/2018</v>
      </c>
      <c r="J5" s="373" t="str">
        <f t="shared" ref="J5" si="7">J3&amp;"/"&amp;J4</f>
        <v>Q2/2018</v>
      </c>
      <c r="K5" s="373" t="str">
        <f t="shared" ref="K5" si="8">K3&amp;"/"&amp;K4</f>
        <v>Q3/2018</v>
      </c>
      <c r="L5" s="373" t="str">
        <f t="shared" ref="L5" si="9">L3&amp;"/"&amp;L4</f>
        <v>Q4/2018</v>
      </c>
      <c r="M5" s="373" t="str">
        <f t="shared" ref="M5" si="10">M3&amp;"/"&amp;M4</f>
        <v>FY/2018</v>
      </c>
      <c r="N5" s="373" t="str">
        <f t="shared" ref="N5" si="11">N3&amp;"/"&amp;N4</f>
        <v>Q1/2019</v>
      </c>
      <c r="O5" s="373" t="str">
        <f t="shared" ref="O5" si="12">O3&amp;"/"&amp;O4</f>
        <v>Q2/2019</v>
      </c>
      <c r="P5" s="373" t="str">
        <f t="shared" ref="P5" si="13">P3&amp;"/"&amp;P4</f>
        <v>Q3/2019</v>
      </c>
      <c r="Q5" s="373" t="str">
        <f t="shared" ref="Q5" si="14">Q3&amp;"/"&amp;Q4</f>
        <v>Q4/2019</v>
      </c>
      <c r="R5" s="373" t="str">
        <f t="shared" ref="R5" si="15">R3&amp;"/"&amp;R4</f>
        <v>FY/2019</v>
      </c>
      <c r="S5" s="373" t="str">
        <f t="shared" ref="S5" si="16">S3&amp;"/"&amp;S4</f>
        <v>Q1/2020</v>
      </c>
      <c r="T5" s="373" t="str">
        <f t="shared" ref="T5" si="17">T3&amp;"/"&amp;T4</f>
        <v>Q2/2020</v>
      </c>
      <c r="U5" s="373" t="str">
        <f t="shared" ref="U5" si="18">U3&amp;"/"&amp;U4</f>
        <v>Q3/2020</v>
      </c>
      <c r="V5" s="373" t="str">
        <f t="shared" ref="V5" si="19">V3&amp;"/"&amp;V4</f>
        <v>Q4/2020</v>
      </c>
      <c r="W5" s="373" t="str">
        <f t="shared" ref="W5" si="20">W3&amp;"/"&amp;W4</f>
        <v>FY/2020</v>
      </c>
      <c r="X5" s="373" t="str">
        <f t="shared" ref="X5" si="21">X3&amp;"/"&amp;X4</f>
        <v>Q1/2021</v>
      </c>
      <c r="Y5" s="373" t="str">
        <f t="shared" ref="Y5" si="22">Y3&amp;"/"&amp;Y4</f>
        <v>Q2/2021</v>
      </c>
      <c r="Z5" s="373" t="str">
        <f t="shared" ref="Z5" si="23">Z3&amp;"/"&amp;Z4</f>
        <v>Q3/2021</v>
      </c>
      <c r="AA5" s="373" t="str">
        <f t="shared" ref="AA5" si="24">AA3&amp;"/"&amp;AA4</f>
        <v>Q4/2021</v>
      </c>
      <c r="AB5" s="373" t="str">
        <f t="shared" ref="AB5" si="25">AB3&amp;"/"&amp;AB4</f>
        <v>FY/2021</v>
      </c>
      <c r="AC5" s="373" t="str">
        <f t="shared" ref="AC5" si="26">AC3&amp;"/"&amp;AC4</f>
        <v>Q1/2022</v>
      </c>
      <c r="AD5" s="373" t="str">
        <f t="shared" ref="AD5" si="27">AD3&amp;"/"&amp;AD4</f>
        <v>Q2/2022</v>
      </c>
      <c r="AE5" s="373" t="str">
        <f t="shared" ref="AE5" si="28">AE3&amp;"/"&amp;AE4</f>
        <v>Q3/2022</v>
      </c>
      <c r="AF5" s="373" t="str">
        <f t="shared" ref="AF5" si="29">AF3&amp;"/"&amp;AF4</f>
        <v>Q4/2022</v>
      </c>
      <c r="AG5" s="373" t="str">
        <f t="shared" ref="AG5" si="30">AG3&amp;"/"&amp;AG4</f>
        <v>FY/2022</v>
      </c>
      <c r="AH5" s="373" t="str">
        <f t="shared" ref="AH5" si="31">AH3&amp;"/"&amp;AH4</f>
        <v>Q1/2023</v>
      </c>
      <c r="AI5" s="373" t="str">
        <f t="shared" ref="AI5" si="32">AI3&amp;"/"&amp;AI4</f>
        <v>Q2/2023</v>
      </c>
      <c r="AJ5" s="373" t="str">
        <f t="shared" ref="AJ5" si="33">AJ3&amp;"/"&amp;AJ4</f>
        <v>Q3/2023</v>
      </c>
      <c r="AK5" s="373" t="str">
        <f t="shared" ref="AK5" si="34">AK3&amp;"/"&amp;AK4</f>
        <v>Q4/2023</v>
      </c>
      <c r="AL5" s="373" t="str">
        <f t="shared" ref="AL5" si="35">AL3&amp;"/"&amp;AL4</f>
        <v>FY/2023</v>
      </c>
      <c r="AM5" s="373" t="str">
        <f t="shared" ref="AM5" si="36">AM3&amp;"/"&amp;AM4</f>
        <v>Q1/2024</v>
      </c>
      <c r="AN5" s="373" t="str">
        <f t="shared" ref="AN5" si="37">AN3&amp;"/"&amp;AN4</f>
        <v>Q2/2024</v>
      </c>
      <c r="AO5" s="373" t="str">
        <f t="shared" ref="AO5" si="38">AO3&amp;"/"&amp;AO4</f>
        <v>Q3/2024</v>
      </c>
      <c r="AP5" s="373" t="str">
        <f t="shared" ref="AP5" si="39">AP3&amp;"/"&amp;AP4</f>
        <v>Q4/2024</v>
      </c>
      <c r="AQ5" s="373" t="str">
        <f>AQ3&amp;"/"&amp;AQ4</f>
        <v>FY/2024</v>
      </c>
      <c r="AR5" s="373" t="str">
        <f t="shared" ref="AR5:AW5" si="40">AR3&amp;"/"&amp;AR4</f>
        <v>Q1/2025</v>
      </c>
      <c r="AS5" s="373" t="str">
        <f t="shared" si="40"/>
        <v>Q2/2025</v>
      </c>
      <c r="AT5" s="373" t="str">
        <f t="shared" si="40"/>
        <v>6M/2025</v>
      </c>
      <c r="AU5" s="373" t="str">
        <f t="shared" si="40"/>
        <v>Q3/2025</v>
      </c>
      <c r="AV5" s="373" t="str">
        <f t="shared" si="40"/>
        <v>9M/2025</v>
      </c>
      <c r="AW5" s="373" t="str">
        <f t="shared" si="40"/>
        <v>Q4/2025</v>
      </c>
      <c r="AX5" s="373" t="str">
        <f>AX3&amp;"/"&amp;AX4</f>
        <v>FY/2025</v>
      </c>
    </row>
    <row r="6" spans="2:50" ht="25.35" customHeight="1">
      <c r="B6" s="177" t="s">
        <v>26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</row>
    <row r="7" spans="2:50" ht="13.9" customHeight="1">
      <c r="B7" s="201" t="s">
        <v>38</v>
      </c>
      <c r="C7" s="122"/>
      <c r="D7" s="209"/>
      <c r="E7" s="209"/>
      <c r="F7" s="209"/>
      <c r="G7" s="209"/>
      <c r="H7" s="122"/>
      <c r="I7" s="209"/>
      <c r="J7" s="209"/>
      <c r="K7" s="209"/>
      <c r="L7" s="209"/>
      <c r="M7" s="122"/>
      <c r="N7" s="209"/>
      <c r="O7" s="209"/>
      <c r="P7" s="209"/>
      <c r="Q7" s="209"/>
      <c r="R7" s="122"/>
      <c r="S7" s="209"/>
      <c r="T7" s="209"/>
      <c r="U7" s="209"/>
      <c r="V7" s="209"/>
      <c r="W7" s="122"/>
      <c r="X7" s="209"/>
      <c r="Y7" s="209"/>
      <c r="Z7" s="209"/>
      <c r="AA7" s="209"/>
      <c r="AB7" s="122"/>
      <c r="AC7" s="209"/>
      <c r="AD7" s="209"/>
      <c r="AE7" s="209"/>
      <c r="AF7" s="209"/>
      <c r="AG7" s="122"/>
      <c r="AH7" s="209"/>
      <c r="AI7" s="209"/>
      <c r="AJ7" s="209"/>
      <c r="AK7" s="209"/>
      <c r="AL7" s="122"/>
      <c r="AM7" s="209"/>
      <c r="AN7" s="209"/>
      <c r="AO7" s="209"/>
      <c r="AP7" s="209"/>
      <c r="AQ7" s="122"/>
      <c r="AR7" s="209"/>
      <c r="AS7" s="209"/>
      <c r="AT7" s="209"/>
      <c r="AU7" s="209"/>
      <c r="AV7" s="209"/>
      <c r="AW7" s="209"/>
      <c r="AX7" s="122"/>
    </row>
    <row r="8" spans="2:50" ht="13.9" customHeight="1">
      <c r="B8" s="12" t="s">
        <v>31</v>
      </c>
      <c r="C8" s="210">
        <v>4383</v>
      </c>
      <c r="D8" s="355">
        <v>1078</v>
      </c>
      <c r="E8" s="355">
        <v>1058</v>
      </c>
      <c r="F8" s="355">
        <v>1061</v>
      </c>
      <c r="G8" s="355">
        <v>1047</v>
      </c>
      <c r="H8" s="210">
        <v>4244</v>
      </c>
      <c r="I8" s="355">
        <v>1063</v>
      </c>
      <c r="J8" s="355">
        <v>1064</v>
      </c>
      <c r="K8" s="355">
        <v>1043</v>
      </c>
      <c r="L8" s="355">
        <v>1026</v>
      </c>
      <c r="M8" s="210">
        <v>4196</v>
      </c>
      <c r="N8" s="355">
        <v>1043</v>
      </c>
      <c r="O8" s="355">
        <v>1020</v>
      </c>
      <c r="P8" s="355">
        <v>1025</v>
      </c>
      <c r="Q8" s="355">
        <v>985</v>
      </c>
      <c r="R8" s="210">
        <v>4073</v>
      </c>
      <c r="S8" s="355">
        <v>1018</v>
      </c>
      <c r="T8" s="355">
        <v>1044</v>
      </c>
      <c r="U8" s="355">
        <v>1042</v>
      </c>
      <c r="V8" s="355">
        <v>1055</v>
      </c>
      <c r="W8" s="210">
        <v>4159</v>
      </c>
      <c r="X8" s="355">
        <v>1054</v>
      </c>
      <c r="Y8" s="355">
        <v>1039</v>
      </c>
      <c r="Z8" s="355">
        <v>1037</v>
      </c>
      <c r="AA8" s="355">
        <v>1052</v>
      </c>
      <c r="AB8" s="210">
        <v>4182</v>
      </c>
      <c r="AC8" s="19">
        <v>1096</v>
      </c>
      <c r="AD8" s="19">
        <v>1067</v>
      </c>
      <c r="AE8" s="19">
        <v>1086</v>
      </c>
      <c r="AF8" s="19">
        <v>1057</v>
      </c>
      <c r="AG8" s="210">
        <v>4306</v>
      </c>
      <c r="AH8" s="19">
        <v>1111</v>
      </c>
      <c r="AI8" s="19">
        <v>1130</v>
      </c>
      <c r="AJ8" s="19">
        <v>1084</v>
      </c>
      <c r="AK8" s="19">
        <v>1087</v>
      </c>
      <c r="AL8" s="210">
        <v>4412</v>
      </c>
      <c r="AM8" s="19">
        <v>1091</v>
      </c>
      <c r="AN8" s="19">
        <v>1075</v>
      </c>
      <c r="AO8" s="19">
        <v>1105</v>
      </c>
      <c r="AP8" s="19">
        <v>1071</v>
      </c>
      <c r="AQ8" s="210">
        <v>4342</v>
      </c>
      <c r="AR8" s="19">
        <v>1101</v>
      </c>
      <c r="AS8" s="19">
        <v>1102</v>
      </c>
      <c r="AT8" s="137">
        <v>2203</v>
      </c>
      <c r="AU8" s="19">
        <v>1111</v>
      </c>
      <c r="AV8" s="276">
        <v>3314</v>
      </c>
      <c r="AW8" s="19">
        <v>1114</v>
      </c>
      <c r="AX8" s="210">
        <v>4428</v>
      </c>
    </row>
    <row r="9" spans="2:50" ht="13.9" customHeight="1">
      <c r="B9" s="20" t="s">
        <v>5</v>
      </c>
      <c r="C9" s="211"/>
      <c r="D9" s="357"/>
      <c r="E9" s="357">
        <v>-1.8552875695732829E-2</v>
      </c>
      <c r="F9" s="357">
        <v>2.835538752362865E-3</v>
      </c>
      <c r="G9" s="357">
        <v>-1.3195098963242224E-2</v>
      </c>
      <c r="H9" s="211"/>
      <c r="I9" s="357">
        <v>1.5281757402101137E-2</v>
      </c>
      <c r="J9" s="357">
        <v>9.4073377234238365E-4</v>
      </c>
      <c r="K9" s="357">
        <v>-1.9736842105263164E-2</v>
      </c>
      <c r="L9" s="357">
        <v>-1.6299137104506256E-2</v>
      </c>
      <c r="M9" s="211"/>
      <c r="N9" s="357">
        <v>1.6569200779727122E-2</v>
      </c>
      <c r="O9" s="357">
        <v>-2.2051773729626079E-2</v>
      </c>
      <c r="P9" s="357">
        <v>4.9019607843137081E-3</v>
      </c>
      <c r="Q9" s="357">
        <v>-3.9024390243902474E-2</v>
      </c>
      <c r="R9" s="211"/>
      <c r="S9" s="357">
        <v>3.3502538071066068E-2</v>
      </c>
      <c r="T9" s="357">
        <v>2.5540275049115824E-2</v>
      </c>
      <c r="U9" s="357">
        <v>-1.9157088122605526E-3</v>
      </c>
      <c r="V9" s="357">
        <v>1.2476007677543199E-2</v>
      </c>
      <c r="W9" s="211"/>
      <c r="X9" s="357">
        <v>-9.4786729857820884E-4</v>
      </c>
      <c r="Y9" s="357">
        <v>-1.4231499051233443E-2</v>
      </c>
      <c r="Z9" s="357">
        <v>-1.9249278152069227E-3</v>
      </c>
      <c r="AA9" s="357">
        <v>1.4464802314368308E-2</v>
      </c>
      <c r="AB9" s="211"/>
      <c r="AC9" s="21">
        <v>4.1825095057034245E-2</v>
      </c>
      <c r="AD9" s="21">
        <v>-2.6459854014598494E-2</v>
      </c>
      <c r="AE9" s="21">
        <v>1.7806935332708607E-2</v>
      </c>
      <c r="AF9" s="21">
        <v>-2.6703499079189674E-2</v>
      </c>
      <c r="AG9" s="211"/>
      <c r="AH9" s="21">
        <v>5.1087984862819402E-2</v>
      </c>
      <c r="AI9" s="21">
        <v>1.7101710171017137E-2</v>
      </c>
      <c r="AJ9" s="21">
        <v>-4.0707964601769953E-2</v>
      </c>
      <c r="AK9" s="21">
        <v>2.7675276752767708E-3</v>
      </c>
      <c r="AL9" s="211"/>
      <c r="AM9" s="21">
        <v>3.6798528058876734E-3</v>
      </c>
      <c r="AN9" s="21">
        <v>-1.466544454628782E-2</v>
      </c>
      <c r="AO9" s="21">
        <v>2.7906976744185963E-2</v>
      </c>
      <c r="AP9" s="21">
        <v>-3.0769230769230771E-2</v>
      </c>
      <c r="AQ9" s="211"/>
      <c r="AR9" s="21">
        <v>2.8011204481792618E-2</v>
      </c>
      <c r="AS9" s="21">
        <v>9.0826521344222755E-4</v>
      </c>
      <c r="AT9" s="138"/>
      <c r="AU9" s="21">
        <v>8.1669691470054318E-3</v>
      </c>
      <c r="AV9" s="277"/>
      <c r="AW9" s="21">
        <v>2.7002700270026825E-3</v>
      </c>
      <c r="AX9" s="211"/>
    </row>
    <row r="10" spans="2:50" ht="13.9" customHeight="1">
      <c r="B10" s="20" t="s">
        <v>6</v>
      </c>
      <c r="C10" s="211"/>
      <c r="D10" s="66"/>
      <c r="E10" s="66"/>
      <c r="F10" s="66"/>
      <c r="G10" s="66"/>
      <c r="H10" s="211">
        <v>-3.1713438284280193E-2</v>
      </c>
      <c r="I10" s="66">
        <v>-1.3914656771799594E-2</v>
      </c>
      <c r="J10" s="66">
        <v>5.6710775047259521E-3</v>
      </c>
      <c r="K10" s="66">
        <v>-1.6965127238454336E-2</v>
      </c>
      <c r="L10" s="66">
        <v>-2.005730659025784E-2</v>
      </c>
      <c r="M10" s="211">
        <v>-1.1310084825636224E-2</v>
      </c>
      <c r="N10" s="66">
        <v>-1.8814675446848561E-2</v>
      </c>
      <c r="O10" s="66">
        <v>-4.1353383458646586E-2</v>
      </c>
      <c r="P10" s="66">
        <v>-1.7257909875359578E-2</v>
      </c>
      <c r="Q10" s="66">
        <v>-3.9961013645224197E-2</v>
      </c>
      <c r="R10" s="211">
        <v>-2.9313632030505188E-2</v>
      </c>
      <c r="S10" s="66">
        <v>-2.3969319271332723E-2</v>
      </c>
      <c r="T10" s="66">
        <v>2.3529411764705799E-2</v>
      </c>
      <c r="U10" s="66">
        <v>1.6585365853658551E-2</v>
      </c>
      <c r="V10" s="66">
        <v>7.1065989847715727E-2</v>
      </c>
      <c r="W10" s="211">
        <v>2.1114657500613809E-2</v>
      </c>
      <c r="X10" s="66">
        <v>3.5363457760314354E-2</v>
      </c>
      <c r="Y10" s="66">
        <v>-4.7892720306513814E-3</v>
      </c>
      <c r="Z10" s="66">
        <v>-4.7984644913627861E-3</v>
      </c>
      <c r="AA10" s="66">
        <v>-2.8436018957346265E-3</v>
      </c>
      <c r="AB10" s="211">
        <v>5.5301755229621996E-3</v>
      </c>
      <c r="AC10" s="22">
        <v>3.9848197343453462E-2</v>
      </c>
      <c r="AD10" s="22">
        <v>2.6948989412896918E-2</v>
      </c>
      <c r="AE10" s="22">
        <v>4.7251687560269984E-2</v>
      </c>
      <c r="AF10" s="22">
        <v>4.7528517110266844E-3</v>
      </c>
      <c r="AG10" s="211">
        <v>2.9650884744141459E-2</v>
      </c>
      <c r="AH10" s="22">
        <v>1.3686131386861256E-2</v>
      </c>
      <c r="AI10" s="22">
        <v>5.9044048734770316E-2</v>
      </c>
      <c r="AJ10" s="22">
        <v>-1.8416206261510082E-3</v>
      </c>
      <c r="AK10" s="22">
        <v>2.838221381267747E-2</v>
      </c>
      <c r="AL10" s="211">
        <v>2.4616813748258304E-2</v>
      </c>
      <c r="AM10" s="22">
        <v>-1.8001800180017957E-2</v>
      </c>
      <c r="AN10" s="22">
        <v>-4.8672566371681381E-2</v>
      </c>
      <c r="AO10" s="22">
        <v>1.9372693726937174E-2</v>
      </c>
      <c r="AP10" s="22">
        <v>-1.4719411223551027E-2</v>
      </c>
      <c r="AQ10" s="211">
        <v>-1.5865820489573856E-2</v>
      </c>
      <c r="AR10" s="22">
        <v>9.1659028414299293E-3</v>
      </c>
      <c r="AS10" s="22">
        <v>2.5116279069767433E-2</v>
      </c>
      <c r="AT10" s="139"/>
      <c r="AU10" s="22">
        <v>5.4298642533936459E-3</v>
      </c>
      <c r="AV10" s="278"/>
      <c r="AW10" s="22">
        <v>4.0149393090569641E-2</v>
      </c>
      <c r="AX10" s="211">
        <v>1.9806540764624625E-2</v>
      </c>
    </row>
    <row r="11" spans="2:50" ht="13.9" customHeight="1">
      <c r="B11" s="12" t="s">
        <v>419</v>
      </c>
      <c r="C11" s="210">
        <v>2991</v>
      </c>
      <c r="D11" s="368">
        <v>0</v>
      </c>
      <c r="E11" s="368">
        <v>0</v>
      </c>
      <c r="F11" s="368">
        <v>0</v>
      </c>
      <c r="G11" s="368">
        <v>0</v>
      </c>
      <c r="H11" s="210">
        <v>2963</v>
      </c>
      <c r="I11" s="368">
        <v>0</v>
      </c>
      <c r="J11" s="368">
        <v>0</v>
      </c>
      <c r="K11" s="368">
        <v>0</v>
      </c>
      <c r="L11" s="368">
        <v>0</v>
      </c>
      <c r="M11" s="210">
        <v>3040</v>
      </c>
      <c r="N11" s="368">
        <v>0</v>
      </c>
      <c r="O11" s="368">
        <v>0</v>
      </c>
      <c r="P11" s="368">
        <v>0</v>
      </c>
      <c r="Q11" s="368">
        <v>0</v>
      </c>
      <c r="R11" s="210">
        <v>3034</v>
      </c>
      <c r="S11" s="368">
        <v>0</v>
      </c>
      <c r="T11" s="368">
        <v>0</v>
      </c>
      <c r="U11" s="368">
        <v>0</v>
      </c>
      <c r="V11" s="368">
        <v>0</v>
      </c>
      <c r="W11" s="210">
        <v>3151</v>
      </c>
      <c r="X11" s="66"/>
      <c r="Y11" s="66"/>
      <c r="Z11" s="66"/>
      <c r="AA11" s="66"/>
      <c r="AB11" s="210">
        <v>3269</v>
      </c>
      <c r="AC11" s="19">
        <v>876</v>
      </c>
      <c r="AD11" s="19">
        <v>878</v>
      </c>
      <c r="AE11" s="19">
        <v>898</v>
      </c>
      <c r="AF11" s="19">
        <v>874</v>
      </c>
      <c r="AG11" s="210">
        <v>3526</v>
      </c>
      <c r="AH11" s="19">
        <v>929</v>
      </c>
      <c r="AI11" s="19">
        <v>954</v>
      </c>
      <c r="AJ11" s="19">
        <v>936</v>
      </c>
      <c r="AK11" s="19">
        <v>943</v>
      </c>
      <c r="AL11" s="210">
        <v>3762</v>
      </c>
      <c r="AM11" s="19">
        <v>948</v>
      </c>
      <c r="AN11" s="19">
        <v>937</v>
      </c>
      <c r="AO11" s="19">
        <v>970</v>
      </c>
      <c r="AP11" s="19">
        <v>943</v>
      </c>
      <c r="AQ11" s="210">
        <v>3798</v>
      </c>
      <c r="AR11" s="19">
        <v>973</v>
      </c>
      <c r="AS11" s="19">
        <v>979</v>
      </c>
      <c r="AT11" s="137">
        <v>1952</v>
      </c>
      <c r="AU11" s="19">
        <v>991</v>
      </c>
      <c r="AV11" s="276">
        <v>2943</v>
      </c>
      <c r="AW11" s="19">
        <v>997</v>
      </c>
      <c r="AX11" s="210">
        <v>3940</v>
      </c>
    </row>
    <row r="12" spans="2:50" ht="13.9" customHeight="1">
      <c r="B12" s="20" t="s">
        <v>5</v>
      </c>
      <c r="C12" s="211"/>
      <c r="D12" s="66"/>
      <c r="E12" s="66"/>
      <c r="F12" s="66"/>
      <c r="G12" s="66"/>
      <c r="H12" s="211"/>
      <c r="I12" s="66"/>
      <c r="J12" s="66"/>
      <c r="K12" s="66"/>
      <c r="L12" s="66"/>
      <c r="M12" s="211"/>
      <c r="N12" s="66"/>
      <c r="O12" s="66"/>
      <c r="P12" s="66"/>
      <c r="Q12" s="66"/>
      <c r="R12" s="211"/>
      <c r="S12" s="66"/>
      <c r="T12" s="66"/>
      <c r="U12" s="66"/>
      <c r="V12" s="66"/>
      <c r="W12" s="211"/>
      <c r="X12" s="66"/>
      <c r="Y12" s="66"/>
      <c r="Z12" s="66"/>
      <c r="AA12" s="66"/>
      <c r="AB12" s="211"/>
      <c r="AC12" s="22"/>
      <c r="AD12" s="22"/>
      <c r="AE12" s="22"/>
      <c r="AF12" s="22"/>
      <c r="AG12" s="211"/>
      <c r="AH12" s="22">
        <v>6.2929061784896989E-2</v>
      </c>
      <c r="AI12" s="22">
        <v>2.6910656620021456E-2</v>
      </c>
      <c r="AJ12" s="22">
        <v>-1.8867924528301883E-2</v>
      </c>
      <c r="AK12" s="22">
        <v>7.4786324786324521E-3</v>
      </c>
      <c r="AL12" s="210"/>
      <c r="AM12" s="22">
        <v>5.3022269353129037E-3</v>
      </c>
      <c r="AN12" s="21">
        <v>-1.1603375527426185E-2</v>
      </c>
      <c r="AO12" s="21">
        <v>3.5218783351120608E-2</v>
      </c>
      <c r="AP12" s="21">
        <v>-2.7835051546391765E-2</v>
      </c>
      <c r="AQ12" s="210"/>
      <c r="AR12" s="21">
        <v>3.1813361611876978E-2</v>
      </c>
      <c r="AS12" s="21">
        <v>6.1664953751283669E-3</v>
      </c>
      <c r="AT12" s="139"/>
      <c r="AU12" s="21">
        <v>1.2257405515832431E-2</v>
      </c>
      <c r="AV12" s="278"/>
      <c r="AW12" s="21">
        <v>6.0544904137234123E-3</v>
      </c>
      <c r="AX12" s="210"/>
    </row>
    <row r="13" spans="2:50" ht="13.9" customHeight="1">
      <c r="B13" s="20" t="s">
        <v>6</v>
      </c>
      <c r="C13" s="211"/>
      <c r="D13" s="66"/>
      <c r="E13" s="66"/>
      <c r="F13" s="66"/>
      <c r="G13" s="66"/>
      <c r="H13" s="211"/>
      <c r="I13" s="66"/>
      <c r="J13" s="66"/>
      <c r="K13" s="66"/>
      <c r="L13" s="66"/>
      <c r="M13" s="211"/>
      <c r="N13" s="66"/>
      <c r="O13" s="66"/>
      <c r="P13" s="66"/>
      <c r="Q13" s="66"/>
      <c r="R13" s="211"/>
      <c r="S13" s="66"/>
      <c r="T13" s="66"/>
      <c r="U13" s="66"/>
      <c r="V13" s="66"/>
      <c r="W13" s="211"/>
      <c r="X13" s="66"/>
      <c r="Y13" s="66"/>
      <c r="Z13" s="66"/>
      <c r="AA13" s="66"/>
      <c r="AB13" s="211"/>
      <c r="AC13" s="22"/>
      <c r="AD13" s="22"/>
      <c r="AE13" s="22"/>
      <c r="AF13" s="22"/>
      <c r="AG13" s="211"/>
      <c r="AH13" s="22">
        <v>6.0502283105022814E-2</v>
      </c>
      <c r="AI13" s="22">
        <v>8.6560364464692396E-2</v>
      </c>
      <c r="AJ13" s="22">
        <v>4.231625835189301E-2</v>
      </c>
      <c r="AK13" s="22">
        <v>7.8947368421052655E-2</v>
      </c>
      <c r="AL13" s="211"/>
      <c r="AM13" s="22">
        <v>2.0452099031216253E-2</v>
      </c>
      <c r="AN13" s="22">
        <v>-1.7819706498951815E-2</v>
      </c>
      <c r="AO13" s="22">
        <v>3.6324786324786418E-2</v>
      </c>
      <c r="AP13" s="22">
        <v>0</v>
      </c>
      <c r="AQ13" s="211">
        <v>9.5693779904306719E-3</v>
      </c>
      <c r="AR13" s="22">
        <v>2.6371308016877704E-2</v>
      </c>
      <c r="AS13" s="22">
        <v>4.4823906083244491E-2</v>
      </c>
      <c r="AT13" s="139"/>
      <c r="AU13" s="22">
        <v>2.1649484536082397E-2</v>
      </c>
      <c r="AV13" s="278"/>
      <c r="AW13" s="22">
        <v>5.7264050901378649E-2</v>
      </c>
      <c r="AX13" s="211">
        <v>3.7388098999473485E-2</v>
      </c>
    </row>
    <row r="14" spans="2:50" ht="13.9" customHeight="1">
      <c r="B14" s="12" t="s">
        <v>421</v>
      </c>
      <c r="C14" s="210">
        <v>1500</v>
      </c>
      <c r="D14" s="355">
        <v>382</v>
      </c>
      <c r="E14" s="355">
        <v>381</v>
      </c>
      <c r="F14" s="355">
        <v>386</v>
      </c>
      <c r="G14" s="355">
        <v>395</v>
      </c>
      <c r="H14" s="210">
        <v>1544</v>
      </c>
      <c r="I14" s="355">
        <v>396</v>
      </c>
      <c r="J14" s="355">
        <v>403</v>
      </c>
      <c r="K14" s="355">
        <v>401</v>
      </c>
      <c r="L14" s="355">
        <v>396</v>
      </c>
      <c r="M14" s="210">
        <v>1596</v>
      </c>
      <c r="N14" s="355">
        <v>397</v>
      </c>
      <c r="O14" s="355">
        <v>396</v>
      </c>
      <c r="P14" s="355">
        <v>393</v>
      </c>
      <c r="Q14" s="355">
        <v>392</v>
      </c>
      <c r="R14" s="210">
        <v>1578</v>
      </c>
      <c r="S14" s="355">
        <v>395</v>
      </c>
      <c r="T14" s="355">
        <v>402</v>
      </c>
      <c r="U14" s="355">
        <v>408</v>
      </c>
      <c r="V14" s="355">
        <v>417</v>
      </c>
      <c r="W14" s="210">
        <v>1622</v>
      </c>
      <c r="X14" s="355">
        <v>398</v>
      </c>
      <c r="Y14" s="355">
        <v>403</v>
      </c>
      <c r="Z14" s="355">
        <v>407</v>
      </c>
      <c r="AA14" s="355">
        <v>416</v>
      </c>
      <c r="AB14" s="210">
        <v>1624</v>
      </c>
      <c r="AC14" s="19">
        <v>434</v>
      </c>
      <c r="AD14" s="19">
        <v>443</v>
      </c>
      <c r="AE14" s="19">
        <v>452</v>
      </c>
      <c r="AF14" s="19">
        <v>460</v>
      </c>
      <c r="AG14" s="210">
        <v>1789</v>
      </c>
      <c r="AH14" s="19">
        <v>479</v>
      </c>
      <c r="AI14" s="19">
        <v>485</v>
      </c>
      <c r="AJ14" s="19">
        <v>489</v>
      </c>
      <c r="AK14" s="19">
        <v>494</v>
      </c>
      <c r="AL14" s="210">
        <v>1947</v>
      </c>
      <c r="AM14" s="19">
        <v>501</v>
      </c>
      <c r="AN14" s="19">
        <v>494</v>
      </c>
      <c r="AO14" s="19">
        <v>500</v>
      </c>
      <c r="AP14" s="19">
        <v>504</v>
      </c>
      <c r="AQ14" s="210">
        <v>1999</v>
      </c>
      <c r="AR14" s="19">
        <v>505</v>
      </c>
      <c r="AS14" s="19">
        <v>508</v>
      </c>
      <c r="AT14" s="137">
        <v>1013</v>
      </c>
      <c r="AU14" s="19">
        <v>508</v>
      </c>
      <c r="AV14" s="276">
        <v>1521</v>
      </c>
      <c r="AW14" s="19">
        <v>511</v>
      </c>
      <c r="AX14" s="210">
        <v>2032</v>
      </c>
    </row>
    <row r="15" spans="2:50" ht="13.9" customHeight="1">
      <c r="B15" s="20" t="s">
        <v>5</v>
      </c>
      <c r="C15" s="211"/>
      <c r="D15" s="357"/>
      <c r="E15" s="357">
        <v>-2.6178010471203939E-3</v>
      </c>
      <c r="F15" s="357">
        <v>1.3123359580052396E-2</v>
      </c>
      <c r="G15" s="357">
        <v>2.3316062176165886E-2</v>
      </c>
      <c r="H15" s="211"/>
      <c r="I15" s="357">
        <v>2.5316455696202667E-3</v>
      </c>
      <c r="J15" s="357">
        <v>1.7676767676767735E-2</v>
      </c>
      <c r="K15" s="357">
        <v>-4.9627791563275903E-3</v>
      </c>
      <c r="L15" s="357">
        <v>-1.2468827930174564E-2</v>
      </c>
      <c r="M15" s="211"/>
      <c r="N15" s="357">
        <v>2.525252525252597E-3</v>
      </c>
      <c r="O15" s="357">
        <v>-2.5188916876573986E-3</v>
      </c>
      <c r="P15" s="357">
        <v>-7.575757575757569E-3</v>
      </c>
      <c r="Q15" s="357">
        <v>-2.5445292620864812E-3</v>
      </c>
      <c r="R15" s="211"/>
      <c r="S15" s="357">
        <v>7.6530612244898322E-3</v>
      </c>
      <c r="T15" s="357">
        <v>1.7721518987341867E-2</v>
      </c>
      <c r="U15" s="357">
        <v>1.4925373134328401E-2</v>
      </c>
      <c r="V15" s="357">
        <v>2.2058823529411686E-2</v>
      </c>
      <c r="W15" s="211"/>
      <c r="X15" s="357">
        <v>-4.5563549160671513E-2</v>
      </c>
      <c r="Y15" s="357">
        <v>1.2562814070351758E-2</v>
      </c>
      <c r="Z15" s="357">
        <v>9.9255583126551805E-3</v>
      </c>
      <c r="AA15" s="357">
        <v>2.2113022113022129E-2</v>
      </c>
      <c r="AB15" s="211"/>
      <c r="AC15" s="21">
        <v>4.3269230769230838E-2</v>
      </c>
      <c r="AD15" s="21">
        <v>2.0737327188940169E-2</v>
      </c>
      <c r="AE15" s="21">
        <v>2.0316027088036037E-2</v>
      </c>
      <c r="AF15" s="21">
        <v>1.7699115044247815E-2</v>
      </c>
      <c r="AG15" s="211"/>
      <c r="AH15" s="21">
        <v>4.1304347826087051E-2</v>
      </c>
      <c r="AI15" s="21">
        <v>1.2526096033402823E-2</v>
      </c>
      <c r="AJ15" s="21">
        <v>8.2474226804123418E-3</v>
      </c>
      <c r="AK15" s="21">
        <v>1.0224948875255713E-2</v>
      </c>
      <c r="AL15" s="211"/>
      <c r="AM15" s="21">
        <v>1.4170040485830038E-2</v>
      </c>
      <c r="AN15" s="21">
        <v>-1.3972055888223589E-2</v>
      </c>
      <c r="AO15" s="21">
        <v>1.2145748987854255E-2</v>
      </c>
      <c r="AP15" s="21">
        <v>8.0000000000000071E-3</v>
      </c>
      <c r="AQ15" s="211"/>
      <c r="AR15" s="21">
        <v>1.9841269841269771E-3</v>
      </c>
      <c r="AS15" s="21">
        <v>5.9405940594059459E-3</v>
      </c>
      <c r="AT15" s="138"/>
      <c r="AU15" s="21">
        <v>0</v>
      </c>
      <c r="AV15" s="277"/>
      <c r="AW15" s="21">
        <v>5.9055118110236116E-3</v>
      </c>
      <c r="AX15" s="211"/>
    </row>
    <row r="16" spans="2:50" ht="13.9" customHeight="1">
      <c r="B16" s="20" t="s">
        <v>6</v>
      </c>
      <c r="C16" s="211"/>
      <c r="D16" s="66"/>
      <c r="E16" s="66"/>
      <c r="F16" s="66"/>
      <c r="G16" s="66"/>
      <c r="H16" s="211">
        <v>2.9333333333333433E-2</v>
      </c>
      <c r="I16" s="66">
        <v>3.6649214659685958E-2</v>
      </c>
      <c r="J16" s="66">
        <v>5.7742782152230943E-2</v>
      </c>
      <c r="K16" s="66">
        <v>3.8860103626942921E-2</v>
      </c>
      <c r="L16" s="66">
        <v>2.5316455696202667E-3</v>
      </c>
      <c r="M16" s="211">
        <v>3.3678756476683835E-2</v>
      </c>
      <c r="N16" s="66">
        <v>2.525252525252597E-3</v>
      </c>
      <c r="O16" s="66">
        <v>-1.7369727047146455E-2</v>
      </c>
      <c r="P16" s="66">
        <v>-1.995012468827928E-2</v>
      </c>
      <c r="Q16" s="66">
        <v>-1.0101010101010055E-2</v>
      </c>
      <c r="R16" s="211">
        <v>-1.1278195488721776E-2</v>
      </c>
      <c r="S16" s="66">
        <v>-5.0377833753149082E-3</v>
      </c>
      <c r="T16" s="66">
        <v>1.5151515151515138E-2</v>
      </c>
      <c r="U16" s="66">
        <v>3.8167938931297662E-2</v>
      </c>
      <c r="V16" s="66">
        <v>6.3775510204081565E-2</v>
      </c>
      <c r="W16" s="211">
        <v>2.7883396704689423E-2</v>
      </c>
      <c r="X16" s="66">
        <v>7.5949367088608E-3</v>
      </c>
      <c r="Y16" s="66">
        <v>2.4875621890547706E-3</v>
      </c>
      <c r="Z16" s="66">
        <v>-2.450980392156854E-3</v>
      </c>
      <c r="AA16" s="66">
        <v>-2.3980815347721673E-3</v>
      </c>
      <c r="AB16" s="211">
        <v>1.2330456226881115E-3</v>
      </c>
      <c r="AC16" s="22">
        <v>9.0452261306532611E-2</v>
      </c>
      <c r="AD16" s="22">
        <v>9.9255583126550917E-2</v>
      </c>
      <c r="AE16" s="22">
        <v>0.11056511056511065</v>
      </c>
      <c r="AF16" s="22">
        <v>0.10576923076923084</v>
      </c>
      <c r="AG16" s="211">
        <v>0.10160098522167482</v>
      </c>
      <c r="AH16" s="22">
        <v>0.1036866359447004</v>
      </c>
      <c r="AI16" s="22">
        <v>9.4808126410835136E-2</v>
      </c>
      <c r="AJ16" s="22">
        <v>8.1858407079645978E-2</v>
      </c>
      <c r="AK16" s="22">
        <v>7.3913043478260887E-2</v>
      </c>
      <c r="AL16" s="211">
        <v>8.8317495807713753E-2</v>
      </c>
      <c r="AM16" s="22">
        <v>4.5929018789144127E-2</v>
      </c>
      <c r="AN16" s="22">
        <v>1.8556701030927769E-2</v>
      </c>
      <c r="AO16" s="22">
        <v>2.249488752556239E-2</v>
      </c>
      <c r="AP16" s="22">
        <v>2.0242914979757165E-2</v>
      </c>
      <c r="AQ16" s="211">
        <v>2.670775552131488E-2</v>
      </c>
      <c r="AR16" s="22">
        <v>7.9840319361277334E-3</v>
      </c>
      <c r="AS16" s="22">
        <v>2.8340080971659853E-2</v>
      </c>
      <c r="AT16" s="139"/>
      <c r="AU16" s="22">
        <v>1.6000000000000014E-2</v>
      </c>
      <c r="AV16" s="278"/>
      <c r="AW16" s="22">
        <v>1.388888888888884E-2</v>
      </c>
      <c r="AX16" s="211">
        <v>1.6508254127063582E-2</v>
      </c>
    </row>
    <row r="17" spans="2:50" ht="13.9" customHeight="1">
      <c r="B17" s="12" t="s">
        <v>152</v>
      </c>
      <c r="C17" s="210">
        <v>1069</v>
      </c>
      <c r="D17" s="355">
        <v>250</v>
      </c>
      <c r="E17" s="355">
        <v>244</v>
      </c>
      <c r="F17" s="355">
        <v>244</v>
      </c>
      <c r="G17" s="355">
        <v>237</v>
      </c>
      <c r="H17" s="210">
        <v>975</v>
      </c>
      <c r="I17" s="355">
        <v>247</v>
      </c>
      <c r="J17" s="355">
        <v>244</v>
      </c>
      <c r="K17" s="355">
        <v>243</v>
      </c>
      <c r="L17" s="355">
        <v>243</v>
      </c>
      <c r="M17" s="210">
        <v>977</v>
      </c>
      <c r="N17" s="355">
        <v>246</v>
      </c>
      <c r="O17" s="355">
        <v>238</v>
      </c>
      <c r="P17" s="355">
        <v>245</v>
      </c>
      <c r="Q17" s="355">
        <v>219</v>
      </c>
      <c r="R17" s="210">
        <v>948</v>
      </c>
      <c r="S17" s="355">
        <v>244</v>
      </c>
      <c r="T17" s="355">
        <v>251</v>
      </c>
      <c r="U17" s="355">
        <v>250</v>
      </c>
      <c r="V17" s="355">
        <v>266</v>
      </c>
      <c r="W17" s="210">
        <v>1011</v>
      </c>
      <c r="X17" s="355">
        <v>268</v>
      </c>
      <c r="Y17" s="355">
        <v>276</v>
      </c>
      <c r="Z17" s="355">
        <v>270</v>
      </c>
      <c r="AA17" s="355">
        <v>273</v>
      </c>
      <c r="AB17" s="210">
        <v>1087</v>
      </c>
      <c r="AC17" s="19">
        <v>286</v>
      </c>
      <c r="AD17" s="19">
        <v>287</v>
      </c>
      <c r="AE17" s="19">
        <v>283</v>
      </c>
      <c r="AF17" s="19">
        <v>276</v>
      </c>
      <c r="AG17" s="210">
        <v>1132</v>
      </c>
      <c r="AH17" s="19">
        <v>286</v>
      </c>
      <c r="AI17" s="19">
        <v>289</v>
      </c>
      <c r="AJ17" s="19">
        <v>290</v>
      </c>
      <c r="AK17" s="19">
        <v>298</v>
      </c>
      <c r="AL17" s="210">
        <v>1163</v>
      </c>
      <c r="AM17" s="19">
        <v>298</v>
      </c>
      <c r="AN17" s="19">
        <v>293</v>
      </c>
      <c r="AO17" s="19">
        <v>296</v>
      </c>
      <c r="AP17" s="19">
        <v>292</v>
      </c>
      <c r="AQ17" s="210">
        <v>1179</v>
      </c>
      <c r="AR17" s="19">
        <v>302</v>
      </c>
      <c r="AS17" s="19">
        <v>309</v>
      </c>
      <c r="AT17" s="137">
        <v>611</v>
      </c>
      <c r="AU17" s="19">
        <v>310</v>
      </c>
      <c r="AV17" s="276">
        <v>921</v>
      </c>
      <c r="AW17" s="19">
        <v>290</v>
      </c>
      <c r="AX17" s="210">
        <v>1211</v>
      </c>
    </row>
    <row r="18" spans="2:50" ht="13.9" customHeight="1">
      <c r="B18" s="20" t="s">
        <v>5</v>
      </c>
      <c r="C18" s="211"/>
      <c r="D18" s="357"/>
      <c r="E18" s="357">
        <v>-2.4000000000000021E-2</v>
      </c>
      <c r="F18" s="357">
        <v>0</v>
      </c>
      <c r="G18" s="357">
        <v>-2.8688524590163911E-2</v>
      </c>
      <c r="H18" s="211"/>
      <c r="I18" s="357">
        <v>4.2194092827004148E-2</v>
      </c>
      <c r="J18" s="357">
        <v>-1.2145748987854255E-2</v>
      </c>
      <c r="K18" s="357">
        <v>-4.098360655737654E-3</v>
      </c>
      <c r="L18" s="357">
        <v>0</v>
      </c>
      <c r="M18" s="211"/>
      <c r="N18" s="357">
        <v>1.2345679012345734E-2</v>
      </c>
      <c r="O18" s="357">
        <v>-3.2520325203251987E-2</v>
      </c>
      <c r="P18" s="357">
        <v>2.9411764705882248E-2</v>
      </c>
      <c r="Q18" s="357">
        <v>-0.10612244897959189</v>
      </c>
      <c r="R18" s="211"/>
      <c r="S18" s="357">
        <v>0.11415525114155245</v>
      </c>
      <c r="T18" s="357">
        <v>2.8688524590164022E-2</v>
      </c>
      <c r="U18" s="357">
        <v>-3.9840637450199168E-3</v>
      </c>
      <c r="V18" s="357">
        <v>6.4000000000000057E-2</v>
      </c>
      <c r="W18" s="211"/>
      <c r="X18" s="357">
        <v>7.5187969924812581E-3</v>
      </c>
      <c r="Y18" s="357">
        <v>2.9850746268656803E-2</v>
      </c>
      <c r="Z18" s="357">
        <v>-2.1739130434782594E-2</v>
      </c>
      <c r="AA18" s="357">
        <v>1.1111111111111072E-2</v>
      </c>
      <c r="AB18" s="211"/>
      <c r="AC18" s="21">
        <v>4.7619047619047672E-2</v>
      </c>
      <c r="AD18" s="21">
        <v>3.4965034965035446E-3</v>
      </c>
      <c r="AE18" s="21">
        <v>-1.3937282229965153E-2</v>
      </c>
      <c r="AF18" s="21">
        <v>-2.4734982332155431E-2</v>
      </c>
      <c r="AG18" s="211"/>
      <c r="AH18" s="21">
        <v>3.6231884057970953E-2</v>
      </c>
      <c r="AI18" s="21">
        <v>1.0489510489510412E-2</v>
      </c>
      <c r="AJ18" s="21">
        <v>3.4602076124568004E-3</v>
      </c>
      <c r="AK18" s="21">
        <v>2.7586206896551779E-2</v>
      </c>
      <c r="AL18" s="211"/>
      <c r="AM18" s="21">
        <v>0</v>
      </c>
      <c r="AN18" s="21">
        <v>-1.6778523489932917E-2</v>
      </c>
      <c r="AO18" s="21">
        <v>1.0238907849829282E-2</v>
      </c>
      <c r="AP18" s="21">
        <v>-1.3513513513513487E-2</v>
      </c>
      <c r="AQ18" s="211"/>
      <c r="AR18" s="21">
        <v>3.4246575342465668E-2</v>
      </c>
      <c r="AS18" s="21">
        <v>2.3178807947019875E-2</v>
      </c>
      <c r="AT18" s="138"/>
      <c r="AU18" s="21">
        <v>3.2362459546926292E-3</v>
      </c>
      <c r="AV18" s="277"/>
      <c r="AW18" s="21">
        <v>-6.4516129032258118E-2</v>
      </c>
      <c r="AX18" s="211"/>
    </row>
    <row r="19" spans="2:50" ht="13.9" customHeight="1">
      <c r="B19" s="20" t="s">
        <v>6</v>
      </c>
      <c r="C19" s="211"/>
      <c r="D19" s="66"/>
      <c r="E19" s="66"/>
      <c r="F19" s="66"/>
      <c r="G19" s="66"/>
      <c r="H19" s="211">
        <v>-8.7932647333957004E-2</v>
      </c>
      <c r="I19" s="66">
        <v>-1.2000000000000011E-2</v>
      </c>
      <c r="J19" s="66">
        <v>0</v>
      </c>
      <c r="K19" s="66">
        <v>-4.098360655737654E-3</v>
      </c>
      <c r="L19" s="66">
        <v>2.5316455696202445E-2</v>
      </c>
      <c r="M19" s="211">
        <v>2.0512820512821328E-3</v>
      </c>
      <c r="N19" s="66">
        <v>-4.0485829959514552E-3</v>
      </c>
      <c r="O19" s="66">
        <v>-2.4590163934426257E-2</v>
      </c>
      <c r="P19" s="66">
        <v>8.2304526748970819E-3</v>
      </c>
      <c r="Q19" s="66">
        <v>-9.8765432098765427E-2</v>
      </c>
      <c r="R19" s="211">
        <v>-2.9682702149437024E-2</v>
      </c>
      <c r="S19" s="66">
        <v>-8.1300813008130524E-3</v>
      </c>
      <c r="T19" s="66">
        <v>5.4621848739495826E-2</v>
      </c>
      <c r="U19" s="66">
        <v>2.0408163265306145E-2</v>
      </c>
      <c r="V19" s="66">
        <v>0.21461187214611877</v>
      </c>
      <c r="W19" s="211">
        <v>6.6455696202531556E-2</v>
      </c>
      <c r="X19" s="66">
        <v>9.8360655737705027E-2</v>
      </c>
      <c r="Y19" s="66">
        <v>9.960159362549792E-2</v>
      </c>
      <c r="Z19" s="66">
        <v>8.0000000000000071E-2</v>
      </c>
      <c r="AA19" s="66">
        <v>2.6315789473684292E-2</v>
      </c>
      <c r="AB19" s="211">
        <v>7.5173095944609303E-2</v>
      </c>
      <c r="AC19" s="22">
        <v>6.7164179104477695E-2</v>
      </c>
      <c r="AD19" s="22">
        <v>3.9855072463768071E-2</v>
      </c>
      <c r="AE19" s="22">
        <v>4.8148148148148051E-2</v>
      </c>
      <c r="AF19" s="22">
        <v>1.098901098901095E-2</v>
      </c>
      <c r="AG19" s="211">
        <v>4.1398344066237325E-2</v>
      </c>
      <c r="AH19" s="22">
        <v>0</v>
      </c>
      <c r="AI19" s="22">
        <v>6.9686411149825211E-3</v>
      </c>
      <c r="AJ19" s="22">
        <v>2.4734982332155431E-2</v>
      </c>
      <c r="AK19" s="22">
        <v>7.9710144927536142E-2</v>
      </c>
      <c r="AL19" s="211">
        <v>2.7385159010600679E-2</v>
      </c>
      <c r="AM19" s="22">
        <v>4.195804195804187E-2</v>
      </c>
      <c r="AN19" s="22">
        <v>1.384083044982698E-2</v>
      </c>
      <c r="AO19" s="22">
        <v>2.0689655172413834E-2</v>
      </c>
      <c r="AP19" s="22">
        <v>-2.0134228187919434E-2</v>
      </c>
      <c r="AQ19" s="211">
        <v>1.3757523645743674E-2</v>
      </c>
      <c r="AR19" s="22">
        <v>1.3422818791946289E-2</v>
      </c>
      <c r="AS19" s="22">
        <v>5.4607508532423132E-2</v>
      </c>
      <c r="AT19" s="139"/>
      <c r="AU19" s="22">
        <v>4.7297297297297369E-2</v>
      </c>
      <c r="AV19" s="278"/>
      <c r="AW19" s="22">
        <v>-6.8493150684931781E-3</v>
      </c>
      <c r="AX19" s="211">
        <v>2.714164546225617E-2</v>
      </c>
    </row>
    <row r="20" spans="2:50" ht="13.9" customHeight="1">
      <c r="B20" s="12" t="s">
        <v>150</v>
      </c>
      <c r="C20" s="210">
        <v>1392</v>
      </c>
      <c r="D20" s="355">
        <v>334</v>
      </c>
      <c r="E20" s="355">
        <v>320</v>
      </c>
      <c r="F20" s="355">
        <v>318</v>
      </c>
      <c r="G20" s="355">
        <v>309</v>
      </c>
      <c r="H20" s="210">
        <v>1281</v>
      </c>
      <c r="I20" s="355">
        <v>302</v>
      </c>
      <c r="J20" s="355">
        <v>291</v>
      </c>
      <c r="K20" s="355">
        <v>282</v>
      </c>
      <c r="L20" s="355">
        <v>281</v>
      </c>
      <c r="M20" s="210">
        <v>1156</v>
      </c>
      <c r="N20" s="355">
        <v>269</v>
      </c>
      <c r="O20" s="355">
        <v>264</v>
      </c>
      <c r="P20" s="355">
        <v>259</v>
      </c>
      <c r="Q20" s="355">
        <v>247</v>
      </c>
      <c r="R20" s="210">
        <v>1039</v>
      </c>
      <c r="S20" s="355">
        <v>248</v>
      </c>
      <c r="T20" s="355">
        <v>258</v>
      </c>
      <c r="U20" s="355">
        <v>254</v>
      </c>
      <c r="V20" s="355">
        <v>248</v>
      </c>
      <c r="W20" s="210">
        <v>1008</v>
      </c>
      <c r="X20" s="355">
        <v>242</v>
      </c>
      <c r="Y20" s="355">
        <v>229</v>
      </c>
      <c r="Z20" s="355">
        <v>220</v>
      </c>
      <c r="AA20" s="355">
        <v>222</v>
      </c>
      <c r="AB20" s="210">
        <v>913</v>
      </c>
      <c r="AC20" s="19">
        <v>220</v>
      </c>
      <c r="AD20" s="19">
        <v>189</v>
      </c>
      <c r="AE20" s="19">
        <v>188</v>
      </c>
      <c r="AF20" s="19">
        <v>183</v>
      </c>
      <c r="AG20" s="210">
        <v>780</v>
      </c>
      <c r="AH20" s="19">
        <v>182</v>
      </c>
      <c r="AI20" s="19">
        <v>176</v>
      </c>
      <c r="AJ20" s="19">
        <v>148</v>
      </c>
      <c r="AK20" s="19">
        <v>144</v>
      </c>
      <c r="AL20" s="210">
        <v>650</v>
      </c>
      <c r="AM20" s="19">
        <v>143</v>
      </c>
      <c r="AN20" s="19">
        <v>138</v>
      </c>
      <c r="AO20" s="19">
        <v>135</v>
      </c>
      <c r="AP20" s="19">
        <v>128</v>
      </c>
      <c r="AQ20" s="210">
        <v>544</v>
      </c>
      <c r="AR20" s="19">
        <v>128</v>
      </c>
      <c r="AS20" s="19">
        <v>123</v>
      </c>
      <c r="AT20" s="137">
        <v>251</v>
      </c>
      <c r="AU20" s="19">
        <v>120</v>
      </c>
      <c r="AV20" s="276">
        <v>371</v>
      </c>
      <c r="AW20" s="19">
        <v>117</v>
      </c>
      <c r="AX20" s="210">
        <v>488</v>
      </c>
    </row>
    <row r="21" spans="2:50" ht="13.9" customHeight="1">
      <c r="B21" s="20" t="s">
        <v>5</v>
      </c>
      <c r="C21" s="211"/>
      <c r="D21" s="357"/>
      <c r="E21" s="357">
        <v>-4.1916167664670656E-2</v>
      </c>
      <c r="F21" s="357">
        <v>-6.2499999999999778E-3</v>
      </c>
      <c r="G21" s="357">
        <v>-2.8301886792452824E-2</v>
      </c>
      <c r="H21" s="211"/>
      <c r="I21" s="357">
        <v>-2.2653721682847849E-2</v>
      </c>
      <c r="J21" s="357">
        <v>-3.6423841059602613E-2</v>
      </c>
      <c r="K21" s="357">
        <v>-3.0927835051546393E-2</v>
      </c>
      <c r="L21" s="357">
        <v>-3.5460992907800915E-3</v>
      </c>
      <c r="M21" s="211"/>
      <c r="N21" s="357">
        <v>-4.2704626334519546E-2</v>
      </c>
      <c r="O21" s="357">
        <v>-1.8587360594795488E-2</v>
      </c>
      <c r="P21" s="357">
        <v>-1.8939393939393923E-2</v>
      </c>
      <c r="Q21" s="357">
        <v>-4.633204633204635E-2</v>
      </c>
      <c r="R21" s="211"/>
      <c r="S21" s="357">
        <v>4.0485829959513442E-3</v>
      </c>
      <c r="T21" s="357">
        <v>4.0322580645161255E-2</v>
      </c>
      <c r="U21" s="357">
        <v>-1.5503875968992276E-2</v>
      </c>
      <c r="V21" s="357">
        <v>-2.3622047244094446E-2</v>
      </c>
      <c r="W21" s="211"/>
      <c r="X21" s="357">
        <v>-2.4193548387096753E-2</v>
      </c>
      <c r="Y21" s="357">
        <v>-5.3719008264462853E-2</v>
      </c>
      <c r="Z21" s="357">
        <v>-3.9301310043668103E-2</v>
      </c>
      <c r="AA21" s="357">
        <v>9.0909090909090384E-3</v>
      </c>
      <c r="AB21" s="211"/>
      <c r="AC21" s="21">
        <v>-9.009009009009028E-3</v>
      </c>
      <c r="AD21" s="21">
        <v>-0.14090909090909087</v>
      </c>
      <c r="AE21" s="21">
        <v>-5.2910052910053462E-3</v>
      </c>
      <c r="AF21" s="21">
        <v>-2.6595744680851019E-2</v>
      </c>
      <c r="AG21" s="211"/>
      <c r="AH21" s="21">
        <v>-5.464480874316946E-3</v>
      </c>
      <c r="AI21" s="21">
        <v>-3.2967032967032961E-2</v>
      </c>
      <c r="AJ21" s="21">
        <v>-0.15909090909090906</v>
      </c>
      <c r="AK21" s="21">
        <v>-2.7027027027026973E-2</v>
      </c>
      <c r="AL21" s="211"/>
      <c r="AM21" s="21">
        <v>-6.9444444444444198E-3</v>
      </c>
      <c r="AN21" s="21">
        <v>-3.4965034965035002E-2</v>
      </c>
      <c r="AO21" s="21">
        <v>-2.1739130434782594E-2</v>
      </c>
      <c r="AP21" s="21">
        <v>-5.1851851851851816E-2</v>
      </c>
      <c r="AQ21" s="211"/>
      <c r="AR21" s="21">
        <v>0</v>
      </c>
      <c r="AS21" s="21">
        <v>-3.90625E-2</v>
      </c>
      <c r="AT21" s="138"/>
      <c r="AU21" s="21">
        <v>-2.4390243902439046E-2</v>
      </c>
      <c r="AV21" s="277"/>
      <c r="AW21" s="21">
        <v>-2.5000000000000022E-2</v>
      </c>
      <c r="AX21" s="211"/>
    </row>
    <row r="22" spans="2:50" ht="13.9" customHeight="1">
      <c r="B22" s="20" t="s">
        <v>6</v>
      </c>
      <c r="C22" s="211"/>
      <c r="D22" s="66"/>
      <c r="E22" s="66"/>
      <c r="F22" s="66"/>
      <c r="G22" s="66"/>
      <c r="H22" s="211">
        <v>-7.9741379310344862E-2</v>
      </c>
      <c r="I22" s="66">
        <v>-9.5808383233532912E-2</v>
      </c>
      <c r="J22" s="66">
        <v>-9.0624999999999956E-2</v>
      </c>
      <c r="K22" s="66">
        <v>-0.1132075471698113</v>
      </c>
      <c r="L22" s="66">
        <v>-9.061488673139162E-2</v>
      </c>
      <c r="M22" s="211">
        <v>-9.7580015612802495E-2</v>
      </c>
      <c r="N22" s="66">
        <v>-0.10927152317880795</v>
      </c>
      <c r="O22" s="66">
        <v>-9.2783505154639179E-2</v>
      </c>
      <c r="P22" s="66">
        <v>-8.1560283687943214E-2</v>
      </c>
      <c r="Q22" s="66">
        <v>-0.12099644128113884</v>
      </c>
      <c r="R22" s="211">
        <v>-0.10121107266435991</v>
      </c>
      <c r="S22" s="66">
        <v>-7.8066914498141293E-2</v>
      </c>
      <c r="T22" s="66">
        <v>-2.2727272727272707E-2</v>
      </c>
      <c r="U22" s="66">
        <v>-1.9305019305019266E-2</v>
      </c>
      <c r="V22" s="66">
        <v>4.0485829959513442E-3</v>
      </c>
      <c r="W22" s="211">
        <v>-2.9836381135707413E-2</v>
      </c>
      <c r="X22" s="66">
        <v>-2.4193548387096753E-2</v>
      </c>
      <c r="Y22" s="66">
        <v>-0.11240310077519378</v>
      </c>
      <c r="Z22" s="66">
        <v>-0.13385826771653542</v>
      </c>
      <c r="AA22" s="66">
        <v>-0.10483870967741937</v>
      </c>
      <c r="AB22" s="211">
        <v>-9.4246031746031744E-2</v>
      </c>
      <c r="AC22" s="22">
        <v>-9.0909090909090939E-2</v>
      </c>
      <c r="AD22" s="22">
        <v>-0.1746724890829694</v>
      </c>
      <c r="AE22" s="22">
        <v>-0.1454545454545455</v>
      </c>
      <c r="AF22" s="22">
        <v>-0.17567567567567566</v>
      </c>
      <c r="AG22" s="211">
        <v>-0.14567360350492886</v>
      </c>
      <c r="AH22" s="22">
        <v>-0.17272727272727273</v>
      </c>
      <c r="AI22" s="22">
        <v>-6.8783068783068835E-2</v>
      </c>
      <c r="AJ22" s="22">
        <v>-0.21276595744680848</v>
      </c>
      <c r="AK22" s="22">
        <v>-0.21311475409836067</v>
      </c>
      <c r="AL22" s="211">
        <v>-0.16666666666666663</v>
      </c>
      <c r="AM22" s="22">
        <v>-0.2142857142857143</v>
      </c>
      <c r="AN22" s="22">
        <v>-0.21590909090909094</v>
      </c>
      <c r="AO22" s="22">
        <v>-8.7837837837837829E-2</v>
      </c>
      <c r="AP22" s="22">
        <v>-0.11111111111111116</v>
      </c>
      <c r="AQ22" s="211">
        <v>-0.16307692307692312</v>
      </c>
      <c r="AR22" s="22">
        <v>-0.1048951048951049</v>
      </c>
      <c r="AS22" s="22">
        <v>-0.10869565217391308</v>
      </c>
      <c r="AT22" s="139"/>
      <c r="AU22" s="22">
        <v>-0.11111111111111116</v>
      </c>
      <c r="AV22" s="278"/>
      <c r="AW22" s="22">
        <v>-8.59375E-2</v>
      </c>
      <c r="AX22" s="211">
        <v>-0.1029411764705882</v>
      </c>
    </row>
    <row r="23" spans="2:50" ht="13.9" customHeight="1">
      <c r="B23" s="12" t="s">
        <v>153</v>
      </c>
      <c r="C23" s="210">
        <v>203</v>
      </c>
      <c r="D23" s="355">
        <v>56</v>
      </c>
      <c r="E23" s="355">
        <v>57</v>
      </c>
      <c r="F23" s="355">
        <v>57</v>
      </c>
      <c r="G23" s="355">
        <v>60</v>
      </c>
      <c r="H23" s="210">
        <v>230</v>
      </c>
      <c r="I23" s="355">
        <v>62</v>
      </c>
      <c r="J23" s="355">
        <v>66</v>
      </c>
      <c r="K23" s="355">
        <v>69</v>
      </c>
      <c r="L23" s="355">
        <v>63</v>
      </c>
      <c r="M23" s="210">
        <v>260</v>
      </c>
      <c r="N23" s="355">
        <v>71</v>
      </c>
      <c r="O23" s="355">
        <v>68</v>
      </c>
      <c r="P23" s="355">
        <v>69</v>
      </c>
      <c r="Q23" s="355">
        <v>66</v>
      </c>
      <c r="R23" s="210">
        <v>274</v>
      </c>
      <c r="S23" s="355">
        <v>72</v>
      </c>
      <c r="T23" s="355">
        <v>70</v>
      </c>
      <c r="U23" s="355">
        <v>71</v>
      </c>
      <c r="V23" s="355">
        <v>75</v>
      </c>
      <c r="W23" s="210">
        <v>288</v>
      </c>
      <c r="X23" s="355">
        <v>82</v>
      </c>
      <c r="Y23" s="355">
        <v>76</v>
      </c>
      <c r="Z23" s="355">
        <v>80</v>
      </c>
      <c r="AA23" s="355">
        <v>80</v>
      </c>
      <c r="AB23" s="210">
        <v>318</v>
      </c>
      <c r="AC23" s="19">
        <v>81</v>
      </c>
      <c r="AD23" s="19">
        <v>83</v>
      </c>
      <c r="AE23" s="19">
        <v>83</v>
      </c>
      <c r="AF23" s="19">
        <v>84</v>
      </c>
      <c r="AG23" s="210">
        <v>331</v>
      </c>
      <c r="AH23" s="19">
        <v>87</v>
      </c>
      <c r="AI23" s="19">
        <v>89</v>
      </c>
      <c r="AJ23" s="19">
        <v>87</v>
      </c>
      <c r="AK23" s="19">
        <v>86</v>
      </c>
      <c r="AL23" s="210">
        <v>349</v>
      </c>
      <c r="AM23" s="19">
        <v>87</v>
      </c>
      <c r="AN23" s="19">
        <v>87</v>
      </c>
      <c r="AO23" s="19">
        <v>87</v>
      </c>
      <c r="AP23" s="19">
        <v>87</v>
      </c>
      <c r="AQ23" s="210">
        <v>348</v>
      </c>
      <c r="AR23" s="19">
        <v>87</v>
      </c>
      <c r="AS23" s="19">
        <v>90</v>
      </c>
      <c r="AT23" s="137">
        <v>177</v>
      </c>
      <c r="AU23" s="19">
        <v>92</v>
      </c>
      <c r="AV23" s="276">
        <v>269</v>
      </c>
      <c r="AW23" s="19">
        <v>96</v>
      </c>
      <c r="AX23" s="210">
        <v>365</v>
      </c>
    </row>
    <row r="24" spans="2:50" ht="13.9" customHeight="1">
      <c r="B24" s="20" t="s">
        <v>5</v>
      </c>
      <c r="C24" s="211"/>
      <c r="D24" s="357"/>
      <c r="E24" s="357">
        <v>1.7857142857142794E-2</v>
      </c>
      <c r="F24" s="357">
        <v>0</v>
      </c>
      <c r="G24" s="357">
        <v>5.2631578947368363E-2</v>
      </c>
      <c r="H24" s="211"/>
      <c r="I24" s="357">
        <v>3.3333333333333437E-2</v>
      </c>
      <c r="J24" s="357">
        <v>6.4516129032258007E-2</v>
      </c>
      <c r="K24" s="357">
        <v>4.5454545454545414E-2</v>
      </c>
      <c r="L24" s="357">
        <v>-8.6956521739130488E-2</v>
      </c>
      <c r="M24" s="211"/>
      <c r="N24" s="357">
        <v>0.12698412698412698</v>
      </c>
      <c r="O24" s="357">
        <v>-4.2253521126760618E-2</v>
      </c>
      <c r="P24" s="357">
        <v>1.4705882352941124E-2</v>
      </c>
      <c r="Q24" s="357">
        <v>-4.3478260869565188E-2</v>
      </c>
      <c r="R24" s="211"/>
      <c r="S24" s="357">
        <v>9.0909090909090828E-2</v>
      </c>
      <c r="T24" s="357">
        <v>-2.777777777777779E-2</v>
      </c>
      <c r="U24" s="357">
        <v>1.4285714285714235E-2</v>
      </c>
      <c r="V24" s="357">
        <v>5.6338028169014009E-2</v>
      </c>
      <c r="W24" s="211"/>
      <c r="X24" s="357">
        <v>9.3333333333333268E-2</v>
      </c>
      <c r="Y24" s="357">
        <v>-7.3170731707317027E-2</v>
      </c>
      <c r="Z24" s="357">
        <v>5.2631578947368363E-2</v>
      </c>
      <c r="AA24" s="357">
        <v>0</v>
      </c>
      <c r="AB24" s="211"/>
      <c r="AC24" s="21">
        <v>1.2499999999999956E-2</v>
      </c>
      <c r="AD24" s="21">
        <v>2.4691358024691468E-2</v>
      </c>
      <c r="AE24" s="21">
        <v>0</v>
      </c>
      <c r="AF24" s="21">
        <v>1.2048192771084265E-2</v>
      </c>
      <c r="AG24" s="211"/>
      <c r="AH24" s="21">
        <v>3.5714285714285809E-2</v>
      </c>
      <c r="AI24" s="21">
        <v>2.2988505747126409E-2</v>
      </c>
      <c r="AJ24" s="21">
        <v>-2.2471910112359605E-2</v>
      </c>
      <c r="AK24" s="21">
        <v>-1.1494252873563204E-2</v>
      </c>
      <c r="AL24" s="211"/>
      <c r="AM24" s="21">
        <v>1.1627906976744207E-2</v>
      </c>
      <c r="AN24" s="21">
        <v>0</v>
      </c>
      <c r="AO24" s="21">
        <v>0</v>
      </c>
      <c r="AP24" s="21">
        <v>0</v>
      </c>
      <c r="AQ24" s="211"/>
      <c r="AR24" s="21">
        <v>0</v>
      </c>
      <c r="AS24" s="21">
        <v>3.4482758620689724E-2</v>
      </c>
      <c r="AT24" s="138"/>
      <c r="AU24" s="21">
        <v>2.2222222222222143E-2</v>
      </c>
      <c r="AV24" s="277"/>
      <c r="AW24" s="21">
        <v>4.3478260869565188E-2</v>
      </c>
      <c r="AX24" s="211"/>
    </row>
    <row r="25" spans="2:50" ht="13.9" customHeight="1">
      <c r="B25" s="20" t="s">
        <v>6</v>
      </c>
      <c r="C25" s="211"/>
      <c r="D25" s="66"/>
      <c r="E25" s="66"/>
      <c r="F25" s="66"/>
      <c r="G25" s="66"/>
      <c r="H25" s="211">
        <v>0.13300492610837433</v>
      </c>
      <c r="I25" s="66">
        <v>0.10714285714285721</v>
      </c>
      <c r="J25" s="66">
        <v>0.15789473684210531</v>
      </c>
      <c r="K25" s="66">
        <v>0.21052631578947367</v>
      </c>
      <c r="L25" s="66">
        <v>5.0000000000000044E-2</v>
      </c>
      <c r="M25" s="211">
        <v>0.13043478260869557</v>
      </c>
      <c r="N25" s="66">
        <v>0.14516129032258074</v>
      </c>
      <c r="O25" s="66">
        <v>3.0303030303030276E-2</v>
      </c>
      <c r="P25" s="66">
        <v>0</v>
      </c>
      <c r="Q25" s="66">
        <v>4.7619047619047672E-2</v>
      </c>
      <c r="R25" s="211">
        <v>5.3846153846153877E-2</v>
      </c>
      <c r="S25" s="66">
        <v>1.4084507042253502E-2</v>
      </c>
      <c r="T25" s="66">
        <v>2.9411764705882248E-2</v>
      </c>
      <c r="U25" s="66">
        <v>2.8985507246376718E-2</v>
      </c>
      <c r="V25" s="66">
        <v>0.13636363636363646</v>
      </c>
      <c r="W25" s="211">
        <v>5.1094890510948954E-2</v>
      </c>
      <c r="X25" s="66">
        <v>0.13888888888888884</v>
      </c>
      <c r="Y25" s="66">
        <v>8.5714285714285632E-2</v>
      </c>
      <c r="Z25" s="66">
        <v>0.12676056338028174</v>
      </c>
      <c r="AA25" s="66">
        <v>6.6666666666666652E-2</v>
      </c>
      <c r="AB25" s="211">
        <v>0.10416666666666674</v>
      </c>
      <c r="AC25" s="22">
        <v>-1.2195121951219523E-2</v>
      </c>
      <c r="AD25" s="22">
        <v>9.210526315789469E-2</v>
      </c>
      <c r="AE25" s="22">
        <v>3.7500000000000089E-2</v>
      </c>
      <c r="AF25" s="22">
        <v>5.0000000000000044E-2</v>
      </c>
      <c r="AG25" s="211">
        <v>4.088050314465419E-2</v>
      </c>
      <c r="AH25" s="22">
        <v>7.4074074074074181E-2</v>
      </c>
      <c r="AI25" s="22">
        <v>7.2289156626506035E-2</v>
      </c>
      <c r="AJ25" s="22">
        <v>4.8192771084337283E-2</v>
      </c>
      <c r="AK25" s="22">
        <v>2.3809523809523725E-2</v>
      </c>
      <c r="AL25" s="211">
        <v>5.4380664652567967E-2</v>
      </c>
      <c r="AM25" s="22">
        <v>0</v>
      </c>
      <c r="AN25" s="22">
        <v>-2.2471910112359605E-2</v>
      </c>
      <c r="AO25" s="22">
        <v>0</v>
      </c>
      <c r="AP25" s="22">
        <v>1.1627906976744207E-2</v>
      </c>
      <c r="AQ25" s="211">
        <v>-2.8653295128939771E-3</v>
      </c>
      <c r="AR25" s="22">
        <v>0</v>
      </c>
      <c r="AS25" s="22">
        <v>3.4482758620689724E-2</v>
      </c>
      <c r="AT25" s="139"/>
      <c r="AU25" s="22">
        <v>5.7471264367816133E-2</v>
      </c>
      <c r="AV25" s="278"/>
      <c r="AW25" s="22">
        <v>0.10344827586206895</v>
      </c>
      <c r="AX25" s="211">
        <v>4.8850574712643757E-2</v>
      </c>
    </row>
    <row r="26" spans="2:50" ht="13.9" customHeight="1">
      <c r="B26" s="12" t="s">
        <v>151</v>
      </c>
      <c r="C26" s="210">
        <v>219</v>
      </c>
      <c r="D26" s="355">
        <v>56</v>
      </c>
      <c r="E26" s="355">
        <v>56</v>
      </c>
      <c r="F26" s="355">
        <v>56</v>
      </c>
      <c r="G26" s="355">
        <v>46</v>
      </c>
      <c r="H26" s="210">
        <v>214</v>
      </c>
      <c r="I26" s="355">
        <v>56</v>
      </c>
      <c r="J26" s="355">
        <v>60</v>
      </c>
      <c r="K26" s="355">
        <v>48</v>
      </c>
      <c r="L26" s="355">
        <v>43</v>
      </c>
      <c r="M26" s="210">
        <v>207</v>
      </c>
      <c r="N26" s="355">
        <v>60</v>
      </c>
      <c r="O26" s="355">
        <v>54</v>
      </c>
      <c r="P26" s="355">
        <v>59</v>
      </c>
      <c r="Q26" s="355">
        <v>61</v>
      </c>
      <c r="R26" s="210">
        <v>234</v>
      </c>
      <c r="S26" s="355">
        <v>59</v>
      </c>
      <c r="T26" s="355">
        <v>63</v>
      </c>
      <c r="U26" s="355">
        <v>59</v>
      </c>
      <c r="V26" s="355">
        <v>49</v>
      </c>
      <c r="W26" s="210">
        <v>230</v>
      </c>
      <c r="X26" s="355">
        <v>64</v>
      </c>
      <c r="Y26" s="355">
        <v>55</v>
      </c>
      <c r="Z26" s="355">
        <v>60</v>
      </c>
      <c r="AA26" s="355">
        <v>61</v>
      </c>
      <c r="AB26" s="210">
        <v>240</v>
      </c>
      <c r="AC26" s="19">
        <v>75</v>
      </c>
      <c r="AD26" s="19">
        <v>65</v>
      </c>
      <c r="AE26" s="19">
        <v>80</v>
      </c>
      <c r="AF26" s="19">
        <v>54</v>
      </c>
      <c r="AG26" s="210">
        <v>274</v>
      </c>
      <c r="AH26" s="19">
        <v>77</v>
      </c>
      <c r="AI26" s="19">
        <v>91</v>
      </c>
      <c r="AJ26" s="19">
        <v>70</v>
      </c>
      <c r="AK26" s="19">
        <v>65</v>
      </c>
      <c r="AL26" s="210">
        <v>303</v>
      </c>
      <c r="AM26" s="19">
        <v>62</v>
      </c>
      <c r="AN26" s="19">
        <v>63</v>
      </c>
      <c r="AO26" s="19">
        <v>87</v>
      </c>
      <c r="AP26" s="19">
        <v>60</v>
      </c>
      <c r="AQ26" s="210">
        <v>272</v>
      </c>
      <c r="AR26" s="19">
        <v>79</v>
      </c>
      <c r="AS26" s="19">
        <v>72</v>
      </c>
      <c r="AT26" s="137">
        <v>151</v>
      </c>
      <c r="AU26" s="19">
        <v>81</v>
      </c>
      <c r="AV26" s="276">
        <v>232</v>
      </c>
      <c r="AW26" s="19">
        <v>100</v>
      </c>
      <c r="AX26" s="210">
        <v>332</v>
      </c>
    </row>
    <row r="27" spans="2:50" ht="13.9" customHeight="1">
      <c r="B27" s="20" t="s">
        <v>5</v>
      </c>
      <c r="C27" s="211"/>
      <c r="D27" s="357"/>
      <c r="E27" s="357">
        <v>0</v>
      </c>
      <c r="F27" s="357">
        <v>0</v>
      </c>
      <c r="G27" s="357">
        <v>-0.1785714285714286</v>
      </c>
      <c r="H27" s="211"/>
      <c r="I27" s="357">
        <v>0.21739130434782616</v>
      </c>
      <c r="J27" s="357">
        <v>7.1428571428571397E-2</v>
      </c>
      <c r="K27" s="357">
        <v>-0.19999999999999996</v>
      </c>
      <c r="L27" s="357">
        <v>-0.10416666666666663</v>
      </c>
      <c r="M27" s="211"/>
      <c r="N27" s="357">
        <v>0.39534883720930236</v>
      </c>
      <c r="O27" s="357">
        <v>-9.9999999999999978E-2</v>
      </c>
      <c r="P27" s="357">
        <v>9.259259259259256E-2</v>
      </c>
      <c r="Q27" s="357">
        <v>3.3898305084745672E-2</v>
      </c>
      <c r="R27" s="211"/>
      <c r="S27" s="357">
        <v>-3.2786885245901676E-2</v>
      </c>
      <c r="T27" s="357">
        <v>6.7796610169491567E-2</v>
      </c>
      <c r="U27" s="357">
        <v>-6.3492063492063489E-2</v>
      </c>
      <c r="V27" s="357">
        <v>-0.16949152542372881</v>
      </c>
      <c r="W27" s="211"/>
      <c r="X27" s="357">
        <v>0.30612244897959173</v>
      </c>
      <c r="Y27" s="357">
        <v>-0.140625</v>
      </c>
      <c r="Z27" s="357">
        <v>9.0909090909090828E-2</v>
      </c>
      <c r="AA27" s="357">
        <v>1.6666666666666607E-2</v>
      </c>
      <c r="AB27" s="211"/>
      <c r="AC27" s="21">
        <v>0.22950819672131151</v>
      </c>
      <c r="AD27" s="21">
        <v>-0.1333333333333333</v>
      </c>
      <c r="AE27" s="21">
        <v>0.23076923076923084</v>
      </c>
      <c r="AF27" s="21">
        <v>-0.32499999999999996</v>
      </c>
      <c r="AG27" s="211"/>
      <c r="AH27" s="21">
        <v>0.42592592592592582</v>
      </c>
      <c r="AI27" s="21">
        <v>0.18181818181818188</v>
      </c>
      <c r="AJ27" s="21">
        <v>-0.23076923076923073</v>
      </c>
      <c r="AK27" s="21">
        <v>-7.1428571428571397E-2</v>
      </c>
      <c r="AL27" s="211"/>
      <c r="AM27" s="21">
        <v>-4.6153846153846101E-2</v>
      </c>
      <c r="AN27" s="21">
        <v>1.6129032258064502E-2</v>
      </c>
      <c r="AO27" s="21">
        <v>0.38095238095238093</v>
      </c>
      <c r="AP27" s="21">
        <v>-0.31034482758620685</v>
      </c>
      <c r="AQ27" s="211"/>
      <c r="AR27" s="21">
        <v>0.31666666666666665</v>
      </c>
      <c r="AS27" s="21">
        <v>-8.8607594936708889E-2</v>
      </c>
      <c r="AT27" s="139"/>
      <c r="AU27" s="21">
        <v>0.125</v>
      </c>
      <c r="AV27" s="277"/>
      <c r="AW27" s="21">
        <v>0.23456790123456783</v>
      </c>
      <c r="AX27" s="211"/>
    </row>
    <row r="28" spans="2:50" ht="13.9" customHeight="1">
      <c r="B28" s="20" t="s">
        <v>6</v>
      </c>
      <c r="C28" s="211"/>
      <c r="D28" s="66"/>
      <c r="E28" s="66"/>
      <c r="F28" s="66"/>
      <c r="G28" s="66"/>
      <c r="H28" s="211">
        <v>-2.2831050228310557E-2</v>
      </c>
      <c r="I28" s="66">
        <v>0</v>
      </c>
      <c r="J28" s="66">
        <v>7.1428571428571397E-2</v>
      </c>
      <c r="K28" s="66">
        <v>-0.1428571428571429</v>
      </c>
      <c r="L28" s="66">
        <v>-6.5217391304347783E-2</v>
      </c>
      <c r="M28" s="211">
        <v>-3.2710280373831724E-2</v>
      </c>
      <c r="N28" s="66">
        <v>7.1428571428571397E-2</v>
      </c>
      <c r="O28" s="66">
        <v>-9.9999999999999978E-2</v>
      </c>
      <c r="P28" s="66">
        <v>0.22916666666666674</v>
      </c>
      <c r="Q28" s="66">
        <v>0.41860465116279078</v>
      </c>
      <c r="R28" s="211">
        <v>0.13043478260869557</v>
      </c>
      <c r="S28" s="66">
        <v>-1.6666666666666718E-2</v>
      </c>
      <c r="T28" s="66">
        <v>0.16666666666666674</v>
      </c>
      <c r="U28" s="66">
        <v>0</v>
      </c>
      <c r="V28" s="66">
        <v>-0.19672131147540983</v>
      </c>
      <c r="W28" s="211">
        <v>-1.7094017094017144E-2</v>
      </c>
      <c r="X28" s="66">
        <v>8.4745762711864403E-2</v>
      </c>
      <c r="Y28" s="66">
        <v>-0.12698412698412698</v>
      </c>
      <c r="Z28" s="66">
        <v>1.6949152542372836E-2</v>
      </c>
      <c r="AA28" s="66">
        <v>0.24489795918367352</v>
      </c>
      <c r="AB28" s="211">
        <v>4.3478260869565188E-2</v>
      </c>
      <c r="AC28" s="22">
        <v>0.171875</v>
      </c>
      <c r="AD28" s="22">
        <v>0.18181818181818188</v>
      </c>
      <c r="AE28" s="22">
        <v>0.33333333333333326</v>
      </c>
      <c r="AF28" s="22">
        <v>-0.11475409836065575</v>
      </c>
      <c r="AG28" s="211">
        <v>0.14166666666666661</v>
      </c>
      <c r="AH28" s="22">
        <v>2.6666666666666616E-2</v>
      </c>
      <c r="AI28" s="22">
        <v>0.39999999999999991</v>
      </c>
      <c r="AJ28" s="22">
        <v>-0.125</v>
      </c>
      <c r="AK28" s="22">
        <v>0.20370370370370372</v>
      </c>
      <c r="AL28" s="211">
        <v>0.1058394160583942</v>
      </c>
      <c r="AM28" s="22">
        <v>-0.19480519480519476</v>
      </c>
      <c r="AN28" s="22">
        <v>-0.30769230769230771</v>
      </c>
      <c r="AO28" s="22">
        <v>0.24285714285714288</v>
      </c>
      <c r="AP28" s="22">
        <v>-7.6923076923076872E-2</v>
      </c>
      <c r="AQ28" s="211">
        <v>-0.10231023102310233</v>
      </c>
      <c r="AR28" s="22">
        <v>0.27419354838709675</v>
      </c>
      <c r="AS28" s="22">
        <v>0.14285714285714279</v>
      </c>
      <c r="AT28" s="139"/>
      <c r="AU28" s="22">
        <v>-6.8965517241379337E-2</v>
      </c>
      <c r="AV28" s="278"/>
      <c r="AW28" s="22">
        <v>0.66666666666666674</v>
      </c>
      <c r="AX28" s="211">
        <v>0.22058823529411775</v>
      </c>
    </row>
    <row r="29" spans="2:50" ht="3.4" customHeight="1">
      <c r="B29" s="298"/>
      <c r="C29" s="299"/>
      <c r="D29" s="300"/>
      <c r="E29" s="300"/>
      <c r="F29" s="300"/>
      <c r="G29" s="300"/>
      <c r="H29" s="299"/>
      <c r="I29" s="300"/>
      <c r="J29" s="300"/>
      <c r="K29" s="300"/>
      <c r="L29" s="300"/>
      <c r="M29" s="299"/>
      <c r="N29" s="300"/>
      <c r="O29" s="300"/>
      <c r="P29" s="300"/>
      <c r="Q29" s="300"/>
      <c r="R29" s="299"/>
      <c r="S29" s="300"/>
      <c r="T29" s="300"/>
      <c r="U29" s="300"/>
      <c r="V29" s="300"/>
      <c r="W29" s="299"/>
      <c r="X29" s="300"/>
      <c r="Y29" s="300"/>
      <c r="Z29" s="300"/>
      <c r="AA29" s="300"/>
      <c r="AB29" s="299"/>
      <c r="AC29" s="300"/>
      <c r="AD29" s="300"/>
      <c r="AE29" s="306"/>
      <c r="AF29" s="306"/>
      <c r="AG29" s="307"/>
      <c r="AH29" s="306"/>
      <c r="AI29" s="306"/>
      <c r="AJ29" s="306"/>
      <c r="AK29" s="306"/>
      <c r="AL29" s="307"/>
      <c r="AM29" s="306"/>
      <c r="AN29" s="306"/>
      <c r="AO29" s="306"/>
      <c r="AP29" s="306"/>
      <c r="AQ29" s="307"/>
      <c r="AR29" s="306"/>
      <c r="AS29" s="306"/>
      <c r="AT29" s="306"/>
      <c r="AU29" s="306"/>
      <c r="AV29" s="306"/>
      <c r="AW29" s="306"/>
      <c r="AX29" s="307"/>
    </row>
    <row r="30" spans="2:50" ht="13.9" customHeight="1">
      <c r="B30" s="12" t="s">
        <v>418</v>
      </c>
      <c r="C30" s="210">
        <v>2329</v>
      </c>
      <c r="D30" s="358" t="s">
        <v>25</v>
      </c>
      <c r="E30" s="358" t="s">
        <v>25</v>
      </c>
      <c r="F30" s="358" t="s">
        <v>25</v>
      </c>
      <c r="G30" s="358" t="s">
        <v>25</v>
      </c>
      <c r="H30" s="210">
        <v>2232</v>
      </c>
      <c r="I30" s="358" t="s">
        <v>25</v>
      </c>
      <c r="J30" s="358" t="s">
        <v>25</v>
      </c>
      <c r="K30" s="358" t="s">
        <v>25</v>
      </c>
      <c r="L30" s="358" t="s">
        <v>25</v>
      </c>
      <c r="M30" s="210">
        <v>2101</v>
      </c>
      <c r="N30" s="358" t="s">
        <v>25</v>
      </c>
      <c r="O30" s="358" t="s">
        <v>25</v>
      </c>
      <c r="P30" s="358" t="s">
        <v>25</v>
      </c>
      <c r="Q30" s="358" t="s">
        <v>25</v>
      </c>
      <c r="R30" s="210">
        <v>2029</v>
      </c>
      <c r="S30" s="358" t="s">
        <v>25</v>
      </c>
      <c r="T30" s="358" t="s">
        <v>25</v>
      </c>
      <c r="U30" s="358" t="s">
        <v>25</v>
      </c>
      <c r="V30" s="358" t="s">
        <v>25</v>
      </c>
      <c r="W30" s="210">
        <v>2033</v>
      </c>
      <c r="X30" s="358" t="s">
        <v>25</v>
      </c>
      <c r="Y30" s="358" t="s">
        <v>25</v>
      </c>
      <c r="Z30" s="358" t="s">
        <v>25</v>
      </c>
      <c r="AA30" s="358" t="s">
        <v>25</v>
      </c>
      <c r="AB30" s="210">
        <v>2071</v>
      </c>
      <c r="AC30" s="27" t="s">
        <v>25</v>
      </c>
      <c r="AD30" s="27" t="s">
        <v>25</v>
      </c>
      <c r="AE30" s="27" t="s">
        <v>25</v>
      </c>
      <c r="AF30" s="27" t="s">
        <v>25</v>
      </c>
      <c r="AG30" s="210">
        <v>2099</v>
      </c>
      <c r="AH30" s="27" t="s">
        <v>25</v>
      </c>
      <c r="AI30" s="27" t="s">
        <v>25</v>
      </c>
      <c r="AJ30" s="27" t="s">
        <v>25</v>
      </c>
      <c r="AK30" s="27" t="s">
        <v>25</v>
      </c>
      <c r="AL30" s="210">
        <v>2114</v>
      </c>
      <c r="AM30" s="27" t="s">
        <v>25</v>
      </c>
      <c r="AN30" s="27" t="s">
        <v>25</v>
      </c>
      <c r="AO30" s="27" t="s">
        <v>25</v>
      </c>
      <c r="AP30" s="27" t="s">
        <v>25</v>
      </c>
      <c r="AQ30" s="210">
        <v>2098</v>
      </c>
      <c r="AR30" s="27" t="s">
        <v>25</v>
      </c>
      <c r="AS30" s="27" t="s">
        <v>25</v>
      </c>
      <c r="AT30" s="142" t="s">
        <v>25</v>
      </c>
      <c r="AU30" s="27" t="s">
        <v>25</v>
      </c>
      <c r="AV30" s="305" t="s">
        <v>25</v>
      </c>
      <c r="AW30" s="27" t="s">
        <v>25</v>
      </c>
      <c r="AX30" s="210">
        <v>2122</v>
      </c>
    </row>
    <row r="31" spans="2:50" ht="13.9" customHeight="1">
      <c r="B31" s="20" t="s">
        <v>87</v>
      </c>
      <c r="C31" s="211">
        <v>0.53137120693588868</v>
      </c>
      <c r="D31" s="66"/>
      <c r="E31" s="66"/>
      <c r="F31" s="66"/>
      <c r="G31" s="66"/>
      <c r="H31" s="211">
        <v>0.52591894439208298</v>
      </c>
      <c r="I31" s="66"/>
      <c r="J31" s="66"/>
      <c r="K31" s="66"/>
      <c r="L31" s="66"/>
      <c r="M31" s="211">
        <v>0.50071496663489035</v>
      </c>
      <c r="N31" s="66"/>
      <c r="O31" s="66"/>
      <c r="P31" s="66"/>
      <c r="Q31" s="66"/>
      <c r="R31" s="211">
        <v>0.49815860545052787</v>
      </c>
      <c r="S31" s="66"/>
      <c r="T31" s="66"/>
      <c r="U31" s="66"/>
      <c r="V31" s="66"/>
      <c r="W31" s="211">
        <v>0.48881942774705456</v>
      </c>
      <c r="X31" s="66"/>
      <c r="Y31" s="66"/>
      <c r="Z31" s="66"/>
      <c r="AA31" s="66"/>
      <c r="AB31" s="211">
        <v>0.4952175992348159</v>
      </c>
      <c r="AC31" s="22"/>
      <c r="AD31" s="22"/>
      <c r="AE31" s="22"/>
      <c r="AF31" s="22"/>
      <c r="AG31" s="211">
        <v>0.48745935903390619</v>
      </c>
      <c r="AH31" s="22"/>
      <c r="AI31" s="22"/>
      <c r="AJ31" s="22"/>
      <c r="AK31" s="22"/>
      <c r="AL31" s="211">
        <v>0.47914777878513148</v>
      </c>
      <c r="AM31" s="22"/>
      <c r="AN31" s="22"/>
      <c r="AO31" s="22"/>
      <c r="AP31" s="22"/>
      <c r="AQ31" s="211">
        <v>0.4831874712114233</v>
      </c>
      <c r="AR31" s="22"/>
      <c r="AS31" s="22"/>
      <c r="AT31" s="139"/>
      <c r="AU31" s="22"/>
      <c r="AV31" s="278"/>
      <c r="AW31" s="22"/>
      <c r="AX31" s="211">
        <v>0.47922312556458896</v>
      </c>
    </row>
    <row r="32" spans="2:50" ht="13.9" customHeight="1">
      <c r="B32" s="12" t="s">
        <v>86</v>
      </c>
      <c r="C32" s="210">
        <v>2054</v>
      </c>
      <c r="D32" s="358" t="s">
        <v>25</v>
      </c>
      <c r="E32" s="358" t="s">
        <v>25</v>
      </c>
      <c r="F32" s="358" t="s">
        <v>25</v>
      </c>
      <c r="G32" s="358" t="s">
        <v>25</v>
      </c>
      <c r="H32" s="210">
        <v>2012</v>
      </c>
      <c r="I32" s="358" t="s">
        <v>25</v>
      </c>
      <c r="J32" s="358" t="s">
        <v>25</v>
      </c>
      <c r="K32" s="358" t="s">
        <v>25</v>
      </c>
      <c r="L32" s="358" t="s">
        <v>25</v>
      </c>
      <c r="M32" s="210">
        <v>2095</v>
      </c>
      <c r="N32" s="358" t="s">
        <v>25</v>
      </c>
      <c r="O32" s="358" t="s">
        <v>25</v>
      </c>
      <c r="P32" s="358" t="s">
        <v>25</v>
      </c>
      <c r="Q32" s="358" t="s">
        <v>25</v>
      </c>
      <c r="R32" s="210">
        <v>2044</v>
      </c>
      <c r="S32" s="358" t="s">
        <v>25</v>
      </c>
      <c r="T32" s="358" t="s">
        <v>25</v>
      </c>
      <c r="U32" s="358" t="s">
        <v>25</v>
      </c>
      <c r="V32" s="358" t="s">
        <v>25</v>
      </c>
      <c r="W32" s="210">
        <v>2126</v>
      </c>
      <c r="X32" s="358" t="s">
        <v>25</v>
      </c>
      <c r="Y32" s="358" t="s">
        <v>25</v>
      </c>
      <c r="Z32" s="358" t="s">
        <v>25</v>
      </c>
      <c r="AA32" s="358" t="s">
        <v>25</v>
      </c>
      <c r="AB32" s="210">
        <v>2111</v>
      </c>
      <c r="AC32" s="27" t="s">
        <v>25</v>
      </c>
      <c r="AD32" s="27" t="s">
        <v>25</v>
      </c>
      <c r="AE32" s="27" t="s">
        <v>25</v>
      </c>
      <c r="AF32" s="27" t="s">
        <v>25</v>
      </c>
      <c r="AG32" s="210">
        <v>2207</v>
      </c>
      <c r="AH32" s="27" t="s">
        <v>25</v>
      </c>
      <c r="AI32" s="27" t="s">
        <v>25</v>
      </c>
      <c r="AJ32" s="27" t="s">
        <v>25</v>
      </c>
      <c r="AK32" s="27" t="s">
        <v>25</v>
      </c>
      <c r="AL32" s="210">
        <v>2298</v>
      </c>
      <c r="AM32" s="27" t="s">
        <v>25</v>
      </c>
      <c r="AN32" s="27" t="s">
        <v>25</v>
      </c>
      <c r="AO32" s="27" t="s">
        <v>25</v>
      </c>
      <c r="AP32" s="27" t="s">
        <v>25</v>
      </c>
      <c r="AQ32" s="210">
        <v>2244</v>
      </c>
      <c r="AR32" s="27" t="s">
        <v>25</v>
      </c>
      <c r="AS32" s="27" t="s">
        <v>25</v>
      </c>
      <c r="AT32" s="142" t="s">
        <v>25</v>
      </c>
      <c r="AU32" s="27" t="s">
        <v>25</v>
      </c>
      <c r="AV32" s="305" t="s">
        <v>25</v>
      </c>
      <c r="AW32" s="27" t="s">
        <v>25</v>
      </c>
      <c r="AX32" s="210">
        <v>2306</v>
      </c>
    </row>
    <row r="33" spans="2:50" ht="13.9" customHeight="1">
      <c r="B33" s="20" t="s">
        <v>87</v>
      </c>
      <c r="C33" s="211">
        <v>0.46862879306411132</v>
      </c>
      <c r="D33" s="66"/>
      <c r="E33" s="66"/>
      <c r="F33" s="66"/>
      <c r="G33" s="66"/>
      <c r="H33" s="211">
        <v>0.47408105560791708</v>
      </c>
      <c r="I33" s="66"/>
      <c r="J33" s="66"/>
      <c r="K33" s="66"/>
      <c r="L33" s="66"/>
      <c r="M33" s="211">
        <v>0.49928503336510965</v>
      </c>
      <c r="N33" s="66"/>
      <c r="O33" s="66"/>
      <c r="P33" s="66"/>
      <c r="Q33" s="66"/>
      <c r="R33" s="211">
        <v>0.50184139454947219</v>
      </c>
      <c r="S33" s="66"/>
      <c r="T33" s="66"/>
      <c r="U33" s="66"/>
      <c r="V33" s="66"/>
      <c r="W33" s="211">
        <v>0.51118057225294544</v>
      </c>
      <c r="X33" s="66"/>
      <c r="Y33" s="66"/>
      <c r="Z33" s="66"/>
      <c r="AA33" s="66"/>
      <c r="AB33" s="211">
        <v>0.5047824007651841</v>
      </c>
      <c r="AC33" s="22"/>
      <c r="AD33" s="22"/>
      <c r="AE33" s="22"/>
      <c r="AF33" s="22"/>
      <c r="AG33" s="211">
        <v>0.51254064096609386</v>
      </c>
      <c r="AH33" s="22"/>
      <c r="AI33" s="22"/>
      <c r="AJ33" s="22"/>
      <c r="AK33" s="22"/>
      <c r="AL33" s="211">
        <v>0.52085222121486852</v>
      </c>
      <c r="AM33" s="22"/>
      <c r="AN33" s="22"/>
      <c r="AO33" s="22"/>
      <c r="AP33" s="22"/>
      <c r="AQ33" s="211">
        <v>0.51681252878857664</v>
      </c>
      <c r="AR33" s="22"/>
      <c r="AS33" s="22"/>
      <c r="AT33" s="139"/>
      <c r="AU33" s="22"/>
      <c r="AV33" s="278"/>
      <c r="AW33" s="22"/>
      <c r="AX33" s="211">
        <v>0.52077687443541099</v>
      </c>
    </row>
    <row r="34" spans="2:50" ht="13.9" customHeight="1">
      <c r="B34" s="201"/>
      <c r="C34" s="122"/>
      <c r="D34" s="283"/>
      <c r="E34" s="283"/>
      <c r="F34" s="283"/>
      <c r="G34" s="283"/>
      <c r="H34" s="122"/>
      <c r="I34" s="283"/>
      <c r="J34" s="283"/>
      <c r="K34" s="283"/>
      <c r="L34" s="283"/>
      <c r="M34" s="122"/>
      <c r="N34" s="283"/>
      <c r="O34" s="283"/>
      <c r="P34" s="283"/>
      <c r="Q34" s="283"/>
      <c r="R34" s="122"/>
      <c r="S34" s="283"/>
      <c r="T34" s="283"/>
      <c r="U34" s="283"/>
      <c r="V34" s="283"/>
      <c r="W34" s="122"/>
      <c r="X34" s="283"/>
      <c r="Y34" s="283"/>
      <c r="Z34" s="283"/>
      <c r="AA34" s="283"/>
      <c r="AB34" s="122"/>
      <c r="AC34" s="283"/>
      <c r="AD34" s="283"/>
      <c r="AE34" s="283"/>
      <c r="AF34" s="283"/>
      <c r="AG34" s="122"/>
      <c r="AH34" s="283"/>
      <c r="AI34" s="283"/>
      <c r="AJ34" s="283"/>
      <c r="AK34" s="283"/>
      <c r="AL34" s="122"/>
      <c r="AM34" s="283"/>
      <c r="AN34" s="283"/>
      <c r="AO34" s="283"/>
      <c r="AP34" s="283"/>
      <c r="AQ34" s="122"/>
      <c r="AR34" s="283"/>
      <c r="AS34" s="283"/>
      <c r="AT34" s="283"/>
      <c r="AU34" s="283"/>
      <c r="AV34" s="283"/>
      <c r="AW34" s="283"/>
      <c r="AX34" s="122"/>
    </row>
    <row r="35" spans="2:50" ht="13.9" customHeight="1">
      <c r="B35" s="12" t="s">
        <v>8</v>
      </c>
      <c r="C35" s="210">
        <v>717</v>
      </c>
      <c r="D35" s="355">
        <v>180</v>
      </c>
      <c r="E35" s="355">
        <v>177</v>
      </c>
      <c r="F35" s="355">
        <v>186</v>
      </c>
      <c r="G35" s="355">
        <v>185</v>
      </c>
      <c r="H35" s="210">
        <v>728</v>
      </c>
      <c r="I35" s="355">
        <v>204</v>
      </c>
      <c r="J35" s="355">
        <v>211</v>
      </c>
      <c r="K35" s="355">
        <v>218</v>
      </c>
      <c r="L35" s="355">
        <v>217</v>
      </c>
      <c r="M35" s="210">
        <v>850</v>
      </c>
      <c r="N35" s="355">
        <v>207</v>
      </c>
      <c r="O35" s="355">
        <v>204</v>
      </c>
      <c r="P35" s="355">
        <v>225</v>
      </c>
      <c r="Q35" s="355">
        <v>225</v>
      </c>
      <c r="R35" s="210">
        <v>861</v>
      </c>
      <c r="S35" s="355">
        <v>212</v>
      </c>
      <c r="T35" s="355">
        <v>218</v>
      </c>
      <c r="U35" s="355">
        <v>222</v>
      </c>
      <c r="V35" s="355">
        <v>225</v>
      </c>
      <c r="W35" s="210">
        <v>877</v>
      </c>
      <c r="X35" s="355">
        <v>223</v>
      </c>
      <c r="Y35" s="355">
        <v>231</v>
      </c>
      <c r="Z35" s="355">
        <v>239</v>
      </c>
      <c r="AA35" s="355">
        <v>245</v>
      </c>
      <c r="AB35" s="210">
        <v>938</v>
      </c>
      <c r="AC35" s="19">
        <v>239</v>
      </c>
      <c r="AD35" s="19">
        <v>248</v>
      </c>
      <c r="AE35" s="19">
        <v>252</v>
      </c>
      <c r="AF35" s="19">
        <v>266</v>
      </c>
      <c r="AG35" s="210">
        <v>1005</v>
      </c>
      <c r="AH35" s="19">
        <v>245</v>
      </c>
      <c r="AI35" s="19">
        <v>256</v>
      </c>
      <c r="AJ35" s="19">
        <v>258</v>
      </c>
      <c r="AK35" s="19">
        <v>260</v>
      </c>
      <c r="AL35" s="210">
        <v>1019</v>
      </c>
      <c r="AM35" s="19">
        <v>252</v>
      </c>
      <c r="AN35" s="19">
        <v>255</v>
      </c>
      <c r="AO35" s="19">
        <v>256</v>
      </c>
      <c r="AP35" s="19">
        <v>260</v>
      </c>
      <c r="AQ35" s="210">
        <v>1023</v>
      </c>
      <c r="AR35" s="19">
        <v>258</v>
      </c>
      <c r="AS35" s="19">
        <v>261</v>
      </c>
      <c r="AT35" s="137">
        <v>519</v>
      </c>
      <c r="AU35" s="19">
        <v>269</v>
      </c>
      <c r="AV35" s="276">
        <v>788</v>
      </c>
      <c r="AW35" s="19">
        <v>272</v>
      </c>
      <c r="AX35" s="210">
        <v>1060</v>
      </c>
    </row>
    <row r="36" spans="2:50" ht="13.9" customHeight="1">
      <c r="B36" s="20" t="s">
        <v>5</v>
      </c>
      <c r="C36" s="211"/>
      <c r="D36" s="357"/>
      <c r="E36" s="357">
        <v>-1.6666666666666718E-2</v>
      </c>
      <c r="F36" s="357">
        <v>5.0847457627118731E-2</v>
      </c>
      <c r="G36" s="357">
        <v>-5.3763440860215006E-3</v>
      </c>
      <c r="H36" s="211"/>
      <c r="I36" s="357">
        <v>0.10270270270270276</v>
      </c>
      <c r="J36" s="357">
        <v>3.4313725490196179E-2</v>
      </c>
      <c r="K36" s="357">
        <v>3.3175355450236976E-2</v>
      </c>
      <c r="L36" s="357">
        <v>-4.5871559633027248E-3</v>
      </c>
      <c r="M36" s="211"/>
      <c r="N36" s="357">
        <v>-4.6082949308755783E-2</v>
      </c>
      <c r="O36" s="357">
        <v>-1.4492753623188359E-2</v>
      </c>
      <c r="P36" s="357">
        <v>0.10294117647058831</v>
      </c>
      <c r="Q36" s="357">
        <v>0</v>
      </c>
      <c r="R36" s="211"/>
      <c r="S36" s="357">
        <v>-5.7777777777777817E-2</v>
      </c>
      <c r="T36" s="357">
        <v>2.8301886792452935E-2</v>
      </c>
      <c r="U36" s="357">
        <v>1.8348623853210899E-2</v>
      </c>
      <c r="V36" s="357">
        <v>1.3513513513513598E-2</v>
      </c>
      <c r="W36" s="211"/>
      <c r="X36" s="357">
        <v>-8.8888888888888351E-3</v>
      </c>
      <c r="Y36" s="357">
        <v>3.5874439461883512E-2</v>
      </c>
      <c r="Z36" s="357">
        <v>3.463203463203457E-2</v>
      </c>
      <c r="AA36" s="357">
        <v>2.5104602510460206E-2</v>
      </c>
      <c r="AB36" s="211"/>
      <c r="AC36" s="21">
        <v>-2.4489795918367308E-2</v>
      </c>
      <c r="AD36" s="21">
        <v>3.7656903765690419E-2</v>
      </c>
      <c r="AE36" s="21">
        <v>1.6129032258064502E-2</v>
      </c>
      <c r="AF36" s="21">
        <v>5.555555555555558E-2</v>
      </c>
      <c r="AG36" s="211"/>
      <c r="AH36" s="21">
        <v>-7.8947368421052655E-2</v>
      </c>
      <c r="AI36" s="21">
        <v>4.4897959183673564E-2</v>
      </c>
      <c r="AJ36" s="21">
        <v>7.8125E-3</v>
      </c>
      <c r="AK36" s="21">
        <v>7.7519379844961378E-3</v>
      </c>
      <c r="AL36" s="211"/>
      <c r="AM36" s="21">
        <v>-3.0769230769230771E-2</v>
      </c>
      <c r="AN36" s="21">
        <v>1.1904761904761862E-2</v>
      </c>
      <c r="AO36" s="21">
        <v>3.9215686274509665E-3</v>
      </c>
      <c r="AP36" s="21">
        <v>1.5625E-2</v>
      </c>
      <c r="AQ36" s="211"/>
      <c r="AR36" s="21">
        <v>-7.692307692307665E-3</v>
      </c>
      <c r="AS36" s="21">
        <v>1.1627906976744207E-2</v>
      </c>
      <c r="AT36" s="138"/>
      <c r="AU36" s="21">
        <v>3.0651340996168619E-2</v>
      </c>
      <c r="AV36" s="277"/>
      <c r="AW36" s="21">
        <v>1.1152416356877248E-2</v>
      </c>
      <c r="AX36" s="211"/>
    </row>
    <row r="37" spans="2:50" ht="13.9" customHeight="1">
      <c r="B37" s="20" t="s">
        <v>6</v>
      </c>
      <c r="C37" s="211"/>
      <c r="D37" s="66"/>
      <c r="E37" s="66"/>
      <c r="F37" s="66"/>
      <c r="G37" s="66"/>
      <c r="H37" s="211">
        <v>1.5341701534170138E-2</v>
      </c>
      <c r="I37" s="66">
        <v>0.1333333333333333</v>
      </c>
      <c r="J37" s="66">
        <v>0.19209039548022599</v>
      </c>
      <c r="K37" s="66">
        <v>0.17204301075268824</v>
      </c>
      <c r="L37" s="66">
        <v>0.17297297297297298</v>
      </c>
      <c r="M37" s="211">
        <v>0.16758241758241765</v>
      </c>
      <c r="N37" s="66">
        <v>1.4705882352941124E-2</v>
      </c>
      <c r="O37" s="66">
        <v>-3.3175355450236976E-2</v>
      </c>
      <c r="P37" s="66">
        <v>3.2110091743119185E-2</v>
      </c>
      <c r="Q37" s="66">
        <v>3.6866359447004671E-2</v>
      </c>
      <c r="R37" s="211">
        <v>1.2941176470588234E-2</v>
      </c>
      <c r="S37" s="66">
        <v>2.4154589371980784E-2</v>
      </c>
      <c r="T37" s="66">
        <v>6.8627450980392135E-2</v>
      </c>
      <c r="U37" s="66">
        <v>-1.3333333333333308E-2</v>
      </c>
      <c r="V37" s="66">
        <v>0</v>
      </c>
      <c r="W37" s="211">
        <v>1.8583042973286945E-2</v>
      </c>
      <c r="X37" s="66">
        <v>5.1886792452830122E-2</v>
      </c>
      <c r="Y37" s="66">
        <v>5.9633027522935755E-2</v>
      </c>
      <c r="Z37" s="66">
        <v>7.6576576576576683E-2</v>
      </c>
      <c r="AA37" s="66">
        <v>8.8888888888888795E-2</v>
      </c>
      <c r="AB37" s="211">
        <v>6.955530216647654E-2</v>
      </c>
      <c r="AC37" s="22">
        <v>7.1748878923766801E-2</v>
      </c>
      <c r="AD37" s="22">
        <v>7.3593073593073655E-2</v>
      </c>
      <c r="AE37" s="22">
        <v>5.439330543933063E-2</v>
      </c>
      <c r="AF37" s="22">
        <v>8.5714285714285632E-2</v>
      </c>
      <c r="AG37" s="211">
        <v>7.1428571428571397E-2</v>
      </c>
      <c r="AH37" s="22">
        <v>2.5104602510460206E-2</v>
      </c>
      <c r="AI37" s="22">
        <v>3.2258064516129004E-2</v>
      </c>
      <c r="AJ37" s="22">
        <v>2.3809523809523725E-2</v>
      </c>
      <c r="AK37" s="22">
        <v>-2.2556390977443663E-2</v>
      </c>
      <c r="AL37" s="211">
        <v>1.3930348258706537E-2</v>
      </c>
      <c r="AM37" s="22">
        <v>2.857142857142847E-2</v>
      </c>
      <c r="AN37" s="22">
        <v>-3.90625E-3</v>
      </c>
      <c r="AO37" s="22">
        <v>-7.7519379844961378E-3</v>
      </c>
      <c r="AP37" s="22">
        <v>0</v>
      </c>
      <c r="AQ37" s="211">
        <v>3.9254170755642637E-3</v>
      </c>
      <c r="AR37" s="22">
        <v>2.3809523809523725E-2</v>
      </c>
      <c r="AS37" s="22">
        <v>2.3529411764705799E-2</v>
      </c>
      <c r="AT37" s="139"/>
      <c r="AU37" s="22">
        <v>5.078125E-2</v>
      </c>
      <c r="AV37" s="278"/>
      <c r="AW37" s="22">
        <v>4.6153846153846212E-2</v>
      </c>
      <c r="AX37" s="211">
        <v>3.6168132942326459E-2</v>
      </c>
    </row>
    <row r="38" spans="2:50" ht="13.9" customHeight="1">
      <c r="B38" s="12" t="s">
        <v>50</v>
      </c>
      <c r="C38" s="210">
        <v>898</v>
      </c>
      <c r="D38" s="355">
        <v>224</v>
      </c>
      <c r="E38" s="355">
        <v>220</v>
      </c>
      <c r="F38" s="355">
        <v>224</v>
      </c>
      <c r="G38" s="355">
        <v>223</v>
      </c>
      <c r="H38" s="210">
        <v>891</v>
      </c>
      <c r="I38" s="355">
        <v>228</v>
      </c>
      <c r="J38" s="355">
        <v>232</v>
      </c>
      <c r="K38" s="355">
        <v>233</v>
      </c>
      <c r="L38" s="355">
        <v>219</v>
      </c>
      <c r="M38" s="210">
        <v>912</v>
      </c>
      <c r="N38" s="355">
        <v>233</v>
      </c>
      <c r="O38" s="355">
        <v>231</v>
      </c>
      <c r="P38" s="355">
        <v>224</v>
      </c>
      <c r="Q38" s="355">
        <v>223</v>
      </c>
      <c r="R38" s="210">
        <v>911</v>
      </c>
      <c r="S38" s="355">
        <v>229</v>
      </c>
      <c r="T38" s="355">
        <v>224</v>
      </c>
      <c r="U38" s="355">
        <v>225</v>
      </c>
      <c r="V38" s="355">
        <v>241</v>
      </c>
      <c r="W38" s="210">
        <v>919</v>
      </c>
      <c r="X38" s="355">
        <v>233</v>
      </c>
      <c r="Y38" s="355">
        <v>233</v>
      </c>
      <c r="Z38" s="355">
        <v>237</v>
      </c>
      <c r="AA38" s="355">
        <v>231</v>
      </c>
      <c r="AB38" s="210">
        <v>934</v>
      </c>
      <c r="AC38" s="19">
        <v>246</v>
      </c>
      <c r="AD38" s="19">
        <v>245</v>
      </c>
      <c r="AE38" s="19">
        <v>242</v>
      </c>
      <c r="AF38" s="19">
        <v>237</v>
      </c>
      <c r="AG38" s="210">
        <v>970</v>
      </c>
      <c r="AH38" s="19">
        <v>263</v>
      </c>
      <c r="AI38" s="19">
        <v>253</v>
      </c>
      <c r="AJ38" s="19">
        <v>250</v>
      </c>
      <c r="AK38" s="19">
        <v>262</v>
      </c>
      <c r="AL38" s="210">
        <v>1028</v>
      </c>
      <c r="AM38" s="19">
        <v>260</v>
      </c>
      <c r="AN38" s="19">
        <v>258</v>
      </c>
      <c r="AO38" s="19">
        <v>265</v>
      </c>
      <c r="AP38" s="19">
        <v>254</v>
      </c>
      <c r="AQ38" s="210">
        <v>1037</v>
      </c>
      <c r="AR38" s="19">
        <v>267</v>
      </c>
      <c r="AS38" s="19">
        <v>270</v>
      </c>
      <c r="AT38" s="137">
        <v>537</v>
      </c>
      <c r="AU38" s="19">
        <v>270</v>
      </c>
      <c r="AV38" s="276">
        <v>807</v>
      </c>
      <c r="AW38" s="19">
        <v>282</v>
      </c>
      <c r="AX38" s="210">
        <v>1089</v>
      </c>
    </row>
    <row r="39" spans="2:50" ht="13.9" customHeight="1">
      <c r="B39" s="20" t="s">
        <v>5</v>
      </c>
      <c r="C39" s="211"/>
      <c r="D39" s="357"/>
      <c r="E39" s="357">
        <v>-1.7857142857142905E-2</v>
      </c>
      <c r="F39" s="357">
        <v>1.8181818181818077E-2</v>
      </c>
      <c r="G39" s="357">
        <v>-4.4642857142856984E-3</v>
      </c>
      <c r="H39" s="211"/>
      <c r="I39" s="357">
        <v>2.2421524663677195E-2</v>
      </c>
      <c r="J39" s="357">
        <v>1.7543859649122862E-2</v>
      </c>
      <c r="K39" s="357">
        <v>4.3103448275862988E-3</v>
      </c>
      <c r="L39" s="357">
        <v>-6.0085836909871237E-2</v>
      </c>
      <c r="M39" s="211"/>
      <c r="N39" s="357">
        <v>6.3926940639269514E-2</v>
      </c>
      <c r="O39" s="357">
        <v>-8.5836909871244149E-3</v>
      </c>
      <c r="P39" s="357">
        <v>-3.0303030303030276E-2</v>
      </c>
      <c r="Q39" s="357">
        <v>-4.4642857142856984E-3</v>
      </c>
      <c r="R39" s="211"/>
      <c r="S39" s="357">
        <v>2.6905829596412634E-2</v>
      </c>
      <c r="T39" s="357">
        <v>-2.183406113537123E-2</v>
      </c>
      <c r="U39" s="357">
        <v>4.4642857142858094E-3</v>
      </c>
      <c r="V39" s="357">
        <v>7.1111111111111125E-2</v>
      </c>
      <c r="W39" s="211"/>
      <c r="X39" s="357">
        <v>-3.319502074688796E-2</v>
      </c>
      <c r="Y39" s="357">
        <v>0</v>
      </c>
      <c r="Z39" s="357">
        <v>1.716738197424883E-2</v>
      </c>
      <c r="AA39" s="357">
        <v>-2.5316455696202556E-2</v>
      </c>
      <c r="AB39" s="211"/>
      <c r="AC39" s="21">
        <v>6.4935064935064846E-2</v>
      </c>
      <c r="AD39" s="21">
        <v>-4.0650406504064707E-3</v>
      </c>
      <c r="AE39" s="21">
        <v>-1.2244897959183709E-2</v>
      </c>
      <c r="AF39" s="21">
        <v>-2.0661157024793431E-2</v>
      </c>
      <c r="AG39" s="211"/>
      <c r="AH39" s="21">
        <v>0.10970464135021096</v>
      </c>
      <c r="AI39" s="21">
        <v>-3.802281368821292E-2</v>
      </c>
      <c r="AJ39" s="21">
        <v>-1.1857707509881465E-2</v>
      </c>
      <c r="AK39" s="21">
        <v>4.8000000000000043E-2</v>
      </c>
      <c r="AL39" s="211"/>
      <c r="AM39" s="21">
        <v>-7.6335877862595547E-3</v>
      </c>
      <c r="AN39" s="21">
        <v>-7.692307692307665E-3</v>
      </c>
      <c r="AO39" s="21">
        <v>2.7131782945736482E-2</v>
      </c>
      <c r="AP39" s="21">
        <v>-4.1509433962264142E-2</v>
      </c>
      <c r="AQ39" s="211"/>
      <c r="AR39" s="21">
        <v>5.1181102362204633E-2</v>
      </c>
      <c r="AS39" s="21">
        <v>1.1235955056179803E-2</v>
      </c>
      <c r="AT39" s="138"/>
      <c r="AU39" s="21">
        <v>0</v>
      </c>
      <c r="AV39" s="277"/>
      <c r="AW39" s="21">
        <v>4.4444444444444509E-2</v>
      </c>
      <c r="AX39" s="211"/>
    </row>
    <row r="40" spans="2:50" ht="13.9" customHeight="1">
      <c r="B40" s="20" t="s">
        <v>6</v>
      </c>
      <c r="C40" s="211"/>
      <c r="D40" s="66"/>
      <c r="E40" s="66"/>
      <c r="F40" s="66"/>
      <c r="G40" s="66"/>
      <c r="H40" s="211">
        <v>-7.7951002227171218E-3</v>
      </c>
      <c r="I40" s="66">
        <v>1.7857142857142794E-2</v>
      </c>
      <c r="J40" s="66">
        <v>5.4545454545454453E-2</v>
      </c>
      <c r="K40" s="66">
        <v>4.0178571428571397E-2</v>
      </c>
      <c r="L40" s="66">
        <v>-1.7937219730941756E-2</v>
      </c>
      <c r="M40" s="211">
        <v>2.3569023569023573E-2</v>
      </c>
      <c r="N40" s="66">
        <v>2.1929824561403466E-2</v>
      </c>
      <c r="O40" s="66">
        <v>-4.3103448275861878E-3</v>
      </c>
      <c r="P40" s="66">
        <v>-3.8626609442060089E-2</v>
      </c>
      <c r="Q40" s="66">
        <v>1.8264840182648401E-2</v>
      </c>
      <c r="R40" s="211">
        <v>-1.0964912280702066E-3</v>
      </c>
      <c r="S40" s="66">
        <v>-1.7167381974248941E-2</v>
      </c>
      <c r="T40" s="66">
        <v>-3.0303030303030276E-2</v>
      </c>
      <c r="U40" s="66">
        <v>4.4642857142858094E-3</v>
      </c>
      <c r="V40" s="66">
        <v>8.0717488789237679E-2</v>
      </c>
      <c r="W40" s="211">
        <v>8.7815587266739659E-3</v>
      </c>
      <c r="X40" s="66">
        <v>1.7467248908296984E-2</v>
      </c>
      <c r="Y40" s="66">
        <v>4.0178571428571397E-2</v>
      </c>
      <c r="Z40" s="66">
        <v>5.3333333333333233E-2</v>
      </c>
      <c r="AA40" s="66">
        <v>-4.1493775933609922E-2</v>
      </c>
      <c r="AB40" s="211">
        <v>1.6322089227421177E-2</v>
      </c>
      <c r="AC40" s="22">
        <v>5.579399141630903E-2</v>
      </c>
      <c r="AD40" s="22">
        <v>5.1502145922746712E-2</v>
      </c>
      <c r="AE40" s="22">
        <v>2.1097046413502074E-2</v>
      </c>
      <c r="AF40" s="22">
        <v>2.5974025974025983E-2</v>
      </c>
      <c r="AG40" s="211">
        <v>3.8543897216274159E-2</v>
      </c>
      <c r="AH40" s="22">
        <v>6.9105691056910556E-2</v>
      </c>
      <c r="AI40" s="22">
        <v>3.2653061224489743E-2</v>
      </c>
      <c r="AJ40" s="22">
        <v>3.3057851239669311E-2</v>
      </c>
      <c r="AK40" s="22">
        <v>0.10548523206751059</v>
      </c>
      <c r="AL40" s="211">
        <v>5.97938144329897E-2</v>
      </c>
      <c r="AM40" s="22">
        <v>-1.1406844106463865E-2</v>
      </c>
      <c r="AN40" s="22">
        <v>1.9762845849802479E-2</v>
      </c>
      <c r="AO40" s="22">
        <v>6.0000000000000053E-2</v>
      </c>
      <c r="AP40" s="22">
        <v>-3.0534351145038219E-2</v>
      </c>
      <c r="AQ40" s="211">
        <v>8.7548638132295409E-3</v>
      </c>
      <c r="AR40" s="22">
        <v>2.6923076923076827E-2</v>
      </c>
      <c r="AS40" s="22">
        <v>4.6511627906976827E-2</v>
      </c>
      <c r="AT40" s="139"/>
      <c r="AU40" s="22">
        <v>1.8867924528301883E-2</v>
      </c>
      <c r="AV40" s="278"/>
      <c r="AW40" s="22">
        <v>0.11023622047244097</v>
      </c>
      <c r="AX40" s="211">
        <v>5.0144648023143779E-2</v>
      </c>
    </row>
    <row r="41" spans="2:50" ht="13.9" customHeight="1">
      <c r="B41" s="12" t="s">
        <v>166</v>
      </c>
      <c r="C41" s="213">
        <v>-13</v>
      </c>
      <c r="D41" s="61">
        <v>-4</v>
      </c>
      <c r="E41" s="61">
        <v>-1</v>
      </c>
      <c r="F41" s="61">
        <v>-24</v>
      </c>
      <c r="G41" s="61">
        <v>6</v>
      </c>
      <c r="H41" s="213">
        <v>-23</v>
      </c>
      <c r="I41" s="61">
        <v>18</v>
      </c>
      <c r="J41" s="61">
        <v>89</v>
      </c>
      <c r="K41" s="61">
        <v>-2</v>
      </c>
      <c r="L41" s="61">
        <v>509</v>
      </c>
      <c r="M41" s="213">
        <v>614</v>
      </c>
      <c r="N41" s="61">
        <v>-69</v>
      </c>
      <c r="O41" s="61">
        <v>-423</v>
      </c>
      <c r="P41" s="61">
        <v>-8</v>
      </c>
      <c r="Q41" s="61">
        <v>94</v>
      </c>
      <c r="R41" s="213">
        <v>-406</v>
      </c>
      <c r="S41" s="61">
        <v>-4</v>
      </c>
      <c r="T41" s="61">
        <v>-2</v>
      </c>
      <c r="U41" s="61">
        <v>-5</v>
      </c>
      <c r="V41" s="61">
        <v>79</v>
      </c>
      <c r="W41" s="213">
        <v>68</v>
      </c>
      <c r="X41" s="61">
        <v>-150</v>
      </c>
      <c r="Y41" s="61">
        <v>6</v>
      </c>
      <c r="Z41" s="61">
        <v>8</v>
      </c>
      <c r="AA41" s="61">
        <v>31</v>
      </c>
      <c r="AB41" s="213">
        <v>-105</v>
      </c>
      <c r="AC41" s="19">
        <v>47</v>
      </c>
      <c r="AD41" s="25">
        <v>2</v>
      </c>
      <c r="AE41" s="61">
        <v>5</v>
      </c>
      <c r="AF41" s="61">
        <v>58</v>
      </c>
      <c r="AG41" s="210">
        <v>112</v>
      </c>
      <c r="AH41" s="19">
        <v>5</v>
      </c>
      <c r="AI41" s="25">
        <v>6</v>
      </c>
      <c r="AJ41" s="61">
        <v>77</v>
      </c>
      <c r="AK41" s="19">
        <v>57</v>
      </c>
      <c r="AL41" s="210">
        <v>145</v>
      </c>
      <c r="AM41" s="61">
        <v>-1</v>
      </c>
      <c r="AN41" s="61">
        <v>-8</v>
      </c>
      <c r="AO41" s="61">
        <v>24</v>
      </c>
      <c r="AP41" s="19">
        <v>91</v>
      </c>
      <c r="AQ41" s="210">
        <v>106</v>
      </c>
      <c r="AR41" s="61">
        <v>4</v>
      </c>
      <c r="AS41" s="61">
        <v>-7</v>
      </c>
      <c r="AT41" s="148">
        <v>-3</v>
      </c>
      <c r="AU41" s="61">
        <v>41</v>
      </c>
      <c r="AV41" s="285">
        <v>38</v>
      </c>
      <c r="AW41" s="19">
        <v>249</v>
      </c>
      <c r="AX41" s="210">
        <v>287</v>
      </c>
    </row>
    <row r="42" spans="2:50" ht="5.65" customHeight="1">
      <c r="B42" s="201"/>
      <c r="C42" s="283"/>
      <c r="D42" s="283"/>
      <c r="E42" s="283"/>
      <c r="F42" s="283"/>
      <c r="G42" s="122"/>
      <c r="H42" s="283"/>
      <c r="I42" s="283"/>
      <c r="J42" s="283"/>
      <c r="K42" s="283"/>
      <c r="L42" s="122"/>
      <c r="M42" s="283"/>
      <c r="N42" s="283"/>
      <c r="O42" s="283"/>
      <c r="P42" s="283"/>
      <c r="Q42" s="122"/>
      <c r="R42" s="283"/>
      <c r="S42" s="283"/>
      <c r="T42" s="283"/>
      <c r="U42" s="283"/>
      <c r="V42" s="122"/>
      <c r="W42" s="283"/>
      <c r="X42" s="283"/>
      <c r="Y42" s="283"/>
      <c r="Z42" s="283"/>
      <c r="AA42" s="122"/>
      <c r="AB42" s="283"/>
      <c r="AC42" s="283"/>
      <c r="AD42" s="283"/>
      <c r="AE42" s="306"/>
      <c r="AF42" s="307"/>
      <c r="AG42" s="306"/>
      <c r="AH42" s="306"/>
      <c r="AI42" s="306"/>
      <c r="AJ42" s="306"/>
      <c r="AK42" s="307"/>
      <c r="AL42" s="306"/>
      <c r="AM42" s="306"/>
      <c r="AN42" s="306"/>
      <c r="AO42" s="306"/>
      <c r="AP42" s="307"/>
      <c r="AQ42" s="306"/>
      <c r="AR42" s="306"/>
      <c r="AS42" s="306"/>
      <c r="AT42" s="306"/>
      <c r="AU42" s="306"/>
      <c r="AV42" s="306"/>
      <c r="AW42" s="307"/>
      <c r="AX42" s="306"/>
    </row>
    <row r="43" spans="2:50" ht="13.9" customHeight="1">
      <c r="B43" s="12" t="s">
        <v>164</v>
      </c>
      <c r="C43" s="210">
        <v>2076</v>
      </c>
      <c r="D43" s="355">
        <v>513</v>
      </c>
      <c r="E43" s="355">
        <v>496</v>
      </c>
      <c r="F43" s="355">
        <v>492</v>
      </c>
      <c r="G43" s="355">
        <v>470</v>
      </c>
      <c r="H43" s="210">
        <v>1971</v>
      </c>
      <c r="I43" s="355">
        <v>473</v>
      </c>
      <c r="J43" s="355">
        <v>387</v>
      </c>
      <c r="K43" s="355">
        <v>451</v>
      </c>
      <c r="L43" s="61">
        <v>-87</v>
      </c>
      <c r="M43" s="210">
        <v>1224</v>
      </c>
      <c r="N43" s="355">
        <v>531</v>
      </c>
      <c r="O43" s="355">
        <v>875</v>
      </c>
      <c r="P43" s="355">
        <v>440</v>
      </c>
      <c r="Q43" s="61">
        <v>296</v>
      </c>
      <c r="R43" s="210">
        <v>2142</v>
      </c>
      <c r="S43" s="355">
        <v>439</v>
      </c>
      <c r="T43" s="355">
        <v>464</v>
      </c>
      <c r="U43" s="355">
        <v>446</v>
      </c>
      <c r="V43" s="61">
        <v>356</v>
      </c>
      <c r="W43" s="210">
        <v>1705</v>
      </c>
      <c r="X43" s="355">
        <v>593</v>
      </c>
      <c r="Y43" s="355">
        <v>407</v>
      </c>
      <c r="Z43" s="355">
        <v>390</v>
      </c>
      <c r="AA43" s="61">
        <v>358</v>
      </c>
      <c r="AB43" s="210">
        <v>1748</v>
      </c>
      <c r="AC43" s="19">
        <v>386</v>
      </c>
      <c r="AD43" s="19">
        <v>393</v>
      </c>
      <c r="AE43" s="19">
        <v>388</v>
      </c>
      <c r="AF43" s="61">
        <v>293</v>
      </c>
      <c r="AG43" s="210">
        <v>1460</v>
      </c>
      <c r="AH43" s="19">
        <v>403</v>
      </c>
      <c r="AI43" s="19">
        <v>418</v>
      </c>
      <c r="AJ43" s="19">
        <v>310</v>
      </c>
      <c r="AK43" s="19">
        <v>320</v>
      </c>
      <c r="AL43" s="210">
        <v>1451</v>
      </c>
      <c r="AM43" s="19">
        <v>397</v>
      </c>
      <c r="AN43" s="19">
        <v>383</v>
      </c>
      <c r="AO43" s="19">
        <v>355</v>
      </c>
      <c r="AP43" s="19">
        <v>303</v>
      </c>
      <c r="AQ43" s="210">
        <v>1438</v>
      </c>
      <c r="AR43" s="19">
        <v>384</v>
      </c>
      <c r="AS43" s="19">
        <v>386</v>
      </c>
      <c r="AT43" s="137">
        <v>770</v>
      </c>
      <c r="AU43" s="19">
        <v>328</v>
      </c>
      <c r="AV43" s="276">
        <v>1098</v>
      </c>
      <c r="AW43" s="19">
        <v>144</v>
      </c>
      <c r="AX43" s="210">
        <v>1242</v>
      </c>
    </row>
    <row r="44" spans="2:50" ht="13.9" customHeight="1">
      <c r="B44" s="20" t="s">
        <v>5</v>
      </c>
      <c r="C44" s="211"/>
      <c r="D44" s="357"/>
      <c r="E44" s="357">
        <v>-3.3138401559454245E-2</v>
      </c>
      <c r="F44" s="357">
        <v>-8.0645161290322509E-3</v>
      </c>
      <c r="G44" s="357">
        <v>-4.471544715447151E-2</v>
      </c>
      <c r="H44" s="211"/>
      <c r="I44" s="357">
        <v>6.382978723404209E-3</v>
      </c>
      <c r="J44" s="357">
        <v>-0.18181818181818177</v>
      </c>
      <c r="K44" s="357">
        <v>0.1653746770025839</v>
      </c>
      <c r="L44" s="359" t="s">
        <v>23</v>
      </c>
      <c r="M44" s="211"/>
      <c r="N44" s="359" t="s">
        <v>23</v>
      </c>
      <c r="O44" s="357">
        <v>0.64783427495291912</v>
      </c>
      <c r="P44" s="357">
        <v>-0.49714285714285711</v>
      </c>
      <c r="Q44" s="357">
        <v>-0.32727272727272727</v>
      </c>
      <c r="R44" s="211"/>
      <c r="S44" s="357">
        <v>0.48310810810810811</v>
      </c>
      <c r="T44" s="357">
        <v>5.6947608200455635E-2</v>
      </c>
      <c r="U44" s="357">
        <v>-3.8793103448275912E-2</v>
      </c>
      <c r="V44" s="357">
        <v>-0.2017937219730942</v>
      </c>
      <c r="W44" s="211"/>
      <c r="X44" s="357">
        <v>0.66573033707865159</v>
      </c>
      <c r="Y44" s="357">
        <v>-0.31365935919055654</v>
      </c>
      <c r="Z44" s="357">
        <v>-4.1769041769041726E-2</v>
      </c>
      <c r="AA44" s="357">
        <v>-8.2051282051282093E-2</v>
      </c>
      <c r="AB44" s="211"/>
      <c r="AC44" s="21">
        <v>7.8212290502793325E-2</v>
      </c>
      <c r="AD44" s="21">
        <v>1.81347150259068E-2</v>
      </c>
      <c r="AE44" s="21">
        <v>-1.2722646310432517E-2</v>
      </c>
      <c r="AF44" s="21">
        <v>-0.24484536082474229</v>
      </c>
      <c r="AG44" s="211"/>
      <c r="AH44" s="21">
        <v>0.37542662116040959</v>
      </c>
      <c r="AI44" s="21">
        <v>3.7220843672456594E-2</v>
      </c>
      <c r="AJ44" s="21">
        <v>-0.25837320574162681</v>
      </c>
      <c r="AK44" s="21">
        <v>3.2258064516129004E-2</v>
      </c>
      <c r="AL44" s="211"/>
      <c r="AM44" s="21">
        <v>0.24062500000000009</v>
      </c>
      <c r="AN44" s="21">
        <v>-3.5264483627204024E-2</v>
      </c>
      <c r="AO44" s="21">
        <v>-7.3107049608355124E-2</v>
      </c>
      <c r="AP44" s="21">
        <v>-0.14647887323943665</v>
      </c>
      <c r="AQ44" s="211"/>
      <c r="AR44" s="21">
        <v>0.26732673267326734</v>
      </c>
      <c r="AS44" s="21">
        <v>5.2083333333332593E-3</v>
      </c>
      <c r="AT44" s="137"/>
      <c r="AU44" s="21">
        <v>-0.15025906735751293</v>
      </c>
      <c r="AV44" s="277"/>
      <c r="AW44" s="21">
        <v>-0.56097560975609762</v>
      </c>
      <c r="AX44" s="211"/>
    </row>
    <row r="45" spans="2:50" ht="13.9" customHeight="1">
      <c r="B45" s="20" t="s">
        <v>6</v>
      </c>
      <c r="C45" s="211"/>
      <c r="D45" s="66"/>
      <c r="E45" s="66"/>
      <c r="F45" s="66"/>
      <c r="G45" s="66"/>
      <c r="H45" s="211">
        <v>-5.0578034682080886E-2</v>
      </c>
      <c r="I45" s="66">
        <v>-7.7972709551656916E-2</v>
      </c>
      <c r="J45" s="66">
        <v>-0.219758064516129</v>
      </c>
      <c r="K45" s="66">
        <v>-8.333333333333337E-2</v>
      </c>
      <c r="L45" s="359" t="s">
        <v>23</v>
      </c>
      <c r="M45" s="211">
        <v>-0.37899543378995437</v>
      </c>
      <c r="N45" s="66">
        <v>0.12262156448202965</v>
      </c>
      <c r="O45" s="66">
        <v>1.260981912144703</v>
      </c>
      <c r="P45" s="66">
        <v>-2.4390243902439046E-2</v>
      </c>
      <c r="Q45" s="359" t="s">
        <v>23</v>
      </c>
      <c r="R45" s="211">
        <v>0.75</v>
      </c>
      <c r="S45" s="66">
        <v>-0.17325800376647837</v>
      </c>
      <c r="T45" s="66">
        <v>-0.46971428571428575</v>
      </c>
      <c r="U45" s="66">
        <v>1.3636363636363669E-2</v>
      </c>
      <c r="V45" s="66">
        <v>0.20270270270270263</v>
      </c>
      <c r="W45" s="211">
        <v>-0.20401493930905701</v>
      </c>
      <c r="X45" s="66">
        <v>0.35079726651480647</v>
      </c>
      <c r="Y45" s="66">
        <v>-0.12284482758620685</v>
      </c>
      <c r="Z45" s="66">
        <v>-0.12556053811659196</v>
      </c>
      <c r="AA45" s="66">
        <v>5.6179775280897903E-3</v>
      </c>
      <c r="AB45" s="211">
        <v>2.521994134897354E-2</v>
      </c>
      <c r="AC45" s="22">
        <v>-0.34907251264755479</v>
      </c>
      <c r="AD45" s="22">
        <v>-3.4398034398034349E-2</v>
      </c>
      <c r="AE45" s="22">
        <v>-5.12820512820511E-3</v>
      </c>
      <c r="AF45" s="22">
        <v>-0.18156424581005581</v>
      </c>
      <c r="AG45" s="211">
        <v>-0.16475972540045769</v>
      </c>
      <c r="AH45" s="22">
        <v>4.4041450777202007E-2</v>
      </c>
      <c r="AI45" s="22">
        <v>6.3613231552162919E-2</v>
      </c>
      <c r="AJ45" s="22">
        <v>-0.2010309278350515</v>
      </c>
      <c r="AK45" s="22">
        <v>9.2150170648464202E-2</v>
      </c>
      <c r="AL45" s="211">
        <v>-6.164383561643838E-3</v>
      </c>
      <c r="AM45" s="22">
        <v>-1.488833746898266E-2</v>
      </c>
      <c r="AN45" s="22">
        <v>-8.3732057416267991E-2</v>
      </c>
      <c r="AO45" s="22">
        <v>0.14516129032258074</v>
      </c>
      <c r="AP45" s="22">
        <v>-5.3124999999999978E-2</v>
      </c>
      <c r="AQ45" s="211">
        <v>-8.9593383873191046E-3</v>
      </c>
      <c r="AR45" s="22">
        <v>-3.2745591939546626E-2</v>
      </c>
      <c r="AS45" s="22">
        <v>7.8328981723236879E-3</v>
      </c>
      <c r="AT45" s="139"/>
      <c r="AU45" s="22">
        <v>-7.6056338028169024E-2</v>
      </c>
      <c r="AV45" s="278"/>
      <c r="AW45" s="22">
        <v>-0.52475247524752477</v>
      </c>
      <c r="AX45" s="211">
        <v>-0.13630041724617525</v>
      </c>
    </row>
    <row r="46" spans="2:50" ht="13.9" customHeight="1">
      <c r="B46" s="12" t="s">
        <v>7</v>
      </c>
      <c r="C46" s="210">
        <v>2793</v>
      </c>
      <c r="D46" s="106">
        <v>693</v>
      </c>
      <c r="E46" s="106">
        <v>673</v>
      </c>
      <c r="F46" s="106">
        <v>678</v>
      </c>
      <c r="G46" s="355">
        <v>655</v>
      </c>
      <c r="H46" s="210">
        <v>2699</v>
      </c>
      <c r="I46" s="106">
        <v>677</v>
      </c>
      <c r="J46" s="106">
        <v>598</v>
      </c>
      <c r="K46" s="106">
        <v>669</v>
      </c>
      <c r="L46" s="355">
        <v>130</v>
      </c>
      <c r="M46" s="210">
        <v>2074</v>
      </c>
      <c r="N46" s="106">
        <v>738</v>
      </c>
      <c r="O46" s="106">
        <v>1079</v>
      </c>
      <c r="P46" s="106">
        <v>665</v>
      </c>
      <c r="Q46" s="355">
        <v>521</v>
      </c>
      <c r="R46" s="210">
        <v>3003</v>
      </c>
      <c r="S46" s="106">
        <v>651</v>
      </c>
      <c r="T46" s="106">
        <v>682</v>
      </c>
      <c r="U46" s="106">
        <v>668</v>
      </c>
      <c r="V46" s="355">
        <v>581</v>
      </c>
      <c r="W46" s="210">
        <v>2582</v>
      </c>
      <c r="X46" s="106">
        <v>816</v>
      </c>
      <c r="Y46" s="106">
        <v>638</v>
      </c>
      <c r="Z46" s="106">
        <v>629</v>
      </c>
      <c r="AA46" s="355">
        <v>603</v>
      </c>
      <c r="AB46" s="210">
        <v>2686</v>
      </c>
      <c r="AC46" s="25">
        <v>625</v>
      </c>
      <c r="AD46" s="25">
        <v>641</v>
      </c>
      <c r="AE46" s="89">
        <v>640</v>
      </c>
      <c r="AF46" s="19">
        <v>559</v>
      </c>
      <c r="AG46" s="210">
        <v>2465</v>
      </c>
      <c r="AH46" s="25">
        <v>648</v>
      </c>
      <c r="AI46" s="25">
        <v>674</v>
      </c>
      <c r="AJ46" s="89">
        <v>568</v>
      </c>
      <c r="AK46" s="19">
        <v>580</v>
      </c>
      <c r="AL46" s="210">
        <v>2470</v>
      </c>
      <c r="AM46" s="25">
        <v>649</v>
      </c>
      <c r="AN46" s="25">
        <v>638</v>
      </c>
      <c r="AO46" s="89">
        <v>611</v>
      </c>
      <c r="AP46" s="19">
        <v>563</v>
      </c>
      <c r="AQ46" s="210">
        <v>2461</v>
      </c>
      <c r="AR46" s="25">
        <v>642</v>
      </c>
      <c r="AS46" s="25">
        <v>647</v>
      </c>
      <c r="AT46" s="137">
        <v>1289</v>
      </c>
      <c r="AU46" s="89">
        <v>597</v>
      </c>
      <c r="AV46" s="276">
        <v>1886</v>
      </c>
      <c r="AW46" s="19">
        <v>416</v>
      </c>
      <c r="AX46" s="210">
        <v>2302</v>
      </c>
    </row>
    <row r="47" spans="2:50" ht="13.9" customHeight="1">
      <c r="B47" s="20" t="s">
        <v>5</v>
      </c>
      <c r="C47" s="211"/>
      <c r="D47" s="357"/>
      <c r="E47" s="357">
        <v>-2.8860028860028808E-2</v>
      </c>
      <c r="F47" s="357">
        <v>7.429420505200568E-3</v>
      </c>
      <c r="G47" s="357">
        <v>-3.3923303834808238E-2</v>
      </c>
      <c r="H47" s="211"/>
      <c r="I47" s="357">
        <v>3.3587786259541952E-2</v>
      </c>
      <c r="J47" s="357">
        <v>-0.11669128508124071</v>
      </c>
      <c r="K47" s="357">
        <v>0.11872909698996659</v>
      </c>
      <c r="L47" s="357">
        <v>-0.8056801195814649</v>
      </c>
      <c r="M47" s="211"/>
      <c r="N47" s="357">
        <v>4.6769230769230772</v>
      </c>
      <c r="O47" s="357">
        <v>0.46205962059620598</v>
      </c>
      <c r="P47" s="357">
        <v>-0.38368860055607046</v>
      </c>
      <c r="Q47" s="357">
        <v>-0.2165413533834587</v>
      </c>
      <c r="R47" s="211"/>
      <c r="S47" s="357">
        <v>0.24952015355086377</v>
      </c>
      <c r="T47" s="357">
        <v>4.7619047619047672E-2</v>
      </c>
      <c r="U47" s="357">
        <v>-2.0527859237536639E-2</v>
      </c>
      <c r="V47" s="357">
        <v>-0.13023952095808389</v>
      </c>
      <c r="W47" s="211"/>
      <c r="X47" s="357">
        <v>0.40447504302925985</v>
      </c>
      <c r="Y47" s="357">
        <v>-0.21813725490196079</v>
      </c>
      <c r="Z47" s="357">
        <v>-1.4106583072100332E-2</v>
      </c>
      <c r="AA47" s="357">
        <v>-4.1335453100158959E-2</v>
      </c>
      <c r="AB47" s="211"/>
      <c r="AC47" s="21">
        <v>3.6484245439469376E-2</v>
      </c>
      <c r="AD47" s="21">
        <v>2.5600000000000067E-2</v>
      </c>
      <c r="AE47" s="21">
        <v>-1.5600624024960652E-3</v>
      </c>
      <c r="AF47" s="21">
        <v>-0.12656250000000002</v>
      </c>
      <c r="AG47" s="211"/>
      <c r="AH47" s="21">
        <v>0.15921288014311274</v>
      </c>
      <c r="AI47" s="21">
        <v>4.0123456790123413E-2</v>
      </c>
      <c r="AJ47" s="21">
        <v>-0.15727002967359049</v>
      </c>
      <c r="AK47" s="21">
        <v>2.1126760563380254E-2</v>
      </c>
      <c r="AL47" s="211"/>
      <c r="AM47" s="21">
        <v>0.11896551724137927</v>
      </c>
      <c r="AN47" s="21">
        <v>-1.6949152542372836E-2</v>
      </c>
      <c r="AO47" s="21">
        <v>-4.2319749216300995E-2</v>
      </c>
      <c r="AP47" s="21">
        <v>-7.8559738134206247E-2</v>
      </c>
      <c r="AQ47" s="211"/>
      <c r="AR47" s="21">
        <v>0.1403197158081706</v>
      </c>
      <c r="AS47" s="21">
        <v>7.7881619937694158E-3</v>
      </c>
      <c r="AT47" s="138"/>
      <c r="AU47" s="21">
        <v>-7.7279752704791371E-2</v>
      </c>
      <c r="AV47" s="277"/>
      <c r="AW47" s="21">
        <v>-0.30318257956448913</v>
      </c>
      <c r="AX47" s="211"/>
    </row>
    <row r="48" spans="2:50" ht="13.9" customHeight="1">
      <c r="B48" s="20" t="s">
        <v>6</v>
      </c>
      <c r="C48" s="211"/>
      <c r="D48" s="66"/>
      <c r="E48" s="66"/>
      <c r="F48" s="66"/>
      <c r="G48" s="66"/>
      <c r="H48" s="211">
        <v>-3.365556749015397E-2</v>
      </c>
      <c r="I48" s="66">
        <v>-2.3088023088023046E-2</v>
      </c>
      <c r="J48" s="66">
        <v>-0.11144130757800896</v>
      </c>
      <c r="K48" s="66">
        <v>-1.3274336283185861E-2</v>
      </c>
      <c r="L48" s="66">
        <v>-0.80152671755725191</v>
      </c>
      <c r="M48" s="211">
        <v>-0.23156724712856613</v>
      </c>
      <c r="N48" s="66">
        <v>9.0103397341211311E-2</v>
      </c>
      <c r="O48" s="66">
        <v>0.80434782608695654</v>
      </c>
      <c r="P48" s="66">
        <v>-5.9790732436472149E-3</v>
      </c>
      <c r="Q48" s="66">
        <v>3.0076923076923077</v>
      </c>
      <c r="R48" s="211">
        <v>0.44792671166827391</v>
      </c>
      <c r="S48" s="66">
        <v>-0.11788617886178865</v>
      </c>
      <c r="T48" s="66">
        <v>-0.36793327154772937</v>
      </c>
      <c r="U48" s="66">
        <v>4.5112781954887993E-3</v>
      </c>
      <c r="V48" s="66">
        <v>0.11516314779270642</v>
      </c>
      <c r="W48" s="211">
        <v>-0.14019314019314022</v>
      </c>
      <c r="X48" s="66">
        <v>0.25345622119815658</v>
      </c>
      <c r="Y48" s="66">
        <v>-6.4516129032258118E-2</v>
      </c>
      <c r="Z48" s="66">
        <v>-5.8383233532934176E-2</v>
      </c>
      <c r="AA48" s="66">
        <v>3.7865748709122293E-2</v>
      </c>
      <c r="AB48" s="211">
        <v>4.027885360185901E-2</v>
      </c>
      <c r="AC48" s="22">
        <v>-0.23406862745098034</v>
      </c>
      <c r="AD48" s="22">
        <v>4.7021943573668512E-3</v>
      </c>
      <c r="AE48" s="22">
        <v>1.7488076311605649E-2</v>
      </c>
      <c r="AF48" s="22">
        <v>-7.2968490878938641E-2</v>
      </c>
      <c r="AG48" s="211">
        <v>-8.2278481012658222E-2</v>
      </c>
      <c r="AH48" s="22">
        <v>3.6799999999999944E-2</v>
      </c>
      <c r="AI48" s="22">
        <v>5.1482059282371262E-2</v>
      </c>
      <c r="AJ48" s="22">
        <v>-0.11250000000000004</v>
      </c>
      <c r="AK48" s="22">
        <v>3.7567084078711899E-2</v>
      </c>
      <c r="AL48" s="211">
        <v>2.0283975659229903E-3</v>
      </c>
      <c r="AM48" s="22">
        <v>1.5432098765431057E-3</v>
      </c>
      <c r="AN48" s="22">
        <v>-5.3412462908011826E-2</v>
      </c>
      <c r="AO48" s="22">
        <v>7.5704225352112742E-2</v>
      </c>
      <c r="AP48" s="22">
        <v>-2.931034482758621E-2</v>
      </c>
      <c r="AQ48" s="211">
        <v>-3.6437246963563208E-3</v>
      </c>
      <c r="AR48" s="22">
        <v>-1.0785824345146411E-2</v>
      </c>
      <c r="AS48" s="22">
        <v>1.4106583072100332E-2</v>
      </c>
      <c r="AT48" s="139"/>
      <c r="AU48" s="22">
        <v>-2.2913256955810146E-2</v>
      </c>
      <c r="AV48" s="278"/>
      <c r="AW48" s="22">
        <v>-0.261101243339254</v>
      </c>
      <c r="AX48" s="211">
        <v>-6.4607882974400677E-2</v>
      </c>
    </row>
    <row r="49" spans="2:50" ht="13.9" customHeight="1">
      <c r="B49" s="34" t="s">
        <v>237</v>
      </c>
      <c r="C49" s="210">
        <v>2780</v>
      </c>
      <c r="D49" s="89">
        <v>689</v>
      </c>
      <c r="E49" s="89">
        <v>672</v>
      </c>
      <c r="F49" s="89">
        <v>654</v>
      </c>
      <c r="G49" s="89">
        <v>661</v>
      </c>
      <c r="H49" s="210">
        <v>2676</v>
      </c>
      <c r="I49" s="89">
        <v>695</v>
      </c>
      <c r="J49" s="89">
        <v>687</v>
      </c>
      <c r="K49" s="89">
        <v>667</v>
      </c>
      <c r="L49" s="89">
        <v>639</v>
      </c>
      <c r="M49" s="210">
        <v>2688</v>
      </c>
      <c r="N49" s="89">
        <v>669</v>
      </c>
      <c r="O49" s="89">
        <v>656</v>
      </c>
      <c r="P49" s="89">
        <v>657</v>
      </c>
      <c r="Q49" s="89">
        <v>615</v>
      </c>
      <c r="R49" s="210">
        <v>2597</v>
      </c>
      <c r="S49" s="89">
        <v>647</v>
      </c>
      <c r="T49" s="89">
        <v>680</v>
      </c>
      <c r="U49" s="89">
        <v>663</v>
      </c>
      <c r="V49" s="89">
        <v>660</v>
      </c>
      <c r="W49" s="210">
        <v>2650</v>
      </c>
      <c r="X49" s="106">
        <v>671</v>
      </c>
      <c r="Y49" s="89">
        <v>649</v>
      </c>
      <c r="Z49" s="89">
        <v>640</v>
      </c>
      <c r="AA49" s="89">
        <v>636</v>
      </c>
      <c r="AB49" s="210">
        <v>2596</v>
      </c>
      <c r="AC49" s="25">
        <v>674</v>
      </c>
      <c r="AD49" s="25">
        <v>645</v>
      </c>
      <c r="AE49" s="89">
        <v>643</v>
      </c>
      <c r="AF49" s="89">
        <v>618</v>
      </c>
      <c r="AG49" s="210">
        <v>2580</v>
      </c>
      <c r="AH49" s="25">
        <v>654</v>
      </c>
      <c r="AI49" s="25">
        <v>681</v>
      </c>
      <c r="AJ49" s="89">
        <v>646</v>
      </c>
      <c r="AK49" s="19">
        <v>637</v>
      </c>
      <c r="AL49" s="210">
        <v>2618</v>
      </c>
      <c r="AM49" s="25">
        <v>649</v>
      </c>
      <c r="AN49" s="25">
        <v>633</v>
      </c>
      <c r="AO49" s="89">
        <v>638</v>
      </c>
      <c r="AP49" s="19">
        <v>656</v>
      </c>
      <c r="AQ49" s="210">
        <v>2576</v>
      </c>
      <c r="AR49" s="25">
        <v>648</v>
      </c>
      <c r="AS49" s="25">
        <v>643</v>
      </c>
      <c r="AT49" s="137">
        <v>1291</v>
      </c>
      <c r="AU49" s="89">
        <v>641</v>
      </c>
      <c r="AV49" s="276">
        <v>1932</v>
      </c>
      <c r="AW49" s="19">
        <v>667</v>
      </c>
      <c r="AX49" s="210">
        <v>2599</v>
      </c>
    </row>
    <row r="50" spans="2:50" ht="13.9" customHeight="1">
      <c r="B50" s="20" t="s">
        <v>5</v>
      </c>
      <c r="C50" s="211"/>
      <c r="D50" s="357"/>
      <c r="E50" s="357">
        <v>-2.4673439767779359E-2</v>
      </c>
      <c r="F50" s="357">
        <v>-2.6785714285714302E-2</v>
      </c>
      <c r="G50" s="357">
        <v>1.0703363914372988E-2</v>
      </c>
      <c r="H50" s="211"/>
      <c r="I50" s="357">
        <v>5.1437216338880543E-2</v>
      </c>
      <c r="J50" s="357">
        <v>-1.151079136690647E-2</v>
      </c>
      <c r="K50" s="357">
        <v>-2.911208151382827E-2</v>
      </c>
      <c r="L50" s="357">
        <v>-4.1979010494752611E-2</v>
      </c>
      <c r="M50" s="211"/>
      <c r="N50" s="357">
        <v>4.6948356807511749E-2</v>
      </c>
      <c r="O50" s="357">
        <v>-1.9431988041853532E-2</v>
      </c>
      <c r="P50" s="357">
        <v>1.5243902439023849E-3</v>
      </c>
      <c r="Q50" s="357">
        <v>-6.3926940639269403E-2</v>
      </c>
      <c r="R50" s="211"/>
      <c r="S50" s="357">
        <v>5.2032520325203224E-2</v>
      </c>
      <c r="T50" s="357">
        <v>5.1004636785162205E-2</v>
      </c>
      <c r="U50" s="357">
        <v>-2.5000000000000022E-2</v>
      </c>
      <c r="V50" s="357">
        <v>-4.5248868778280382E-3</v>
      </c>
      <c r="W50" s="211"/>
      <c r="X50" s="357">
        <v>1.6666666666666607E-2</v>
      </c>
      <c r="Y50" s="357">
        <v>-3.2786885245901676E-2</v>
      </c>
      <c r="Z50" s="357">
        <v>-1.3867488443759624E-2</v>
      </c>
      <c r="AA50" s="357">
        <v>-6.2499999999999778E-3</v>
      </c>
      <c r="AB50" s="211"/>
      <c r="AC50" s="21">
        <v>5.9748427672956073E-2</v>
      </c>
      <c r="AD50" s="21">
        <v>-4.3026706231453993E-2</v>
      </c>
      <c r="AE50" s="21">
        <v>-3.1007751937984773E-3</v>
      </c>
      <c r="AF50" s="21">
        <v>-3.8880248833592534E-2</v>
      </c>
      <c r="AG50" s="211"/>
      <c r="AH50" s="21">
        <v>5.8252427184465994E-2</v>
      </c>
      <c r="AI50" s="21">
        <v>4.1284403669724856E-2</v>
      </c>
      <c r="AJ50" s="21">
        <v>-5.1395007342143861E-2</v>
      </c>
      <c r="AK50" s="21">
        <v>-1.3931888544891691E-2</v>
      </c>
      <c r="AL50" s="211"/>
      <c r="AM50" s="21">
        <v>1.8838304552590168E-2</v>
      </c>
      <c r="AN50" s="21">
        <v>-2.4653312788906034E-2</v>
      </c>
      <c r="AO50" s="21">
        <v>7.89889415481837E-3</v>
      </c>
      <c r="AP50" s="21">
        <v>2.8213166144200663E-2</v>
      </c>
      <c r="AQ50" s="211"/>
      <c r="AR50" s="21">
        <v>-1.2195121951219523E-2</v>
      </c>
      <c r="AS50" s="21">
        <v>-7.7160493827160836E-3</v>
      </c>
      <c r="AT50" s="138"/>
      <c r="AU50" s="21">
        <v>-3.1104199066873672E-3</v>
      </c>
      <c r="AV50" s="277"/>
      <c r="AW50" s="21">
        <v>4.0561622464898583E-2</v>
      </c>
      <c r="AX50" s="211"/>
    </row>
    <row r="51" spans="2:50" ht="13.9" customHeight="1">
      <c r="B51" s="20" t="s">
        <v>6</v>
      </c>
      <c r="C51" s="211"/>
      <c r="D51" s="66"/>
      <c r="E51" s="66"/>
      <c r="F51" s="66"/>
      <c r="G51" s="66"/>
      <c r="H51" s="211">
        <v>-3.7410071942446055E-2</v>
      </c>
      <c r="I51" s="66">
        <v>8.7082728592162706E-3</v>
      </c>
      <c r="J51" s="66">
        <v>2.2321428571428603E-2</v>
      </c>
      <c r="K51" s="66">
        <v>1.9877675840978659E-2</v>
      </c>
      <c r="L51" s="66">
        <v>-3.3282904689863835E-2</v>
      </c>
      <c r="M51" s="211">
        <v>4.484304932735439E-3</v>
      </c>
      <c r="N51" s="66">
        <v>-3.7410071942446055E-2</v>
      </c>
      <c r="O51" s="66">
        <v>-4.5123726346433801E-2</v>
      </c>
      <c r="P51" s="66">
        <v>-1.4992503748125885E-2</v>
      </c>
      <c r="Q51" s="66">
        <v>-3.7558685446009377E-2</v>
      </c>
      <c r="R51" s="211">
        <v>-3.385416666666663E-2</v>
      </c>
      <c r="S51" s="66">
        <v>-3.2884902840059738E-2</v>
      </c>
      <c r="T51" s="66">
        <v>3.6585365853658569E-2</v>
      </c>
      <c r="U51" s="66">
        <v>9.1324200913243114E-3</v>
      </c>
      <c r="V51" s="66">
        <v>7.3170731707317138E-2</v>
      </c>
      <c r="W51" s="211">
        <v>2.0408163265306145E-2</v>
      </c>
      <c r="X51" s="66">
        <v>3.7094281298299947E-2</v>
      </c>
      <c r="Y51" s="66">
        <v>-4.5588235294117596E-2</v>
      </c>
      <c r="Z51" s="66">
        <v>-3.4690799396681737E-2</v>
      </c>
      <c r="AA51" s="66">
        <v>-3.6363636363636376E-2</v>
      </c>
      <c r="AB51" s="211">
        <v>-2.0377358490565989E-2</v>
      </c>
      <c r="AC51" s="22">
        <v>4.4709388971684305E-3</v>
      </c>
      <c r="AD51" s="22">
        <v>-6.1633281972265364E-3</v>
      </c>
      <c r="AE51" s="22">
        <v>4.6874999999999556E-3</v>
      </c>
      <c r="AF51" s="22">
        <v>-2.8301886792452824E-2</v>
      </c>
      <c r="AG51" s="211">
        <v>-6.1633281972265364E-3</v>
      </c>
      <c r="AH51" s="22">
        <v>-2.9673590504451064E-2</v>
      </c>
      <c r="AI51" s="22">
        <v>5.5813953488372148E-2</v>
      </c>
      <c r="AJ51" s="22">
        <v>4.6656298600311619E-3</v>
      </c>
      <c r="AK51" s="22">
        <v>3.07443365695792E-2</v>
      </c>
      <c r="AL51" s="211">
        <v>1.4728682170542573E-2</v>
      </c>
      <c r="AM51" s="22">
        <v>-7.6452599388379117E-3</v>
      </c>
      <c r="AN51" s="22">
        <v>-7.0484581497797349E-2</v>
      </c>
      <c r="AO51" s="22">
        <v>-1.2383900928792602E-2</v>
      </c>
      <c r="AP51" s="22">
        <v>2.982731554160134E-2</v>
      </c>
      <c r="AQ51" s="211">
        <v>-1.6042780748663055E-2</v>
      </c>
      <c r="AR51" s="22">
        <v>-1.5408320493066618E-3</v>
      </c>
      <c r="AS51" s="22">
        <v>1.579778830963674E-2</v>
      </c>
      <c r="AT51" s="139"/>
      <c r="AU51" s="22">
        <v>4.7021943573668512E-3</v>
      </c>
      <c r="AV51" s="278"/>
      <c r="AW51" s="22">
        <v>1.67682926829269E-2</v>
      </c>
      <c r="AX51" s="211">
        <v>8.9285714285713969E-3</v>
      </c>
    </row>
    <row r="52" spans="2:50" ht="13.9" customHeight="1">
      <c r="B52" s="34" t="s">
        <v>272</v>
      </c>
      <c r="C52" s="219">
        <v>0.63426876568560342</v>
      </c>
      <c r="D52" s="164">
        <v>0.63914656771799627</v>
      </c>
      <c r="E52" s="164">
        <v>0.63516068052930053</v>
      </c>
      <c r="F52" s="164">
        <v>0.61639962299717244</v>
      </c>
      <c r="G52" s="164">
        <v>0.63132760267430754</v>
      </c>
      <c r="H52" s="219">
        <v>0.63053722902921772</v>
      </c>
      <c r="I52" s="164">
        <v>0.65380997177798683</v>
      </c>
      <c r="J52" s="164">
        <v>0.64567669172932329</v>
      </c>
      <c r="K52" s="164">
        <v>0.63950143815915628</v>
      </c>
      <c r="L52" s="164">
        <v>0.6228070175438597</v>
      </c>
      <c r="M52" s="219">
        <v>0.64061010486177317</v>
      </c>
      <c r="N52" s="164">
        <v>0.64141898370086292</v>
      </c>
      <c r="O52" s="164">
        <v>0.64313725490196083</v>
      </c>
      <c r="P52" s="164">
        <v>0.64097560975609758</v>
      </c>
      <c r="Q52" s="164">
        <v>0.62436548223350252</v>
      </c>
      <c r="R52" s="219">
        <v>0.63761355266388409</v>
      </c>
      <c r="S52" s="164">
        <v>0.63555992141453832</v>
      </c>
      <c r="T52" s="164">
        <v>0.65134099616858232</v>
      </c>
      <c r="U52" s="164">
        <v>0.6362763915547025</v>
      </c>
      <c r="V52" s="164">
        <v>0.62559241706161139</v>
      </c>
      <c r="W52" s="219">
        <v>0.63717239721086805</v>
      </c>
      <c r="X52" s="164">
        <v>0.63662239089184058</v>
      </c>
      <c r="Y52" s="164">
        <v>0.62463907603464874</v>
      </c>
      <c r="Z52" s="164">
        <v>0.61716489874638381</v>
      </c>
      <c r="AA52" s="164">
        <v>0.6045627376425855</v>
      </c>
      <c r="AB52" s="219">
        <v>0.62075561932089907</v>
      </c>
      <c r="AC52" s="155">
        <v>0.61496350364963503</v>
      </c>
      <c r="AD52" s="155">
        <v>0.60449859418931584</v>
      </c>
      <c r="AE52" s="155">
        <v>0.59208103130755063</v>
      </c>
      <c r="AF52" s="155">
        <v>0.58467360454115425</v>
      </c>
      <c r="AG52" s="219">
        <v>0.59916395726892713</v>
      </c>
      <c r="AH52" s="155">
        <v>0.58865886588658867</v>
      </c>
      <c r="AI52" s="155">
        <v>0.60265486725663719</v>
      </c>
      <c r="AJ52" s="155">
        <v>0.59594095940959413</v>
      </c>
      <c r="AK52" s="155">
        <v>0.58601655933762653</v>
      </c>
      <c r="AL52" s="219">
        <v>0.59338168631006349</v>
      </c>
      <c r="AM52" s="155">
        <v>0.59486709440879926</v>
      </c>
      <c r="AN52" s="155">
        <v>0.58883720930232553</v>
      </c>
      <c r="AO52" s="155">
        <v>0.57737556561085968</v>
      </c>
      <c r="AP52" s="155">
        <v>0.61251167133520079</v>
      </c>
      <c r="AQ52" s="219">
        <v>0.59327498848456928</v>
      </c>
      <c r="AR52" s="155">
        <v>0.58855585831062673</v>
      </c>
      <c r="AS52" s="155">
        <v>0.58348457350272231</v>
      </c>
      <c r="AT52" s="156">
        <v>0.58601906491148437</v>
      </c>
      <c r="AU52" s="155">
        <v>0.57695769576957701</v>
      </c>
      <c r="AV52" s="280">
        <v>0.5829812914906457</v>
      </c>
      <c r="AW52" s="155">
        <v>0.59874326750448836</v>
      </c>
      <c r="AX52" s="219">
        <v>0.58694670280036132</v>
      </c>
    </row>
    <row r="53" spans="2:50" ht="13.9" customHeight="1">
      <c r="B53" s="20"/>
      <c r="C53" s="211"/>
      <c r="D53" s="66"/>
      <c r="E53" s="66"/>
      <c r="F53" s="66"/>
      <c r="G53" s="66"/>
      <c r="H53" s="211"/>
      <c r="I53" s="66"/>
      <c r="J53" s="66"/>
      <c r="K53" s="66"/>
      <c r="L53" s="359"/>
      <c r="M53" s="211"/>
      <c r="N53" s="66"/>
      <c r="O53" s="66"/>
      <c r="P53" s="66"/>
      <c r="Q53" s="359"/>
      <c r="R53" s="211"/>
      <c r="S53" s="66"/>
      <c r="T53" s="66"/>
      <c r="U53" s="66"/>
      <c r="V53" s="66"/>
      <c r="W53" s="211"/>
      <c r="X53" s="66"/>
      <c r="Y53" s="66"/>
      <c r="Z53" s="66"/>
      <c r="AA53" s="66"/>
      <c r="AB53" s="211"/>
      <c r="AC53" s="22"/>
      <c r="AD53" s="22"/>
      <c r="AE53" s="22"/>
      <c r="AF53" s="22"/>
      <c r="AG53" s="211"/>
      <c r="AH53" s="22"/>
      <c r="AI53" s="22"/>
      <c r="AJ53" s="22"/>
      <c r="AK53" s="22"/>
      <c r="AL53" s="211"/>
      <c r="AM53" s="22"/>
      <c r="AN53" s="22"/>
      <c r="AO53" s="22"/>
      <c r="AP53" s="22"/>
      <c r="AQ53" s="211"/>
      <c r="AR53" s="22"/>
      <c r="AS53" s="22"/>
      <c r="AT53" s="139"/>
      <c r="AU53" s="22"/>
      <c r="AV53" s="278"/>
      <c r="AW53" s="22"/>
      <c r="AX53" s="211"/>
    </row>
    <row r="54" spans="2:50" ht="13.9" customHeight="1">
      <c r="B54" s="12" t="s">
        <v>48</v>
      </c>
      <c r="C54" s="210">
        <v>445</v>
      </c>
      <c r="D54" s="355">
        <v>92</v>
      </c>
      <c r="E54" s="355">
        <v>82</v>
      </c>
      <c r="F54" s="355">
        <v>107</v>
      </c>
      <c r="G54" s="355">
        <v>122</v>
      </c>
      <c r="H54" s="210">
        <v>403</v>
      </c>
      <c r="I54" s="355">
        <v>121</v>
      </c>
      <c r="J54" s="355">
        <v>119</v>
      </c>
      <c r="K54" s="355">
        <v>113</v>
      </c>
      <c r="L54" s="355">
        <v>117</v>
      </c>
      <c r="M54" s="210">
        <v>470</v>
      </c>
      <c r="N54" s="355">
        <v>106</v>
      </c>
      <c r="O54" s="355">
        <v>141</v>
      </c>
      <c r="P54" s="355">
        <v>207</v>
      </c>
      <c r="Q54" s="355">
        <v>115</v>
      </c>
      <c r="R54" s="210">
        <v>569</v>
      </c>
      <c r="S54" s="355">
        <v>49</v>
      </c>
      <c r="T54" s="355">
        <v>163</v>
      </c>
      <c r="U54" s="355">
        <v>91</v>
      </c>
      <c r="V54" s="355">
        <v>100</v>
      </c>
      <c r="W54" s="210">
        <v>403</v>
      </c>
      <c r="X54" s="355">
        <v>68</v>
      </c>
      <c r="Y54" s="355">
        <v>90</v>
      </c>
      <c r="Z54" s="355">
        <v>110</v>
      </c>
      <c r="AA54" s="355">
        <v>74</v>
      </c>
      <c r="AB54" s="210">
        <v>342</v>
      </c>
      <c r="AC54" s="59">
        <v>94</v>
      </c>
      <c r="AD54" s="59">
        <v>76</v>
      </c>
      <c r="AE54" s="59">
        <v>79</v>
      </c>
      <c r="AF54" s="59">
        <v>83</v>
      </c>
      <c r="AG54" s="210">
        <v>332</v>
      </c>
      <c r="AH54" s="59">
        <v>76</v>
      </c>
      <c r="AI54" s="59">
        <v>71</v>
      </c>
      <c r="AJ54" s="59">
        <v>59</v>
      </c>
      <c r="AK54" s="19">
        <v>50</v>
      </c>
      <c r="AL54" s="210">
        <v>256</v>
      </c>
      <c r="AM54" s="59">
        <v>52</v>
      </c>
      <c r="AN54" s="59">
        <v>70</v>
      </c>
      <c r="AO54" s="59">
        <v>67</v>
      </c>
      <c r="AP54" s="19">
        <v>61</v>
      </c>
      <c r="AQ54" s="210">
        <v>250</v>
      </c>
      <c r="AR54" s="59">
        <v>46</v>
      </c>
      <c r="AS54" s="59">
        <v>101</v>
      </c>
      <c r="AT54" s="137">
        <v>147</v>
      </c>
      <c r="AU54" s="59">
        <v>73</v>
      </c>
      <c r="AV54" s="276">
        <v>220</v>
      </c>
      <c r="AW54" s="19">
        <v>59</v>
      </c>
      <c r="AX54" s="210">
        <v>279</v>
      </c>
    </row>
    <row r="55" spans="2:50" ht="13.9" customHeight="1">
      <c r="B55" s="20" t="s">
        <v>5</v>
      </c>
      <c r="C55" s="211"/>
      <c r="D55" s="357"/>
      <c r="E55" s="357">
        <v>-0.10869565217391308</v>
      </c>
      <c r="F55" s="357">
        <v>0.30487804878048785</v>
      </c>
      <c r="G55" s="357">
        <v>0.14018691588785037</v>
      </c>
      <c r="H55" s="211"/>
      <c r="I55" s="357">
        <v>-8.1967213114754189E-3</v>
      </c>
      <c r="J55" s="357">
        <v>-1.6528925619834656E-2</v>
      </c>
      <c r="K55" s="357">
        <v>-5.0420168067226934E-2</v>
      </c>
      <c r="L55" s="357">
        <v>3.539823008849563E-2</v>
      </c>
      <c r="M55" s="211"/>
      <c r="N55" s="357">
        <v>-9.4017094017094016E-2</v>
      </c>
      <c r="O55" s="357">
        <v>0.33018867924528306</v>
      </c>
      <c r="P55" s="357">
        <v>0.46808510638297873</v>
      </c>
      <c r="Q55" s="357">
        <v>-0.44444444444444442</v>
      </c>
      <c r="R55" s="211"/>
      <c r="S55" s="357">
        <v>-0.57391304347826089</v>
      </c>
      <c r="T55" s="357">
        <v>2.3265306122448979</v>
      </c>
      <c r="U55" s="357">
        <v>-0.44171779141104295</v>
      </c>
      <c r="V55" s="357">
        <v>9.8901098901098994E-2</v>
      </c>
      <c r="W55" s="211"/>
      <c r="X55" s="357">
        <v>-0.31999999999999995</v>
      </c>
      <c r="Y55" s="357">
        <v>0.32352941176470584</v>
      </c>
      <c r="Z55" s="357">
        <v>0.22222222222222232</v>
      </c>
      <c r="AA55" s="357">
        <v>-0.32727272727272727</v>
      </c>
      <c r="AB55" s="211"/>
      <c r="AC55" s="21">
        <v>0.27027027027027017</v>
      </c>
      <c r="AD55" s="21">
        <v>-0.19148936170212771</v>
      </c>
      <c r="AE55" s="21">
        <v>3.9473684210526327E-2</v>
      </c>
      <c r="AF55" s="21">
        <v>5.0632911392405111E-2</v>
      </c>
      <c r="AG55" s="211"/>
      <c r="AH55" s="21">
        <v>-8.4337349397590411E-2</v>
      </c>
      <c r="AI55" s="21">
        <v>-6.5789473684210509E-2</v>
      </c>
      <c r="AJ55" s="21">
        <v>-0.16901408450704225</v>
      </c>
      <c r="AK55" s="21">
        <v>-0.15254237288135597</v>
      </c>
      <c r="AL55" s="211"/>
      <c r="AM55" s="21">
        <v>4.0000000000000036E-2</v>
      </c>
      <c r="AN55" s="21">
        <v>0.34615384615384626</v>
      </c>
      <c r="AO55" s="21">
        <v>-4.2857142857142816E-2</v>
      </c>
      <c r="AP55" s="21">
        <v>-8.9552238805970186E-2</v>
      </c>
      <c r="AQ55" s="211"/>
      <c r="AR55" s="21">
        <v>-0.24590163934426235</v>
      </c>
      <c r="AS55" s="21">
        <v>1.1956521739130435</v>
      </c>
      <c r="AT55" s="138"/>
      <c r="AU55" s="21">
        <v>-0.27722772277227725</v>
      </c>
      <c r="AV55" s="277"/>
      <c r="AW55" s="21">
        <v>-0.19178082191780821</v>
      </c>
      <c r="AX55" s="211"/>
    </row>
    <row r="56" spans="2:50" ht="13.9" customHeight="1">
      <c r="B56" s="20" t="s">
        <v>6</v>
      </c>
      <c r="C56" s="211"/>
      <c r="D56" s="66"/>
      <c r="E56" s="66"/>
      <c r="F56" s="66"/>
      <c r="G56" s="66"/>
      <c r="H56" s="211">
        <v>-9.4382022471910076E-2</v>
      </c>
      <c r="I56" s="66">
        <v>0.31521739130434789</v>
      </c>
      <c r="J56" s="66">
        <v>0.45121951219512191</v>
      </c>
      <c r="K56" s="66">
        <v>5.6074766355140193E-2</v>
      </c>
      <c r="L56" s="66">
        <v>-4.0983606557377095E-2</v>
      </c>
      <c r="M56" s="211">
        <v>0.16625310173697261</v>
      </c>
      <c r="N56" s="66">
        <v>-0.12396694214876036</v>
      </c>
      <c r="O56" s="66">
        <v>0.18487394957983194</v>
      </c>
      <c r="P56" s="66">
        <v>0.83185840707964598</v>
      </c>
      <c r="Q56" s="66">
        <v>-1.7094017094017144E-2</v>
      </c>
      <c r="R56" s="211">
        <v>0.21063829787234045</v>
      </c>
      <c r="S56" s="66">
        <v>-0.53773584905660377</v>
      </c>
      <c r="T56" s="66">
        <v>0.15602836879432624</v>
      </c>
      <c r="U56" s="66">
        <v>-0.56038647342995174</v>
      </c>
      <c r="V56" s="66">
        <v>-0.13043478260869568</v>
      </c>
      <c r="W56" s="211">
        <v>-0.29173989455184535</v>
      </c>
      <c r="X56" s="66">
        <v>0.38775510204081631</v>
      </c>
      <c r="Y56" s="66">
        <v>-0.44785276073619629</v>
      </c>
      <c r="Z56" s="66">
        <v>0.20879120879120872</v>
      </c>
      <c r="AA56" s="66">
        <v>-0.26</v>
      </c>
      <c r="AB56" s="211">
        <v>-0.15136476426799006</v>
      </c>
      <c r="AC56" s="22">
        <v>0.38235294117647056</v>
      </c>
      <c r="AD56" s="22">
        <v>-0.15555555555555556</v>
      </c>
      <c r="AE56" s="22">
        <v>-0.28181818181818186</v>
      </c>
      <c r="AF56" s="22">
        <v>0.12162162162162171</v>
      </c>
      <c r="AG56" s="211">
        <v>-2.9239766081871399E-2</v>
      </c>
      <c r="AH56" s="22">
        <v>-0.19148936170212771</v>
      </c>
      <c r="AI56" s="22">
        <v>-6.5789473684210509E-2</v>
      </c>
      <c r="AJ56" s="22">
        <v>-0.25316455696202533</v>
      </c>
      <c r="AK56" s="22">
        <v>-0.39759036144578308</v>
      </c>
      <c r="AL56" s="211">
        <v>-0.22891566265060237</v>
      </c>
      <c r="AM56" s="22">
        <v>-0.31578947368421051</v>
      </c>
      <c r="AN56" s="22">
        <v>-1.4084507042253502E-2</v>
      </c>
      <c r="AO56" s="22">
        <v>0.13559322033898313</v>
      </c>
      <c r="AP56" s="22">
        <v>0.21999999999999997</v>
      </c>
      <c r="AQ56" s="211">
        <v>-2.34375E-2</v>
      </c>
      <c r="AR56" s="22">
        <v>-0.11538461538461542</v>
      </c>
      <c r="AS56" s="22">
        <v>0.44285714285714284</v>
      </c>
      <c r="AT56" s="139"/>
      <c r="AU56" s="22">
        <v>8.9552238805970186E-2</v>
      </c>
      <c r="AV56" s="278"/>
      <c r="AW56" s="22">
        <v>-3.2786885245901676E-2</v>
      </c>
      <c r="AX56" s="211">
        <v>0.1160000000000001</v>
      </c>
    </row>
    <row r="57" spans="2:50" ht="13.9" customHeight="1">
      <c r="B57" s="12" t="s">
        <v>116</v>
      </c>
      <c r="C57" s="210">
        <v>399</v>
      </c>
      <c r="D57" s="355">
        <v>102</v>
      </c>
      <c r="E57" s="355">
        <v>97</v>
      </c>
      <c r="F57" s="355">
        <v>109</v>
      </c>
      <c r="G57" s="355">
        <v>88</v>
      </c>
      <c r="H57" s="210">
        <v>396</v>
      </c>
      <c r="I57" s="355">
        <v>89</v>
      </c>
      <c r="J57" s="355">
        <v>66</v>
      </c>
      <c r="K57" s="355">
        <v>81</v>
      </c>
      <c r="L57" s="61">
        <v>-49</v>
      </c>
      <c r="M57" s="210">
        <v>187</v>
      </c>
      <c r="N57" s="355">
        <v>104</v>
      </c>
      <c r="O57" s="355">
        <v>172</v>
      </c>
      <c r="P57" s="355">
        <v>58</v>
      </c>
      <c r="Q57" s="61">
        <v>47</v>
      </c>
      <c r="R57" s="210">
        <v>381</v>
      </c>
      <c r="S57" s="355">
        <v>95</v>
      </c>
      <c r="T57" s="355">
        <v>72</v>
      </c>
      <c r="U57" s="355">
        <v>55</v>
      </c>
      <c r="V57" s="61">
        <v>40</v>
      </c>
      <c r="W57" s="210">
        <v>262</v>
      </c>
      <c r="X57" s="355">
        <v>125</v>
      </c>
      <c r="Y57" s="355">
        <v>79</v>
      </c>
      <c r="Z57" s="355">
        <v>61</v>
      </c>
      <c r="AA57" s="61">
        <v>78</v>
      </c>
      <c r="AB57" s="210">
        <v>343</v>
      </c>
      <c r="AC57" s="59">
        <v>74</v>
      </c>
      <c r="AD57" s="59">
        <v>74</v>
      </c>
      <c r="AE57" s="59">
        <v>74</v>
      </c>
      <c r="AF57" s="61">
        <v>57</v>
      </c>
      <c r="AG57" s="210">
        <v>279</v>
      </c>
      <c r="AH57" s="59">
        <v>78</v>
      </c>
      <c r="AI57" s="59">
        <v>86</v>
      </c>
      <c r="AJ57" s="59">
        <v>59</v>
      </c>
      <c r="AK57" s="19">
        <v>71</v>
      </c>
      <c r="AL57" s="210">
        <v>294</v>
      </c>
      <c r="AM57" s="59">
        <v>87</v>
      </c>
      <c r="AN57" s="59">
        <v>72</v>
      </c>
      <c r="AO57" s="59">
        <v>68</v>
      </c>
      <c r="AP57" s="19">
        <v>47</v>
      </c>
      <c r="AQ57" s="210">
        <v>274</v>
      </c>
      <c r="AR57" s="59">
        <v>79</v>
      </c>
      <c r="AS57" s="59">
        <v>66</v>
      </c>
      <c r="AT57" s="137">
        <v>145</v>
      </c>
      <c r="AU57" s="59">
        <v>60</v>
      </c>
      <c r="AV57" s="276">
        <v>205</v>
      </c>
      <c r="AW57" s="19">
        <v>19</v>
      </c>
      <c r="AX57" s="210">
        <v>224</v>
      </c>
    </row>
    <row r="58" spans="2:50" ht="13.9" customHeight="1">
      <c r="B58" s="20" t="s">
        <v>5</v>
      </c>
      <c r="C58" s="211"/>
      <c r="D58" s="357"/>
      <c r="E58" s="357">
        <v>-4.9019607843137303E-2</v>
      </c>
      <c r="F58" s="357">
        <v>0.12371134020618557</v>
      </c>
      <c r="G58" s="357">
        <v>-0.19266055045871555</v>
      </c>
      <c r="H58" s="211"/>
      <c r="I58" s="357">
        <v>1.1363636363636465E-2</v>
      </c>
      <c r="J58" s="357">
        <v>-0.2584269662921348</v>
      </c>
      <c r="K58" s="357">
        <v>0.22727272727272729</v>
      </c>
      <c r="L58" s="359" t="s">
        <v>23</v>
      </c>
      <c r="M58" s="211"/>
      <c r="N58" s="359" t="s">
        <v>23</v>
      </c>
      <c r="O58" s="357">
        <v>0.65384615384615374</v>
      </c>
      <c r="P58" s="357">
        <v>-0.66279069767441867</v>
      </c>
      <c r="Q58" s="357">
        <v>-0.18965517241379315</v>
      </c>
      <c r="R58" s="211"/>
      <c r="S58" s="357">
        <v>1.021276595744681</v>
      </c>
      <c r="T58" s="357">
        <v>-0.24210526315789471</v>
      </c>
      <c r="U58" s="357">
        <v>-0.23611111111111116</v>
      </c>
      <c r="V58" s="357">
        <v>-0.27272727272727271</v>
      </c>
      <c r="W58" s="211"/>
      <c r="X58" s="357">
        <v>2.125</v>
      </c>
      <c r="Y58" s="357">
        <v>-0.36799999999999999</v>
      </c>
      <c r="Z58" s="357">
        <v>-0.22784810126582278</v>
      </c>
      <c r="AA58" s="357">
        <v>0.27868852459016402</v>
      </c>
      <c r="AB58" s="211"/>
      <c r="AC58" s="21">
        <v>-5.1282051282051322E-2</v>
      </c>
      <c r="AD58" s="21">
        <v>0</v>
      </c>
      <c r="AE58" s="21">
        <v>0</v>
      </c>
      <c r="AF58" s="21">
        <v>-0.22972972972972971</v>
      </c>
      <c r="AG58" s="211"/>
      <c r="AH58" s="21">
        <v>0.36842105263157898</v>
      </c>
      <c r="AI58" s="21">
        <v>0.10256410256410264</v>
      </c>
      <c r="AJ58" s="21">
        <v>-0.31395348837209303</v>
      </c>
      <c r="AK58" s="21">
        <v>0.20338983050847448</v>
      </c>
      <c r="AL58" s="211"/>
      <c r="AM58" s="21">
        <v>0.22535211267605626</v>
      </c>
      <c r="AN58" s="21">
        <v>-0.17241379310344829</v>
      </c>
      <c r="AO58" s="21">
        <v>-5.555555555555558E-2</v>
      </c>
      <c r="AP58" s="21">
        <v>-0.30882352941176472</v>
      </c>
      <c r="AQ58" s="211"/>
      <c r="AR58" s="21">
        <v>0.68085106382978733</v>
      </c>
      <c r="AS58" s="21">
        <v>-0.16455696202531644</v>
      </c>
      <c r="AT58" s="138"/>
      <c r="AU58" s="21">
        <v>-9.0909090909090939E-2</v>
      </c>
      <c r="AV58" s="277"/>
      <c r="AW58" s="21">
        <v>-0.68333333333333335</v>
      </c>
      <c r="AX58" s="211"/>
    </row>
    <row r="59" spans="2:50" ht="13.9" customHeight="1">
      <c r="B59" s="20" t="s">
        <v>6</v>
      </c>
      <c r="C59" s="211"/>
      <c r="D59" s="66"/>
      <c r="E59" s="66"/>
      <c r="F59" s="66"/>
      <c r="G59" s="66"/>
      <c r="H59" s="211">
        <v>-7.5187969924812581E-3</v>
      </c>
      <c r="I59" s="66">
        <v>-0.12745098039215685</v>
      </c>
      <c r="J59" s="66">
        <v>-0.31958762886597936</v>
      </c>
      <c r="K59" s="66">
        <v>-0.25688073394495414</v>
      </c>
      <c r="L59" s="359" t="s">
        <v>23</v>
      </c>
      <c r="M59" s="211">
        <v>-0.52777777777777779</v>
      </c>
      <c r="N59" s="66">
        <v>0.1685393258426966</v>
      </c>
      <c r="O59" s="66">
        <v>1.606060606060606</v>
      </c>
      <c r="P59" s="66">
        <v>-0.28395061728395066</v>
      </c>
      <c r="Q59" s="359" t="s">
        <v>23</v>
      </c>
      <c r="R59" s="211">
        <v>1.0374331550802141</v>
      </c>
      <c r="S59" s="66">
        <v>-8.6538461538461564E-2</v>
      </c>
      <c r="T59" s="66">
        <v>-0.58139534883720922</v>
      </c>
      <c r="U59" s="66">
        <v>-5.1724137931034475E-2</v>
      </c>
      <c r="V59" s="66">
        <v>-0.14893617021276595</v>
      </c>
      <c r="W59" s="211">
        <v>-0.31233595800524938</v>
      </c>
      <c r="X59" s="66">
        <v>0.31578947368421062</v>
      </c>
      <c r="Y59" s="66">
        <v>9.7222222222222321E-2</v>
      </c>
      <c r="Z59" s="66">
        <v>0.10909090909090913</v>
      </c>
      <c r="AA59" s="66">
        <v>0.95</v>
      </c>
      <c r="AB59" s="211">
        <v>0.30916030534351147</v>
      </c>
      <c r="AC59" s="22">
        <v>-0.40800000000000003</v>
      </c>
      <c r="AD59" s="22">
        <v>-6.3291139240506333E-2</v>
      </c>
      <c r="AE59" s="22">
        <v>0.21311475409836067</v>
      </c>
      <c r="AF59" s="22">
        <v>-0.26923076923076927</v>
      </c>
      <c r="AG59" s="211">
        <v>-0.1865889212827988</v>
      </c>
      <c r="AH59" s="22">
        <v>5.4054054054053946E-2</v>
      </c>
      <c r="AI59" s="22">
        <v>0.16216216216216206</v>
      </c>
      <c r="AJ59" s="22">
        <v>-0.20270270270270274</v>
      </c>
      <c r="AK59" s="22">
        <v>0.2456140350877194</v>
      </c>
      <c r="AL59" s="211">
        <v>5.3763440860215006E-2</v>
      </c>
      <c r="AM59" s="22">
        <v>0.11538461538461542</v>
      </c>
      <c r="AN59" s="22">
        <v>-0.16279069767441856</v>
      </c>
      <c r="AO59" s="22">
        <v>0.15254237288135597</v>
      </c>
      <c r="AP59" s="22">
        <v>-0.3380281690140845</v>
      </c>
      <c r="AQ59" s="211">
        <v>-6.8027210884353706E-2</v>
      </c>
      <c r="AR59" s="22">
        <v>-9.1954022988505746E-2</v>
      </c>
      <c r="AS59" s="22">
        <v>-8.333333333333337E-2</v>
      </c>
      <c r="AT59" s="139"/>
      <c r="AU59" s="22">
        <v>-0.11764705882352944</v>
      </c>
      <c r="AV59" s="278"/>
      <c r="AW59" s="22">
        <v>-0.5957446808510638</v>
      </c>
      <c r="AX59" s="211">
        <v>-0.18248175182481752</v>
      </c>
    </row>
    <row r="60" spans="2:50" ht="13.9" customHeight="1">
      <c r="B60" s="12" t="s">
        <v>443</v>
      </c>
      <c r="C60" s="367">
        <v>0</v>
      </c>
      <c r="D60" s="368">
        <v>0</v>
      </c>
      <c r="E60" s="368">
        <v>0</v>
      </c>
      <c r="F60" s="368">
        <v>0</v>
      </c>
      <c r="G60" s="368">
        <v>0</v>
      </c>
      <c r="H60" s="367">
        <v>0</v>
      </c>
      <c r="I60" s="368">
        <v>0</v>
      </c>
      <c r="J60" s="368">
        <v>0</v>
      </c>
      <c r="K60" s="368">
        <v>0</v>
      </c>
      <c r="L60" s="368">
        <v>0</v>
      </c>
      <c r="M60" s="367">
        <v>0</v>
      </c>
      <c r="N60" s="368">
        <v>0</v>
      </c>
      <c r="O60" s="368">
        <v>0</v>
      </c>
      <c r="P60" s="368">
        <v>0</v>
      </c>
      <c r="Q60" s="368">
        <v>0</v>
      </c>
      <c r="R60" s="367">
        <v>0</v>
      </c>
      <c r="S60" s="368">
        <v>0</v>
      </c>
      <c r="T60" s="368">
        <v>0</v>
      </c>
      <c r="U60" s="368">
        <v>0</v>
      </c>
      <c r="V60" s="368">
        <v>0</v>
      </c>
      <c r="W60" s="367">
        <v>0</v>
      </c>
      <c r="X60" s="368">
        <v>0</v>
      </c>
      <c r="Y60" s="368">
        <v>0</v>
      </c>
      <c r="Z60" s="368">
        <v>0</v>
      </c>
      <c r="AA60" s="368">
        <v>0</v>
      </c>
      <c r="AB60" s="367">
        <v>0</v>
      </c>
      <c r="AC60" s="368">
        <v>0</v>
      </c>
      <c r="AD60" s="368">
        <v>0</v>
      </c>
      <c r="AE60" s="368">
        <v>0</v>
      </c>
      <c r="AF60" s="368">
        <v>0</v>
      </c>
      <c r="AG60" s="367">
        <v>0</v>
      </c>
      <c r="AH60" s="368">
        <v>0</v>
      </c>
      <c r="AI60" s="368">
        <v>0</v>
      </c>
      <c r="AJ60" s="368">
        <v>0</v>
      </c>
      <c r="AK60" s="368">
        <v>0</v>
      </c>
      <c r="AL60" s="367">
        <v>0</v>
      </c>
      <c r="AM60" s="368">
        <v>0</v>
      </c>
      <c r="AN60" s="61">
        <v>3</v>
      </c>
      <c r="AO60" s="61">
        <v>3</v>
      </c>
      <c r="AP60" s="19">
        <v>2</v>
      </c>
      <c r="AQ60" s="210">
        <v>8</v>
      </c>
      <c r="AR60" s="368">
        <v>3</v>
      </c>
      <c r="AS60" s="61">
        <v>1</v>
      </c>
      <c r="AT60" s="148">
        <v>4</v>
      </c>
      <c r="AU60" s="59">
        <v>16</v>
      </c>
      <c r="AV60" s="276">
        <v>20</v>
      </c>
      <c r="AW60" s="61">
        <v>-1</v>
      </c>
      <c r="AX60" s="210">
        <v>19</v>
      </c>
    </row>
    <row r="61" spans="2:50" ht="13.9" customHeight="1">
      <c r="B61" s="20"/>
      <c r="C61" s="211"/>
      <c r="D61" s="66"/>
      <c r="E61" s="66"/>
      <c r="F61" s="66"/>
      <c r="G61" s="66"/>
      <c r="H61" s="211"/>
      <c r="I61" s="66"/>
      <c r="J61" s="66"/>
      <c r="K61" s="66"/>
      <c r="L61" s="359"/>
      <c r="M61" s="211"/>
      <c r="N61" s="66"/>
      <c r="O61" s="66"/>
      <c r="P61" s="66"/>
      <c r="Q61" s="359"/>
      <c r="R61" s="211"/>
      <c r="S61" s="66"/>
      <c r="T61" s="66"/>
      <c r="U61" s="66"/>
      <c r="V61" s="66"/>
      <c r="W61" s="211"/>
      <c r="X61" s="66"/>
      <c r="Y61" s="66"/>
      <c r="Z61" s="66"/>
      <c r="AA61" s="66"/>
      <c r="AB61" s="211"/>
      <c r="AC61" s="22"/>
      <c r="AD61" s="22"/>
      <c r="AE61" s="22"/>
      <c r="AF61" s="22"/>
      <c r="AG61" s="211"/>
      <c r="AH61" s="22"/>
      <c r="AI61" s="22"/>
      <c r="AJ61" s="22"/>
      <c r="AK61" s="22"/>
      <c r="AL61" s="211"/>
      <c r="AM61" s="22"/>
      <c r="AN61" s="22"/>
      <c r="AO61" s="22"/>
      <c r="AP61" s="22"/>
      <c r="AQ61" s="211"/>
      <c r="AR61" s="22"/>
      <c r="AS61" s="22"/>
      <c r="AT61" s="139"/>
      <c r="AU61" s="22"/>
      <c r="AV61" s="278"/>
      <c r="AW61" s="22"/>
      <c r="AX61" s="211"/>
    </row>
    <row r="62" spans="2:50" ht="13.9" customHeight="1">
      <c r="B62" s="12" t="s">
        <v>353</v>
      </c>
      <c r="C62" s="210">
        <v>1232</v>
      </c>
      <c r="D62" s="355">
        <v>319</v>
      </c>
      <c r="E62" s="355">
        <v>317</v>
      </c>
      <c r="F62" s="355">
        <v>276</v>
      </c>
      <c r="G62" s="355">
        <v>260</v>
      </c>
      <c r="H62" s="210">
        <v>1172</v>
      </c>
      <c r="I62" s="355">
        <v>263</v>
      </c>
      <c r="J62" s="355">
        <v>202</v>
      </c>
      <c r="K62" s="355">
        <v>257</v>
      </c>
      <c r="L62" s="61">
        <v>-155</v>
      </c>
      <c r="M62" s="210">
        <v>567</v>
      </c>
      <c r="N62" s="355">
        <v>321</v>
      </c>
      <c r="O62" s="355">
        <v>562</v>
      </c>
      <c r="P62" s="355">
        <v>175</v>
      </c>
      <c r="Q62" s="61">
        <v>134</v>
      </c>
      <c r="R62" s="210">
        <v>1192</v>
      </c>
      <c r="S62" s="355">
        <v>295</v>
      </c>
      <c r="T62" s="355">
        <v>229</v>
      </c>
      <c r="U62" s="355">
        <v>300</v>
      </c>
      <c r="V62" s="61">
        <v>216</v>
      </c>
      <c r="W62" s="210">
        <v>1040</v>
      </c>
      <c r="X62" s="355">
        <v>400</v>
      </c>
      <c r="Y62" s="355">
        <v>238</v>
      </c>
      <c r="Z62" s="355">
        <v>219</v>
      </c>
      <c r="AA62" s="61">
        <v>206</v>
      </c>
      <c r="AB62" s="210">
        <v>1063</v>
      </c>
      <c r="AC62" s="19">
        <v>218</v>
      </c>
      <c r="AD62" s="19">
        <v>243</v>
      </c>
      <c r="AE62" s="19">
        <v>235</v>
      </c>
      <c r="AF62" s="61">
        <v>153</v>
      </c>
      <c r="AG62" s="210">
        <v>849</v>
      </c>
      <c r="AH62" s="19">
        <v>249</v>
      </c>
      <c r="AI62" s="19">
        <v>261</v>
      </c>
      <c r="AJ62" s="19">
        <v>192</v>
      </c>
      <c r="AK62" s="19">
        <v>199</v>
      </c>
      <c r="AL62" s="210">
        <v>901</v>
      </c>
      <c r="AM62" s="19">
        <v>258</v>
      </c>
      <c r="AN62" s="19">
        <v>238</v>
      </c>
      <c r="AO62" s="19">
        <v>217</v>
      </c>
      <c r="AP62" s="19">
        <v>193</v>
      </c>
      <c r="AQ62" s="210">
        <v>906</v>
      </c>
      <c r="AR62" s="19">
        <v>256</v>
      </c>
      <c r="AS62" s="19">
        <v>218</v>
      </c>
      <c r="AT62" s="137">
        <v>474</v>
      </c>
      <c r="AU62" s="19">
        <v>179</v>
      </c>
      <c r="AV62" s="276">
        <v>653</v>
      </c>
      <c r="AW62" s="19">
        <v>67</v>
      </c>
      <c r="AX62" s="210">
        <v>720</v>
      </c>
    </row>
    <row r="63" spans="2:50" ht="13.9" customHeight="1">
      <c r="B63" s="20" t="s">
        <v>5</v>
      </c>
      <c r="C63" s="211"/>
      <c r="D63" s="357"/>
      <c r="E63" s="357">
        <v>-6.2695924764890609E-3</v>
      </c>
      <c r="F63" s="357">
        <v>-0.12933753943217663</v>
      </c>
      <c r="G63" s="357">
        <v>-5.7971014492753659E-2</v>
      </c>
      <c r="H63" s="211"/>
      <c r="I63" s="357">
        <v>1.1538461538461497E-2</v>
      </c>
      <c r="J63" s="357">
        <v>-0.23193916349809884</v>
      </c>
      <c r="K63" s="357">
        <v>0.2722772277227723</v>
      </c>
      <c r="L63" s="359" t="s">
        <v>23</v>
      </c>
      <c r="M63" s="211"/>
      <c r="N63" s="359" t="s">
        <v>23</v>
      </c>
      <c r="O63" s="357">
        <v>0.75077881619937692</v>
      </c>
      <c r="P63" s="357">
        <v>-0.68861209964412806</v>
      </c>
      <c r="Q63" s="357">
        <v>-0.23428571428571432</v>
      </c>
      <c r="R63" s="211"/>
      <c r="S63" s="357">
        <v>1.2014925373134329</v>
      </c>
      <c r="T63" s="357">
        <v>-0.22372881355932206</v>
      </c>
      <c r="U63" s="357">
        <v>0.31004366812227069</v>
      </c>
      <c r="V63" s="357">
        <v>-0.28000000000000003</v>
      </c>
      <c r="W63" s="211"/>
      <c r="X63" s="357">
        <v>0.85185185185185186</v>
      </c>
      <c r="Y63" s="357">
        <v>-0.40500000000000003</v>
      </c>
      <c r="Z63" s="357">
        <v>-7.9831932773109293E-2</v>
      </c>
      <c r="AA63" s="357">
        <v>-5.9360730593607358E-2</v>
      </c>
      <c r="AB63" s="211"/>
      <c r="AC63" s="21">
        <v>5.8252427184465994E-2</v>
      </c>
      <c r="AD63" s="21">
        <v>0.1146788990825689</v>
      </c>
      <c r="AE63" s="21">
        <v>-3.2921810699588439E-2</v>
      </c>
      <c r="AF63" s="21">
        <v>-0.34893617021276591</v>
      </c>
      <c r="AG63" s="211"/>
      <c r="AH63" s="21">
        <v>0.62745098039215685</v>
      </c>
      <c r="AI63" s="21">
        <v>4.8192771084337283E-2</v>
      </c>
      <c r="AJ63" s="21">
        <v>-0.26436781609195403</v>
      </c>
      <c r="AK63" s="21">
        <v>3.6458333333333259E-2</v>
      </c>
      <c r="AL63" s="211"/>
      <c r="AM63" s="21">
        <v>0.29648241206030157</v>
      </c>
      <c r="AN63" s="21">
        <v>-7.7519379844961267E-2</v>
      </c>
      <c r="AO63" s="21">
        <v>-8.8235294117647078E-2</v>
      </c>
      <c r="AP63" s="21">
        <v>-0.11059907834101379</v>
      </c>
      <c r="AQ63" s="211"/>
      <c r="AR63" s="21">
        <v>0.32642487046632129</v>
      </c>
      <c r="AS63" s="21">
        <v>-0.1484375</v>
      </c>
      <c r="AT63" s="138"/>
      <c r="AU63" s="21">
        <v>-0.17889908256880738</v>
      </c>
      <c r="AV63" s="277"/>
      <c r="AW63" s="21">
        <v>-0.62569832402234637</v>
      </c>
      <c r="AX63" s="211"/>
    </row>
    <row r="64" spans="2:50" ht="13.9" customHeight="1">
      <c r="B64" s="20" t="s">
        <v>6</v>
      </c>
      <c r="C64" s="211"/>
      <c r="D64" s="66"/>
      <c r="E64" s="66"/>
      <c r="F64" s="66"/>
      <c r="G64" s="66"/>
      <c r="H64" s="211">
        <v>-4.870129870129869E-2</v>
      </c>
      <c r="I64" s="66">
        <v>-0.17554858934169282</v>
      </c>
      <c r="J64" s="66">
        <v>-0.36277602523659302</v>
      </c>
      <c r="K64" s="66">
        <v>-6.88405797101449E-2</v>
      </c>
      <c r="L64" s="359" t="s">
        <v>23</v>
      </c>
      <c r="M64" s="211">
        <v>-0.5162116040955631</v>
      </c>
      <c r="N64" s="66">
        <v>0.22053231939163509</v>
      </c>
      <c r="O64" s="66">
        <v>1.782178217821782</v>
      </c>
      <c r="P64" s="66">
        <v>-0.31906614785992216</v>
      </c>
      <c r="Q64" s="359" t="s">
        <v>23</v>
      </c>
      <c r="R64" s="211">
        <v>1.1022927689594355</v>
      </c>
      <c r="S64" s="66">
        <v>-8.0996884735202501E-2</v>
      </c>
      <c r="T64" s="66">
        <v>-0.592526690391459</v>
      </c>
      <c r="U64" s="66">
        <v>0.71428571428571419</v>
      </c>
      <c r="V64" s="66">
        <v>0.61194029850746268</v>
      </c>
      <c r="W64" s="211">
        <v>-0.12751677852348997</v>
      </c>
      <c r="X64" s="66">
        <v>0.35593220338983045</v>
      </c>
      <c r="Y64" s="66">
        <v>3.9301310043668103E-2</v>
      </c>
      <c r="Z64" s="66">
        <v>-0.27</v>
      </c>
      <c r="AA64" s="66">
        <v>-4.629629629629628E-2</v>
      </c>
      <c r="AB64" s="211">
        <v>2.2115384615384537E-2</v>
      </c>
      <c r="AC64" s="22">
        <v>-0.45499999999999996</v>
      </c>
      <c r="AD64" s="22">
        <v>2.1008403361344463E-2</v>
      </c>
      <c r="AE64" s="22">
        <v>7.3059360730593603E-2</v>
      </c>
      <c r="AF64" s="22">
        <v>-0.25728155339805825</v>
      </c>
      <c r="AG64" s="211">
        <v>-0.20131702728127943</v>
      </c>
      <c r="AH64" s="22">
        <v>0.14220183486238525</v>
      </c>
      <c r="AI64" s="22">
        <v>7.4074074074074181E-2</v>
      </c>
      <c r="AJ64" s="22">
        <v>-0.18297872340425536</v>
      </c>
      <c r="AK64" s="22">
        <v>0.30065359477124187</v>
      </c>
      <c r="AL64" s="211">
        <v>6.1248527679623077E-2</v>
      </c>
      <c r="AM64" s="22">
        <v>3.6144578313253017E-2</v>
      </c>
      <c r="AN64" s="22">
        <v>-8.8122605363984641E-2</v>
      </c>
      <c r="AO64" s="22">
        <v>0.13020833333333326</v>
      </c>
      <c r="AP64" s="22">
        <v>-3.0150753768844241E-2</v>
      </c>
      <c r="AQ64" s="211">
        <v>5.5493895671476778E-3</v>
      </c>
      <c r="AR64" s="22">
        <v>-7.7519379844961378E-3</v>
      </c>
      <c r="AS64" s="22">
        <v>-8.4033613445378186E-2</v>
      </c>
      <c r="AT64" s="139"/>
      <c r="AU64" s="22">
        <v>-0.17511520737327191</v>
      </c>
      <c r="AV64" s="278"/>
      <c r="AW64" s="22">
        <v>-0.65284974093264247</v>
      </c>
      <c r="AX64" s="211">
        <v>-0.20529801324503316</v>
      </c>
    </row>
    <row r="65" spans="2:50" ht="13.9" customHeight="1">
      <c r="B65" s="34" t="s">
        <v>273</v>
      </c>
      <c r="C65" s="210">
        <v>1222.25</v>
      </c>
      <c r="D65" s="89">
        <v>315.95999999999998</v>
      </c>
      <c r="E65" s="89">
        <v>316.24</v>
      </c>
      <c r="F65" s="89">
        <v>257.76</v>
      </c>
      <c r="G65" s="355">
        <v>264.56</v>
      </c>
      <c r="H65" s="210">
        <v>1154.52</v>
      </c>
      <c r="I65" s="89">
        <v>276.86</v>
      </c>
      <c r="J65" s="89">
        <v>270.52999999999997</v>
      </c>
      <c r="K65" s="89">
        <v>255.46</v>
      </c>
      <c r="L65" s="355">
        <v>236.92999999999995</v>
      </c>
      <c r="M65" s="210">
        <v>1039.78</v>
      </c>
      <c r="N65" s="89">
        <v>267.87</v>
      </c>
      <c r="O65" s="89">
        <v>236.29000000000002</v>
      </c>
      <c r="P65" s="89">
        <v>168.84</v>
      </c>
      <c r="Q65" s="355">
        <v>206.37999999999994</v>
      </c>
      <c r="R65" s="210">
        <v>879.38</v>
      </c>
      <c r="S65" s="89">
        <v>291.92</v>
      </c>
      <c r="T65" s="89">
        <v>227.46</v>
      </c>
      <c r="U65" s="89">
        <v>296.14999999999998</v>
      </c>
      <c r="V65" s="355">
        <v>276.82999999999987</v>
      </c>
      <c r="W65" s="210">
        <v>1092.3599999999999</v>
      </c>
      <c r="X65" s="106">
        <v>290</v>
      </c>
      <c r="Y65" s="89">
        <v>247.62</v>
      </c>
      <c r="Z65" s="89">
        <v>228.16</v>
      </c>
      <c r="AA65" s="355">
        <v>231</v>
      </c>
      <c r="AB65" s="210">
        <v>997.15</v>
      </c>
      <c r="AC65" s="25">
        <v>256</v>
      </c>
      <c r="AD65" s="25">
        <v>247</v>
      </c>
      <c r="AE65" s="89">
        <v>237</v>
      </c>
      <c r="AF65" s="59">
        <v>201</v>
      </c>
      <c r="AG65" s="210">
        <v>938</v>
      </c>
      <c r="AH65" s="25">
        <v>254</v>
      </c>
      <c r="AI65" s="25">
        <v>267</v>
      </c>
      <c r="AJ65" s="19">
        <v>252</v>
      </c>
      <c r="AK65" s="19">
        <v>243</v>
      </c>
      <c r="AL65" s="210">
        <v>1016</v>
      </c>
      <c r="AM65" s="25">
        <v>258</v>
      </c>
      <c r="AN65" s="25">
        <v>235</v>
      </c>
      <c r="AO65" s="19">
        <v>239</v>
      </c>
      <c r="AP65" s="19">
        <v>265</v>
      </c>
      <c r="AQ65" s="210">
        <v>997</v>
      </c>
      <c r="AR65" s="25">
        <v>261</v>
      </c>
      <c r="AS65" s="25">
        <v>216</v>
      </c>
      <c r="AT65" s="137">
        <v>477</v>
      </c>
      <c r="AU65" s="19">
        <v>214</v>
      </c>
      <c r="AV65" s="276">
        <v>691</v>
      </c>
      <c r="AW65" s="19">
        <v>260</v>
      </c>
      <c r="AX65" s="210">
        <v>951</v>
      </c>
    </row>
    <row r="66" spans="2:50" ht="13.9" customHeight="1">
      <c r="B66" s="20" t="s">
        <v>5</v>
      </c>
      <c r="C66" s="211"/>
      <c r="D66" s="357"/>
      <c r="E66" s="357">
        <v>8.8618812507923472E-4</v>
      </c>
      <c r="F66" s="357">
        <v>-0.18492284341006837</v>
      </c>
      <c r="G66" s="357">
        <v>2.6381129733085151E-2</v>
      </c>
      <c r="H66" s="211"/>
      <c r="I66" s="357">
        <v>4.6492289083761795E-2</v>
      </c>
      <c r="J66" s="357">
        <v>-2.2863541139926502E-2</v>
      </c>
      <c r="K66" s="357">
        <v>-5.5705467046168522E-2</v>
      </c>
      <c r="L66" s="357">
        <v>-7.2535817740546737E-2</v>
      </c>
      <c r="M66" s="211"/>
      <c r="N66" s="357">
        <v>0.13058709323428896</v>
      </c>
      <c r="O66" s="357">
        <v>-0.11789300780229206</v>
      </c>
      <c r="P66" s="357">
        <v>-0.28545431461339887</v>
      </c>
      <c r="Q66" s="357">
        <v>0.22234067756455778</v>
      </c>
      <c r="R66" s="211"/>
      <c r="S66" s="357">
        <v>0.41447814710727826</v>
      </c>
      <c r="T66" s="357">
        <v>-0.22081392162236235</v>
      </c>
      <c r="U66" s="357">
        <v>0.30198716257803548</v>
      </c>
      <c r="V66" s="357">
        <v>-6.5237210872868823E-2</v>
      </c>
      <c r="W66" s="211"/>
      <c r="X66" s="357">
        <v>4.7574323592096679E-2</v>
      </c>
      <c r="Y66" s="357">
        <v>-0.14613793103448269</v>
      </c>
      <c r="Z66" s="357">
        <v>-7.8588159276310465E-2</v>
      </c>
      <c r="AA66" s="357">
        <v>1.244740532959332E-2</v>
      </c>
      <c r="AB66" s="211"/>
      <c r="AC66" s="21">
        <v>0.10822510822510822</v>
      </c>
      <c r="AD66" s="21">
        <v>-3.515625E-2</v>
      </c>
      <c r="AE66" s="21">
        <v>-4.0485829959514219E-2</v>
      </c>
      <c r="AF66" s="21">
        <v>-0.15189873417721522</v>
      </c>
      <c r="AG66" s="211"/>
      <c r="AH66" s="21">
        <v>0.26368159203980102</v>
      </c>
      <c r="AI66" s="21">
        <v>5.1181102362204633E-2</v>
      </c>
      <c r="AJ66" s="21">
        <v>-5.6179775280898903E-2</v>
      </c>
      <c r="AK66" s="21">
        <v>-3.5714285714285698E-2</v>
      </c>
      <c r="AL66" s="211"/>
      <c r="AM66" s="21">
        <v>6.1728395061728447E-2</v>
      </c>
      <c r="AN66" s="21">
        <v>-8.9147286821705474E-2</v>
      </c>
      <c r="AO66" s="21">
        <v>1.7021276595744705E-2</v>
      </c>
      <c r="AP66" s="21">
        <v>0.10878661087866104</v>
      </c>
      <c r="AQ66" s="211"/>
      <c r="AR66" s="21">
        <v>-1.5094339622641506E-2</v>
      </c>
      <c r="AS66" s="21">
        <v>-0.17241379310344829</v>
      </c>
      <c r="AT66" s="138"/>
      <c r="AU66" s="21">
        <v>-9.2592592592593004E-3</v>
      </c>
      <c r="AV66" s="277"/>
      <c r="AW66" s="21">
        <v>0.2149532710280373</v>
      </c>
      <c r="AX66" s="211"/>
    </row>
    <row r="67" spans="2:50" ht="13.9" customHeight="1">
      <c r="B67" s="20" t="s">
        <v>6</v>
      </c>
      <c r="C67" s="211"/>
      <c r="D67" s="66"/>
      <c r="E67" s="66"/>
      <c r="F67" s="66"/>
      <c r="G67" s="66"/>
      <c r="H67" s="211">
        <v>-5.5414195131928801E-2</v>
      </c>
      <c r="I67" s="66">
        <v>-0.12374984175212045</v>
      </c>
      <c r="J67" s="66">
        <v>-0.14454211990893007</v>
      </c>
      <c r="K67" s="66">
        <v>-8.9230291744257784E-3</v>
      </c>
      <c r="L67" s="66">
        <v>-0.10443755669791366</v>
      </c>
      <c r="M67" s="211">
        <v>-9.9383293489935243E-2</v>
      </c>
      <c r="N67" s="66">
        <v>-3.247128512605657E-2</v>
      </c>
      <c r="O67" s="66">
        <v>-0.12656636971870017</v>
      </c>
      <c r="P67" s="66">
        <v>-0.3390746105065372</v>
      </c>
      <c r="Q67" s="66">
        <v>-0.12894103743721785</v>
      </c>
      <c r="R67" s="211">
        <v>-0.1542634018734732</v>
      </c>
      <c r="S67" s="66">
        <v>8.9782357113525224E-2</v>
      </c>
      <c r="T67" s="66">
        <v>-3.7369334292606582E-2</v>
      </c>
      <c r="U67" s="66">
        <v>0.75402748163942168</v>
      </c>
      <c r="V67" s="66">
        <v>0.34136059695706922</v>
      </c>
      <c r="W67" s="211">
        <v>0.24219336350610643</v>
      </c>
      <c r="X67" s="66">
        <v>-6.5771444231297327E-3</v>
      </c>
      <c r="Y67" s="66">
        <v>8.8630968082300088E-2</v>
      </c>
      <c r="Z67" s="66">
        <v>-0.22957960492993412</v>
      </c>
      <c r="AA67" s="66">
        <v>-0.16555286638008848</v>
      </c>
      <c r="AB67" s="211">
        <v>-8.7159910652165884E-2</v>
      </c>
      <c r="AC67" s="22">
        <v>-0.11724137931034484</v>
      </c>
      <c r="AD67" s="22">
        <v>-2.5038365237056714E-3</v>
      </c>
      <c r="AE67" s="22">
        <v>3.8744740532959288E-2</v>
      </c>
      <c r="AF67" s="22">
        <v>-0.12987012987012991</v>
      </c>
      <c r="AG67" s="211">
        <v>-5.9319059319059342E-2</v>
      </c>
      <c r="AH67" s="22">
        <v>-7.8125E-3</v>
      </c>
      <c r="AI67" s="22">
        <v>8.0971659919028438E-2</v>
      </c>
      <c r="AJ67" s="22">
        <v>6.3291139240506222E-2</v>
      </c>
      <c r="AK67" s="22">
        <v>0.20895522388059695</v>
      </c>
      <c r="AL67" s="211">
        <v>8.3155650319829411E-2</v>
      </c>
      <c r="AM67" s="22">
        <v>1.5748031496062964E-2</v>
      </c>
      <c r="AN67" s="22">
        <v>-0.11985018726591756</v>
      </c>
      <c r="AO67" s="22">
        <v>-5.1587301587301626E-2</v>
      </c>
      <c r="AP67" s="22">
        <v>9.0534979423868345E-2</v>
      </c>
      <c r="AQ67" s="211">
        <v>-1.870078740157477E-2</v>
      </c>
      <c r="AR67" s="22">
        <v>1.1627906976744207E-2</v>
      </c>
      <c r="AS67" s="22">
        <v>-8.085106382978724E-2</v>
      </c>
      <c r="AT67" s="139"/>
      <c r="AU67" s="22">
        <v>-0.10460251046025104</v>
      </c>
      <c r="AV67" s="278"/>
      <c r="AW67" s="22">
        <v>-1.8867924528301883E-2</v>
      </c>
      <c r="AX67" s="211">
        <v>-4.6138415245737252E-2</v>
      </c>
    </row>
    <row r="68" spans="2:50" s="161" customFormat="1" ht="13.9" customHeight="1">
      <c r="B68" s="12" t="s">
        <v>390</v>
      </c>
      <c r="C68" s="219">
        <v>0.27886151038101759</v>
      </c>
      <c r="D68" s="164">
        <v>0.29309833024118737</v>
      </c>
      <c r="E68" s="164">
        <v>0.29890359168241964</v>
      </c>
      <c r="F68" s="164">
        <v>0.24294062205466541</v>
      </c>
      <c r="G68" s="164">
        <v>0.25268385864374404</v>
      </c>
      <c r="H68" s="219">
        <v>0.27203581526861453</v>
      </c>
      <c r="I68" s="164">
        <v>0.26045155221072436</v>
      </c>
      <c r="J68" s="164">
        <v>0.25425751879699243</v>
      </c>
      <c r="K68" s="164">
        <v>0.24492809204218602</v>
      </c>
      <c r="L68" s="164">
        <v>0.23092592592592587</v>
      </c>
      <c r="M68" s="219">
        <v>0.24780266920877025</v>
      </c>
      <c r="N68" s="164">
        <v>0.25682646212847554</v>
      </c>
      <c r="O68" s="164">
        <v>0.23165686274509806</v>
      </c>
      <c r="P68" s="164">
        <v>0.16472195121951219</v>
      </c>
      <c r="Q68" s="164">
        <v>0.20952284263959384</v>
      </c>
      <c r="R68" s="219">
        <v>0.21590473852197398</v>
      </c>
      <c r="S68" s="164">
        <v>0.28675834970530456</v>
      </c>
      <c r="T68" s="164">
        <v>0.21787356321839083</v>
      </c>
      <c r="U68" s="164">
        <v>0.2842130518234165</v>
      </c>
      <c r="V68" s="164">
        <v>0.26239810426540272</v>
      </c>
      <c r="W68" s="219">
        <v>0.26264967540274103</v>
      </c>
      <c r="X68" s="164">
        <v>0.27514231499051234</v>
      </c>
      <c r="Y68" s="164">
        <v>0.23832531280076996</v>
      </c>
      <c r="Z68" s="164">
        <v>0.22001928640308582</v>
      </c>
      <c r="AA68" s="164">
        <v>0.21958174904942965</v>
      </c>
      <c r="AB68" s="219">
        <v>0.23843854615016738</v>
      </c>
      <c r="AC68" s="155">
        <v>0.23357664233576642</v>
      </c>
      <c r="AD68" s="155">
        <v>0.23149015932521086</v>
      </c>
      <c r="AE68" s="155">
        <v>0.21823204419889503</v>
      </c>
      <c r="AF68" s="155">
        <v>0.19016083254493851</v>
      </c>
      <c r="AG68" s="219">
        <v>0.21783557826288899</v>
      </c>
      <c r="AH68" s="155">
        <v>0.22862286228622863</v>
      </c>
      <c r="AI68" s="155">
        <v>0.23628318584070795</v>
      </c>
      <c r="AJ68" s="155">
        <v>0.23247232472324722</v>
      </c>
      <c r="AK68" s="155">
        <v>0.22355105795768168</v>
      </c>
      <c r="AL68" s="219">
        <v>0.23028105167724389</v>
      </c>
      <c r="AM68" s="155">
        <v>0.23648029330889092</v>
      </c>
      <c r="AN68" s="155">
        <v>0.21860465116279071</v>
      </c>
      <c r="AO68" s="155">
        <v>0.216289592760181</v>
      </c>
      <c r="AP68" s="155">
        <v>0.24743230625583568</v>
      </c>
      <c r="AQ68" s="219">
        <v>0.22961768770152002</v>
      </c>
      <c r="AR68" s="155">
        <v>0.23705722070844687</v>
      </c>
      <c r="AS68" s="155">
        <v>0.19600725952813067</v>
      </c>
      <c r="AT68" s="156">
        <v>0.21652292328642761</v>
      </c>
      <c r="AU68" s="155">
        <v>0.19261926192619261</v>
      </c>
      <c r="AV68" s="280">
        <v>0.20850935425467712</v>
      </c>
      <c r="AW68" s="155">
        <v>0.23339317773788151</v>
      </c>
      <c r="AX68" s="219">
        <v>0.21476964769647697</v>
      </c>
    </row>
    <row r="69" spans="2:50" ht="3.6" customHeight="1">
      <c r="B69" s="172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  <c r="AM69" s="173"/>
      <c r="AN69" s="173"/>
      <c r="AO69" s="173"/>
      <c r="AP69" s="173"/>
      <c r="AQ69" s="173"/>
      <c r="AR69" s="173"/>
      <c r="AS69" s="173"/>
      <c r="AT69" s="173"/>
      <c r="AU69" s="173"/>
      <c r="AV69" s="173"/>
      <c r="AW69" s="173"/>
      <c r="AX69" s="173"/>
    </row>
    <row r="70" spans="2:50" s="161" customFormat="1" ht="13.9" customHeight="1">
      <c r="B70" s="12"/>
      <c r="AC70" s="155"/>
      <c r="AD70" s="155"/>
      <c r="AE70" s="155"/>
      <c r="AF70" s="155"/>
      <c r="AG70"/>
      <c r="AH70" s="155"/>
      <c r="AI70" s="155"/>
      <c r="AJ70" s="164"/>
      <c r="AK70" s="164"/>
      <c r="AM70" s="164"/>
      <c r="AN70" s="164"/>
      <c r="AO70" s="164"/>
      <c r="AP70" s="164"/>
      <c r="AR70" s="164"/>
      <c r="AS70" s="164"/>
      <c r="AT70" s="164"/>
      <c r="AU70" s="164"/>
      <c r="AV70" s="164"/>
      <c r="AW70" s="164"/>
    </row>
    <row r="71" spans="2:50" ht="25.35" customHeight="1">
      <c r="B71" s="177" t="s">
        <v>26</v>
      </c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2"/>
      <c r="AS71" s="182"/>
      <c r="AT71" s="182"/>
      <c r="AU71" s="182"/>
      <c r="AV71" s="182"/>
      <c r="AW71" s="182"/>
      <c r="AX71" s="182"/>
    </row>
    <row r="72" spans="2:50" ht="13.9" customHeight="1">
      <c r="B72" s="201" t="s">
        <v>39</v>
      </c>
      <c r="C72" s="122"/>
      <c r="D72" s="209"/>
      <c r="E72" s="209"/>
      <c r="F72" s="209"/>
      <c r="G72" s="209"/>
      <c r="H72" s="122"/>
      <c r="I72" s="209"/>
      <c r="J72" s="209"/>
      <c r="K72" s="209"/>
      <c r="L72" s="209"/>
      <c r="M72" s="122"/>
      <c r="N72" s="209"/>
      <c r="O72" s="209"/>
      <c r="P72" s="209"/>
      <c r="Q72" s="209"/>
      <c r="R72" s="122"/>
      <c r="S72" s="209"/>
      <c r="T72" s="209"/>
      <c r="U72" s="209"/>
      <c r="V72" s="209"/>
      <c r="W72" s="122"/>
      <c r="X72" s="209"/>
      <c r="Y72" s="209"/>
      <c r="Z72" s="209"/>
      <c r="AA72" s="209"/>
      <c r="AB72" s="122"/>
      <c r="AC72" s="209"/>
      <c r="AD72" s="209"/>
      <c r="AE72" s="209"/>
      <c r="AF72" s="209"/>
      <c r="AG72" s="122"/>
      <c r="AH72" s="209"/>
      <c r="AI72" s="209"/>
      <c r="AJ72" s="209"/>
      <c r="AK72" s="209"/>
      <c r="AL72" s="122"/>
      <c r="AM72" s="209"/>
      <c r="AN72" s="209"/>
      <c r="AO72" s="209"/>
      <c r="AP72" s="209"/>
      <c r="AQ72" s="122"/>
      <c r="AR72" s="209"/>
      <c r="AS72" s="209"/>
      <c r="AT72" s="209"/>
      <c r="AU72" s="209"/>
      <c r="AV72" s="209"/>
      <c r="AW72" s="209"/>
      <c r="AX72" s="122"/>
    </row>
    <row r="73" spans="2:50" ht="13.9" customHeight="1">
      <c r="B73" s="12" t="s">
        <v>9</v>
      </c>
      <c r="C73" s="210">
        <v>2064</v>
      </c>
      <c r="D73" s="355">
        <v>600</v>
      </c>
      <c r="E73" s="355">
        <v>465</v>
      </c>
      <c r="F73" s="355">
        <v>573</v>
      </c>
      <c r="G73" s="355">
        <v>587</v>
      </c>
      <c r="H73" s="210">
        <v>2225</v>
      </c>
      <c r="I73" s="355">
        <v>516</v>
      </c>
      <c r="J73" s="355">
        <v>507</v>
      </c>
      <c r="K73" s="355">
        <v>583</v>
      </c>
      <c r="L73" s="355">
        <v>600</v>
      </c>
      <c r="M73" s="210">
        <v>2206</v>
      </c>
      <c r="N73" s="355">
        <v>471</v>
      </c>
      <c r="O73" s="355">
        <v>416</v>
      </c>
      <c r="P73" s="355">
        <v>484</v>
      </c>
      <c r="Q73" s="355">
        <v>476</v>
      </c>
      <c r="R73" s="210">
        <v>1847</v>
      </c>
      <c r="S73" s="355">
        <v>611</v>
      </c>
      <c r="T73" s="355">
        <v>334</v>
      </c>
      <c r="U73" s="355">
        <v>561</v>
      </c>
      <c r="V73" s="355">
        <v>600</v>
      </c>
      <c r="W73" s="210">
        <v>2106</v>
      </c>
      <c r="X73" s="355">
        <v>510</v>
      </c>
      <c r="Y73" s="355">
        <v>354</v>
      </c>
      <c r="Z73" s="355">
        <v>567</v>
      </c>
      <c r="AA73" s="355">
        <v>593</v>
      </c>
      <c r="AB73" s="210">
        <v>2024</v>
      </c>
      <c r="AC73" s="19">
        <v>634</v>
      </c>
      <c r="AD73" s="19">
        <v>541</v>
      </c>
      <c r="AE73" s="19">
        <v>427</v>
      </c>
      <c r="AF73" s="19">
        <v>628</v>
      </c>
      <c r="AG73" s="210">
        <v>2230</v>
      </c>
      <c r="AH73" s="19">
        <v>608</v>
      </c>
      <c r="AI73" s="19">
        <v>602</v>
      </c>
      <c r="AJ73" s="19">
        <v>586</v>
      </c>
      <c r="AK73" s="19">
        <v>584</v>
      </c>
      <c r="AL73" s="210">
        <v>2380</v>
      </c>
      <c r="AM73" s="19">
        <v>748</v>
      </c>
      <c r="AN73" s="19">
        <v>491</v>
      </c>
      <c r="AO73" s="19">
        <v>589</v>
      </c>
      <c r="AP73" s="19">
        <v>626</v>
      </c>
      <c r="AQ73" s="210">
        <v>2454</v>
      </c>
      <c r="AR73" s="19">
        <v>553</v>
      </c>
      <c r="AS73" s="19">
        <v>501</v>
      </c>
      <c r="AT73" s="137">
        <v>1054</v>
      </c>
      <c r="AU73" s="19">
        <v>565</v>
      </c>
      <c r="AV73" s="276">
        <v>1619</v>
      </c>
      <c r="AW73" s="19">
        <v>573</v>
      </c>
      <c r="AX73" s="210">
        <v>2192</v>
      </c>
    </row>
    <row r="74" spans="2:50" ht="13.9" customHeight="1">
      <c r="B74" s="20" t="s">
        <v>5</v>
      </c>
      <c r="C74" s="211"/>
      <c r="D74" s="357"/>
      <c r="E74" s="357">
        <v>-0.22499999999999998</v>
      </c>
      <c r="F74" s="357">
        <v>0.23225806451612896</v>
      </c>
      <c r="G74" s="357">
        <v>2.4432809773123898E-2</v>
      </c>
      <c r="H74" s="211"/>
      <c r="I74" s="357">
        <v>-0.12095400340715501</v>
      </c>
      <c r="J74" s="357">
        <v>-1.744186046511631E-2</v>
      </c>
      <c r="K74" s="357">
        <v>0.14990138067061154</v>
      </c>
      <c r="L74" s="357">
        <v>2.9159519725557415E-2</v>
      </c>
      <c r="M74" s="211"/>
      <c r="N74" s="357">
        <v>-0.21499999999999997</v>
      </c>
      <c r="O74" s="357">
        <v>-0.11677282377919318</v>
      </c>
      <c r="P74" s="357">
        <v>0.16346153846153855</v>
      </c>
      <c r="Q74" s="357">
        <v>-1.6528925619834656E-2</v>
      </c>
      <c r="R74" s="211"/>
      <c r="S74" s="357">
        <v>0.28361344537815136</v>
      </c>
      <c r="T74" s="357">
        <v>-0.45335515548281502</v>
      </c>
      <c r="U74" s="357">
        <v>0.67964071856287434</v>
      </c>
      <c r="V74" s="357">
        <v>6.9518716577540163E-2</v>
      </c>
      <c r="W74" s="211"/>
      <c r="X74" s="357">
        <v>-0.15000000000000002</v>
      </c>
      <c r="Y74" s="357">
        <v>-0.30588235294117649</v>
      </c>
      <c r="Z74" s="357">
        <v>0.60169491525423724</v>
      </c>
      <c r="AA74" s="357">
        <v>4.5855379188712631E-2</v>
      </c>
      <c r="AB74" s="211"/>
      <c r="AC74" s="21">
        <v>6.9139966273187081E-2</v>
      </c>
      <c r="AD74" s="21">
        <v>-0.14668769716088326</v>
      </c>
      <c r="AE74" s="21">
        <v>-0.21072088724584104</v>
      </c>
      <c r="AF74" s="21">
        <v>0.47072599531615933</v>
      </c>
      <c r="AG74" s="211"/>
      <c r="AH74" s="21">
        <v>-3.1847133757961776E-2</v>
      </c>
      <c r="AI74" s="21">
        <v>-9.8684210526315264E-3</v>
      </c>
      <c r="AJ74" s="21">
        <v>-2.6578073089700949E-2</v>
      </c>
      <c r="AK74" s="21">
        <v>-3.4129692832765013E-3</v>
      </c>
      <c r="AL74" s="211"/>
      <c r="AM74" s="21">
        <v>0.28082191780821919</v>
      </c>
      <c r="AN74" s="21">
        <v>-0.3435828877005348</v>
      </c>
      <c r="AO74" s="21">
        <v>0.19959266802443998</v>
      </c>
      <c r="AP74" s="21">
        <v>6.2818336162988153E-2</v>
      </c>
      <c r="AQ74" s="211"/>
      <c r="AR74" s="21">
        <v>-0.11661341853035145</v>
      </c>
      <c r="AS74" s="21">
        <v>-9.4032549728752302E-2</v>
      </c>
      <c r="AT74" s="138"/>
      <c r="AU74" s="21">
        <v>0.12774451097804396</v>
      </c>
      <c r="AV74" s="277"/>
      <c r="AW74" s="21">
        <v>1.4159292035398341E-2</v>
      </c>
      <c r="AX74" s="211"/>
    </row>
    <row r="75" spans="2:50" ht="13.9" customHeight="1">
      <c r="B75" s="20" t="s">
        <v>6</v>
      </c>
      <c r="C75" s="211"/>
      <c r="D75" s="66"/>
      <c r="E75" s="66"/>
      <c r="F75" s="66"/>
      <c r="G75" s="66"/>
      <c r="H75" s="211">
        <v>7.8003875968992276E-2</v>
      </c>
      <c r="I75" s="66">
        <v>-0.14000000000000001</v>
      </c>
      <c r="J75" s="66">
        <v>9.0322580645161299E-2</v>
      </c>
      <c r="K75" s="66">
        <v>1.7452006980802848E-2</v>
      </c>
      <c r="L75" s="66">
        <v>2.2146507666098714E-2</v>
      </c>
      <c r="M75" s="211">
        <v>-8.5393258426966767E-3</v>
      </c>
      <c r="N75" s="66">
        <v>-8.7209302325581439E-2</v>
      </c>
      <c r="O75" s="66">
        <v>-0.17948717948717952</v>
      </c>
      <c r="P75" s="66">
        <v>-0.16981132075471694</v>
      </c>
      <c r="Q75" s="66">
        <v>-0.20666666666666667</v>
      </c>
      <c r="R75" s="211">
        <v>-0.16273798730734357</v>
      </c>
      <c r="S75" s="66">
        <v>0.29723991507430991</v>
      </c>
      <c r="T75" s="66">
        <v>-0.19711538461538458</v>
      </c>
      <c r="U75" s="66">
        <v>0.15909090909090917</v>
      </c>
      <c r="V75" s="66">
        <v>0.26050420168067223</v>
      </c>
      <c r="W75" s="211">
        <v>0.14022739577693555</v>
      </c>
      <c r="X75" s="66">
        <v>-0.16530278232405893</v>
      </c>
      <c r="Y75" s="66">
        <v>5.9880239520958112E-2</v>
      </c>
      <c r="Z75" s="66">
        <v>1.0695187165775444E-2</v>
      </c>
      <c r="AA75" s="66">
        <v>-1.1666666666666714E-2</v>
      </c>
      <c r="AB75" s="211">
        <v>-3.8936372269705588E-2</v>
      </c>
      <c r="AC75" s="22">
        <v>0.24313725490196081</v>
      </c>
      <c r="AD75" s="22">
        <v>0.52824858757062154</v>
      </c>
      <c r="AE75" s="22">
        <v>-0.24691358024691357</v>
      </c>
      <c r="AF75" s="22">
        <v>5.9021922428330598E-2</v>
      </c>
      <c r="AG75" s="211">
        <v>0.10177865612648218</v>
      </c>
      <c r="AH75" s="22">
        <v>-4.1009463722397443E-2</v>
      </c>
      <c r="AI75" s="22">
        <v>0.11275415896487995</v>
      </c>
      <c r="AJ75" s="22">
        <v>0.3723653395784543</v>
      </c>
      <c r="AK75" s="22">
        <v>-7.0063694267515908E-2</v>
      </c>
      <c r="AL75" s="211">
        <v>6.7264573991031362E-2</v>
      </c>
      <c r="AM75" s="22">
        <v>0.23026315789473695</v>
      </c>
      <c r="AN75" s="22">
        <v>-0.18438538205980071</v>
      </c>
      <c r="AO75" s="22">
        <v>5.1194539249146409E-3</v>
      </c>
      <c r="AP75" s="22">
        <v>7.1917808219178037E-2</v>
      </c>
      <c r="AQ75" s="211">
        <v>3.1092436974789806E-2</v>
      </c>
      <c r="AR75" s="22">
        <v>-0.26069518716577544</v>
      </c>
      <c r="AS75" s="22">
        <v>2.0366598778004175E-2</v>
      </c>
      <c r="AT75" s="139"/>
      <c r="AU75" s="22">
        <v>-4.0747028862478829E-2</v>
      </c>
      <c r="AV75" s="278"/>
      <c r="AW75" s="22">
        <v>-8.4664536741214103E-2</v>
      </c>
      <c r="AX75" s="211">
        <v>-0.1067644661776691</v>
      </c>
    </row>
    <row r="76" spans="2:50" ht="13.9" customHeight="1">
      <c r="B76" s="12" t="s">
        <v>243</v>
      </c>
      <c r="C76" s="210">
        <v>834</v>
      </c>
      <c r="D76" s="355">
        <v>210</v>
      </c>
      <c r="E76" s="355">
        <v>219</v>
      </c>
      <c r="F76" s="355">
        <v>170</v>
      </c>
      <c r="G76" s="355">
        <v>226</v>
      </c>
      <c r="H76" s="210">
        <v>825</v>
      </c>
      <c r="I76" s="355">
        <v>205</v>
      </c>
      <c r="J76" s="355">
        <v>313</v>
      </c>
      <c r="K76" s="355">
        <v>233</v>
      </c>
      <c r="L76" s="355">
        <v>225</v>
      </c>
      <c r="M76" s="210">
        <v>976</v>
      </c>
      <c r="N76" s="355">
        <v>210</v>
      </c>
      <c r="O76" s="355">
        <v>333</v>
      </c>
      <c r="P76" s="355">
        <v>145</v>
      </c>
      <c r="Q76" s="355">
        <v>193</v>
      </c>
      <c r="R76" s="210">
        <v>881</v>
      </c>
      <c r="S76" s="355">
        <v>200</v>
      </c>
      <c r="T76" s="355">
        <v>201</v>
      </c>
      <c r="U76" s="355">
        <v>272</v>
      </c>
      <c r="V76" s="355">
        <v>237</v>
      </c>
      <c r="W76" s="210">
        <v>910</v>
      </c>
      <c r="X76" s="355">
        <v>312</v>
      </c>
      <c r="Y76" s="355">
        <v>285</v>
      </c>
      <c r="Z76" s="355">
        <v>314</v>
      </c>
      <c r="AA76" s="355">
        <v>244</v>
      </c>
      <c r="AB76" s="210">
        <v>1155</v>
      </c>
      <c r="AC76" s="19">
        <v>285</v>
      </c>
      <c r="AD76" s="19">
        <v>279</v>
      </c>
      <c r="AE76" s="19">
        <v>294</v>
      </c>
      <c r="AF76" s="19">
        <v>277</v>
      </c>
      <c r="AG76" s="210">
        <v>1135</v>
      </c>
      <c r="AH76" s="19">
        <v>312</v>
      </c>
      <c r="AI76" s="19">
        <v>281</v>
      </c>
      <c r="AJ76" s="19">
        <v>239</v>
      </c>
      <c r="AK76" s="19">
        <v>290</v>
      </c>
      <c r="AL76" s="210">
        <v>1122</v>
      </c>
      <c r="AM76" s="19">
        <v>270</v>
      </c>
      <c r="AN76" s="19">
        <v>266</v>
      </c>
      <c r="AO76" s="19">
        <v>300</v>
      </c>
      <c r="AP76" s="19">
        <v>303</v>
      </c>
      <c r="AQ76" s="210">
        <v>1139</v>
      </c>
      <c r="AR76" s="19">
        <v>294</v>
      </c>
      <c r="AS76" s="19">
        <v>266</v>
      </c>
      <c r="AT76" s="137">
        <v>560</v>
      </c>
      <c r="AU76" s="19">
        <v>280</v>
      </c>
      <c r="AV76" s="276">
        <v>840</v>
      </c>
      <c r="AW76" s="19">
        <v>257</v>
      </c>
      <c r="AX76" s="210">
        <v>1097</v>
      </c>
    </row>
    <row r="77" spans="2:50" ht="13.9" customHeight="1">
      <c r="B77" s="20" t="s">
        <v>5</v>
      </c>
      <c r="C77" s="211"/>
      <c r="D77" s="357"/>
      <c r="E77" s="357">
        <v>4.2857142857142927E-2</v>
      </c>
      <c r="F77" s="357">
        <v>-0.22374429223744297</v>
      </c>
      <c r="G77" s="357">
        <v>0.32941176470588229</v>
      </c>
      <c r="H77" s="211"/>
      <c r="I77" s="357">
        <v>-9.2920353982300918E-2</v>
      </c>
      <c r="J77" s="357">
        <v>0.52682926829268295</v>
      </c>
      <c r="K77" s="357">
        <v>-0.25559105431309903</v>
      </c>
      <c r="L77" s="357">
        <v>-3.4334763948497882E-2</v>
      </c>
      <c r="M77" s="211"/>
      <c r="N77" s="357">
        <v>-6.6666666666666652E-2</v>
      </c>
      <c r="O77" s="357">
        <v>0.58571428571428563</v>
      </c>
      <c r="P77" s="357">
        <v>-0.5645645645645645</v>
      </c>
      <c r="Q77" s="357">
        <v>0.33103448275862069</v>
      </c>
      <c r="R77" s="211"/>
      <c r="S77" s="357">
        <v>3.6269430051813378E-2</v>
      </c>
      <c r="T77" s="357">
        <v>4.9999999999998934E-3</v>
      </c>
      <c r="U77" s="357">
        <v>0.3532338308457712</v>
      </c>
      <c r="V77" s="357">
        <v>-0.12867647058823528</v>
      </c>
      <c r="W77" s="211"/>
      <c r="X77" s="357">
        <v>0.31645569620253156</v>
      </c>
      <c r="Y77" s="357">
        <v>-8.6538461538461564E-2</v>
      </c>
      <c r="Z77" s="357">
        <v>0.10175438596491237</v>
      </c>
      <c r="AA77" s="357">
        <v>-0.22292993630573243</v>
      </c>
      <c r="AB77" s="211"/>
      <c r="AC77" s="21">
        <v>0.16803278688524581</v>
      </c>
      <c r="AD77" s="21">
        <v>-2.1052631578947323E-2</v>
      </c>
      <c r="AE77" s="21">
        <v>5.3763440860215006E-2</v>
      </c>
      <c r="AF77" s="21">
        <v>-5.7823129251700633E-2</v>
      </c>
      <c r="AG77" s="211"/>
      <c r="AH77" s="21">
        <v>0.12635379061371843</v>
      </c>
      <c r="AI77" s="21">
        <v>-9.9358974358974339E-2</v>
      </c>
      <c r="AJ77" s="21">
        <v>-0.14946619217081847</v>
      </c>
      <c r="AK77" s="21">
        <v>0.21338912133891208</v>
      </c>
      <c r="AL77" s="211"/>
      <c r="AM77" s="21">
        <v>-6.8965517241379337E-2</v>
      </c>
      <c r="AN77" s="21">
        <v>-1.4814814814814836E-2</v>
      </c>
      <c r="AO77" s="21">
        <v>0.1278195488721805</v>
      </c>
      <c r="AP77" s="21">
        <v>1.0000000000000009E-2</v>
      </c>
      <c r="AQ77" s="211"/>
      <c r="AR77" s="21">
        <v>-2.9702970297029729E-2</v>
      </c>
      <c r="AS77" s="21">
        <v>-9.5238095238095233E-2</v>
      </c>
      <c r="AT77" s="138"/>
      <c r="AU77" s="21">
        <v>5.2631578947368363E-2</v>
      </c>
      <c r="AV77" s="277"/>
      <c r="AW77" s="21">
        <v>-8.2142857142857184E-2</v>
      </c>
      <c r="AX77" s="211"/>
    </row>
    <row r="78" spans="2:50" ht="13.9" customHeight="1">
      <c r="B78" s="20" t="s">
        <v>6</v>
      </c>
      <c r="C78" s="211"/>
      <c r="D78" s="66"/>
      <c r="E78" s="66"/>
      <c r="F78" s="66"/>
      <c r="G78" s="66"/>
      <c r="H78" s="211">
        <v>-1.0791366906474864E-2</v>
      </c>
      <c r="I78" s="66">
        <v>-2.3809523809523836E-2</v>
      </c>
      <c r="J78" s="66">
        <v>0.42922374429223753</v>
      </c>
      <c r="K78" s="66">
        <v>0.37058823529411766</v>
      </c>
      <c r="L78" s="66">
        <v>-4.4247787610619538E-3</v>
      </c>
      <c r="M78" s="211">
        <v>0.1830303030303031</v>
      </c>
      <c r="N78" s="66">
        <v>2.4390243902439046E-2</v>
      </c>
      <c r="O78" s="66">
        <v>6.3897763578274702E-2</v>
      </c>
      <c r="P78" s="66">
        <v>-0.37768240343347637</v>
      </c>
      <c r="Q78" s="66">
        <v>-0.14222222222222225</v>
      </c>
      <c r="R78" s="211">
        <v>-9.7336065573770503E-2</v>
      </c>
      <c r="S78" s="66">
        <v>-4.7619047619047672E-2</v>
      </c>
      <c r="T78" s="66">
        <v>-0.39639639639639634</v>
      </c>
      <c r="U78" s="66">
        <v>0.87586206896551722</v>
      </c>
      <c r="V78" s="66">
        <v>0.22797927461139889</v>
      </c>
      <c r="W78" s="211">
        <v>3.2917139614074831E-2</v>
      </c>
      <c r="X78" s="66">
        <v>0.56000000000000005</v>
      </c>
      <c r="Y78" s="66">
        <v>0.41791044776119413</v>
      </c>
      <c r="Z78" s="66">
        <v>0.15441176470588225</v>
      </c>
      <c r="AA78" s="66">
        <v>2.9535864978903037E-2</v>
      </c>
      <c r="AB78" s="211">
        <v>0.26923076923076916</v>
      </c>
      <c r="AC78" s="22">
        <v>-8.6538461538461564E-2</v>
      </c>
      <c r="AD78" s="22">
        <v>-2.1052631578947323E-2</v>
      </c>
      <c r="AE78" s="22">
        <v>-6.3694267515923553E-2</v>
      </c>
      <c r="AF78" s="22">
        <v>0.13524590163934436</v>
      </c>
      <c r="AG78" s="211">
        <v>-1.7316017316017285E-2</v>
      </c>
      <c r="AH78" s="22">
        <v>9.473684210526323E-2</v>
      </c>
      <c r="AI78" s="22">
        <v>7.1684587813620748E-3</v>
      </c>
      <c r="AJ78" s="22">
        <v>-0.18707482993197277</v>
      </c>
      <c r="AK78" s="22">
        <v>4.6931407942238268E-2</v>
      </c>
      <c r="AL78" s="211">
        <v>-1.1453744493392093E-2</v>
      </c>
      <c r="AM78" s="22">
        <v>-0.13461538461538458</v>
      </c>
      <c r="AN78" s="22">
        <v>-5.3380782918149516E-2</v>
      </c>
      <c r="AO78" s="22">
        <v>0.2552301255230125</v>
      </c>
      <c r="AP78" s="22">
        <v>4.482758620689653E-2</v>
      </c>
      <c r="AQ78" s="211">
        <v>1.5151515151515138E-2</v>
      </c>
      <c r="AR78" s="22">
        <v>8.8888888888888795E-2</v>
      </c>
      <c r="AS78" s="22">
        <v>0</v>
      </c>
      <c r="AT78" s="139"/>
      <c r="AU78" s="22">
        <v>-6.6666666666666652E-2</v>
      </c>
      <c r="AV78" s="278"/>
      <c r="AW78" s="22">
        <v>-0.15181518151815176</v>
      </c>
      <c r="AX78" s="211">
        <v>-3.687445127304656E-2</v>
      </c>
    </row>
    <row r="79" spans="2:50" ht="13.9" customHeight="1">
      <c r="B79" s="12" t="s">
        <v>393</v>
      </c>
      <c r="C79" s="219">
        <v>0.19028062970568105</v>
      </c>
      <c r="D79" s="164">
        <v>0.19480519480519481</v>
      </c>
      <c r="E79" s="164">
        <v>0.20699432892249528</v>
      </c>
      <c r="F79" s="164">
        <v>0.16022620169651272</v>
      </c>
      <c r="G79" s="164">
        <v>0.21585482330468003</v>
      </c>
      <c r="H79" s="219">
        <v>0.19439208294062205</v>
      </c>
      <c r="I79" s="164">
        <v>0.19285042333019756</v>
      </c>
      <c r="J79" s="164">
        <v>0.29417293233082709</v>
      </c>
      <c r="K79" s="164">
        <v>0.2233940556088207</v>
      </c>
      <c r="L79" s="164">
        <v>0.21929824561403508</v>
      </c>
      <c r="M79" s="219">
        <v>0.23260247855100094</v>
      </c>
      <c r="N79" s="164">
        <v>0.20134228187919462</v>
      </c>
      <c r="O79" s="164">
        <v>0.32647058823529412</v>
      </c>
      <c r="P79" s="164">
        <v>0.14146341463414633</v>
      </c>
      <c r="Q79" s="164">
        <v>0.19593908629441625</v>
      </c>
      <c r="R79" s="219">
        <v>0.21630247974465996</v>
      </c>
      <c r="S79" s="164">
        <v>0.19646365422396855</v>
      </c>
      <c r="T79" s="164">
        <v>0.19252873563218389</v>
      </c>
      <c r="U79" s="164">
        <v>0.26103646833013433</v>
      </c>
      <c r="V79" s="164">
        <v>0.22464454976303316</v>
      </c>
      <c r="W79" s="219">
        <v>0.21880259677807165</v>
      </c>
      <c r="X79" s="164">
        <v>0.29601518026565465</v>
      </c>
      <c r="Y79" s="164">
        <v>0.27430221366698748</v>
      </c>
      <c r="Z79" s="164">
        <v>0.30279652844744454</v>
      </c>
      <c r="AA79" s="164">
        <v>0.23193916349809887</v>
      </c>
      <c r="AB79" s="219">
        <v>0.27618364418938307</v>
      </c>
      <c r="AC79" s="155">
        <v>0.26003649635036497</v>
      </c>
      <c r="AD79" s="155">
        <v>0.2614807872539831</v>
      </c>
      <c r="AE79" s="155">
        <v>0.27071823204419887</v>
      </c>
      <c r="AF79" s="155">
        <v>0.26206244087038788</v>
      </c>
      <c r="AG79" s="219">
        <v>0.26358569437993495</v>
      </c>
      <c r="AH79" s="155">
        <v>0.28082808280828081</v>
      </c>
      <c r="AI79" s="155">
        <v>0.24867256637168142</v>
      </c>
      <c r="AJ79" s="155">
        <v>0.22047970479704798</v>
      </c>
      <c r="AK79" s="155">
        <v>0.26678932842686293</v>
      </c>
      <c r="AL79" s="219">
        <v>0.2543064369900272</v>
      </c>
      <c r="AM79" s="155">
        <v>0.24747937671860679</v>
      </c>
      <c r="AN79" s="155">
        <v>0.24744186046511629</v>
      </c>
      <c r="AO79" s="155">
        <v>0.27149321266968324</v>
      </c>
      <c r="AP79" s="155">
        <v>0.28291316526610644</v>
      </c>
      <c r="AQ79" s="219">
        <v>0.26232151082450483</v>
      </c>
      <c r="AR79" s="155">
        <v>0.2670299727520436</v>
      </c>
      <c r="AS79" s="155">
        <v>0.2413793103448276</v>
      </c>
      <c r="AT79" s="156">
        <v>0.25419881979119385</v>
      </c>
      <c r="AU79" s="155">
        <v>0.25202520252025201</v>
      </c>
      <c r="AV79" s="280">
        <v>0.25347012673506336</v>
      </c>
      <c r="AW79" s="155">
        <v>0.23070017953321365</v>
      </c>
      <c r="AX79" s="219">
        <v>0.2477416440831075</v>
      </c>
    </row>
    <row r="80" spans="2:50" ht="13.9" customHeight="1">
      <c r="B80" s="12" t="s">
        <v>149</v>
      </c>
      <c r="C80" s="210">
        <v>132</v>
      </c>
      <c r="D80" s="355">
        <v>10</v>
      </c>
      <c r="E80" s="355">
        <v>16</v>
      </c>
      <c r="F80" s="355">
        <v>46</v>
      </c>
      <c r="G80" s="355">
        <v>22</v>
      </c>
      <c r="H80" s="210">
        <v>94</v>
      </c>
      <c r="I80" s="355">
        <v>7</v>
      </c>
      <c r="J80" s="61">
        <v>-58</v>
      </c>
      <c r="K80" s="355">
        <v>8</v>
      </c>
      <c r="L80" s="355">
        <v>270</v>
      </c>
      <c r="M80" s="210">
        <v>227</v>
      </c>
      <c r="N80" s="355">
        <v>39</v>
      </c>
      <c r="O80" s="355">
        <v>340</v>
      </c>
      <c r="P80" s="355">
        <v>14</v>
      </c>
      <c r="Q80" s="355">
        <v>14</v>
      </c>
      <c r="R80" s="210">
        <v>407</v>
      </c>
      <c r="S80" s="355">
        <v>7</v>
      </c>
      <c r="T80" s="355">
        <v>19</v>
      </c>
      <c r="U80" s="355">
        <v>1</v>
      </c>
      <c r="V80" s="355">
        <v>119</v>
      </c>
      <c r="W80" s="210">
        <v>146</v>
      </c>
      <c r="X80" s="355">
        <v>182</v>
      </c>
      <c r="Y80" s="355">
        <v>0</v>
      </c>
      <c r="Z80" s="355">
        <v>4</v>
      </c>
      <c r="AA80" s="355">
        <v>87</v>
      </c>
      <c r="AB80" s="210">
        <v>273</v>
      </c>
      <c r="AC80" s="19">
        <v>14</v>
      </c>
      <c r="AD80" s="19">
        <v>5</v>
      </c>
      <c r="AE80" s="19">
        <v>8</v>
      </c>
      <c r="AF80" s="19">
        <v>9</v>
      </c>
      <c r="AG80" s="210">
        <v>36</v>
      </c>
      <c r="AH80" s="19">
        <v>29</v>
      </c>
      <c r="AI80" s="19">
        <v>1</v>
      </c>
      <c r="AJ80" s="19">
        <v>0</v>
      </c>
      <c r="AK80" s="19">
        <v>3</v>
      </c>
      <c r="AL80" s="210">
        <v>33</v>
      </c>
      <c r="AM80" s="19">
        <v>2</v>
      </c>
      <c r="AN80" s="19">
        <v>4</v>
      </c>
      <c r="AO80" s="19">
        <v>7</v>
      </c>
      <c r="AP80" s="19">
        <v>0</v>
      </c>
      <c r="AQ80" s="210">
        <v>13</v>
      </c>
      <c r="AR80" s="19">
        <v>3</v>
      </c>
      <c r="AS80" s="19">
        <v>31</v>
      </c>
      <c r="AT80" s="137">
        <v>34</v>
      </c>
      <c r="AU80" s="19">
        <v>4</v>
      </c>
      <c r="AV80" s="276">
        <v>38</v>
      </c>
      <c r="AW80" s="19">
        <v>1</v>
      </c>
      <c r="AX80" s="210">
        <v>39</v>
      </c>
    </row>
    <row r="81" spans="2:50" ht="13.9" customHeight="1">
      <c r="B81" s="12"/>
      <c r="C81" s="210"/>
      <c r="D81" s="355"/>
      <c r="E81" s="355"/>
      <c r="F81" s="355"/>
      <c r="G81" s="355"/>
      <c r="H81" s="210"/>
      <c r="I81" s="355"/>
      <c r="J81" s="61"/>
      <c r="K81" s="355"/>
      <c r="L81" s="355"/>
      <c r="M81" s="210"/>
      <c r="N81" s="355"/>
      <c r="O81" s="355"/>
      <c r="P81" s="355"/>
      <c r="Q81" s="355"/>
      <c r="R81" s="210"/>
      <c r="S81" s="355"/>
      <c r="T81" s="355"/>
      <c r="U81" s="355"/>
      <c r="V81" s="355"/>
      <c r="W81" s="210"/>
      <c r="X81" s="355"/>
      <c r="Y81" s="355"/>
      <c r="Z81" s="355"/>
      <c r="AA81" s="355"/>
      <c r="AB81" s="210"/>
      <c r="AC81" s="19"/>
      <c r="AD81" s="19"/>
      <c r="AE81" s="19"/>
      <c r="AF81" s="19"/>
      <c r="AG81" s="210"/>
      <c r="AH81" s="19"/>
      <c r="AI81" s="19"/>
      <c r="AJ81" s="19"/>
      <c r="AK81" s="19"/>
      <c r="AL81" s="210"/>
      <c r="AM81" s="19"/>
      <c r="AN81" s="19"/>
      <c r="AO81" s="19"/>
      <c r="AP81" s="19"/>
      <c r="AQ81" s="210"/>
      <c r="AR81" s="19"/>
      <c r="AS81" s="19"/>
      <c r="AT81" s="138"/>
      <c r="AU81" s="19"/>
      <c r="AV81" s="276"/>
      <c r="AW81" s="19"/>
      <c r="AX81" s="210"/>
    </row>
    <row r="82" spans="2:50" ht="13.9" customHeight="1">
      <c r="B82" s="12" t="s">
        <v>117</v>
      </c>
      <c r="C82" s="210">
        <v>702</v>
      </c>
      <c r="D82" s="355">
        <v>200</v>
      </c>
      <c r="E82" s="355">
        <v>203</v>
      </c>
      <c r="F82" s="355">
        <v>124</v>
      </c>
      <c r="G82" s="355">
        <v>204</v>
      </c>
      <c r="H82" s="210">
        <v>731</v>
      </c>
      <c r="I82" s="355">
        <v>198</v>
      </c>
      <c r="J82" s="355">
        <v>371</v>
      </c>
      <c r="K82" s="355">
        <v>225</v>
      </c>
      <c r="L82" s="61">
        <v>-45</v>
      </c>
      <c r="M82" s="210">
        <v>749</v>
      </c>
      <c r="N82" s="355">
        <v>171</v>
      </c>
      <c r="O82" s="61">
        <v>-7</v>
      </c>
      <c r="P82" s="61">
        <v>131</v>
      </c>
      <c r="Q82" s="61">
        <v>179</v>
      </c>
      <c r="R82" s="210">
        <v>474</v>
      </c>
      <c r="S82" s="355">
        <v>193</v>
      </c>
      <c r="T82" s="61">
        <v>182</v>
      </c>
      <c r="U82" s="61">
        <v>271</v>
      </c>
      <c r="V82" s="61">
        <v>118</v>
      </c>
      <c r="W82" s="210">
        <v>764</v>
      </c>
      <c r="X82" s="355">
        <v>130</v>
      </c>
      <c r="Y82" s="61">
        <v>285</v>
      </c>
      <c r="Z82" s="61">
        <v>310</v>
      </c>
      <c r="AA82" s="61">
        <v>157</v>
      </c>
      <c r="AB82" s="210">
        <v>882</v>
      </c>
      <c r="AC82" s="19">
        <v>271</v>
      </c>
      <c r="AD82" s="61">
        <v>274</v>
      </c>
      <c r="AE82" s="61">
        <v>286</v>
      </c>
      <c r="AF82" s="61">
        <v>268</v>
      </c>
      <c r="AG82" s="210">
        <v>1099</v>
      </c>
      <c r="AH82" s="19">
        <v>283</v>
      </c>
      <c r="AI82" s="61">
        <v>280</v>
      </c>
      <c r="AJ82" s="61">
        <v>239</v>
      </c>
      <c r="AK82" s="19">
        <v>287</v>
      </c>
      <c r="AL82" s="210">
        <v>1089</v>
      </c>
      <c r="AM82" s="19">
        <v>268</v>
      </c>
      <c r="AN82" s="61">
        <v>262</v>
      </c>
      <c r="AO82" s="61">
        <v>293</v>
      </c>
      <c r="AP82" s="19">
        <v>303</v>
      </c>
      <c r="AQ82" s="210">
        <v>1126</v>
      </c>
      <c r="AR82" s="19">
        <v>291</v>
      </c>
      <c r="AS82" s="61">
        <v>235</v>
      </c>
      <c r="AT82" s="137">
        <v>526</v>
      </c>
      <c r="AU82" s="61">
        <v>276</v>
      </c>
      <c r="AV82" s="276">
        <v>802</v>
      </c>
      <c r="AW82" s="19">
        <v>256</v>
      </c>
      <c r="AX82" s="210">
        <v>1058</v>
      </c>
    </row>
    <row r="83" spans="2:50" ht="13.9" customHeight="1">
      <c r="B83" s="20" t="s">
        <v>5</v>
      </c>
      <c r="C83" s="211"/>
      <c r="D83" s="357"/>
      <c r="E83" s="357">
        <v>1.4999999999999902E-2</v>
      </c>
      <c r="F83" s="357">
        <v>-0.38916256157635465</v>
      </c>
      <c r="G83" s="357">
        <v>0.64516129032258074</v>
      </c>
      <c r="H83" s="211"/>
      <c r="I83" s="357">
        <v>-2.9411764705882359E-2</v>
      </c>
      <c r="J83" s="357">
        <v>0.8737373737373737</v>
      </c>
      <c r="K83" s="357">
        <v>-0.39353099730458219</v>
      </c>
      <c r="L83" s="359" t="s">
        <v>23</v>
      </c>
      <c r="M83" s="211"/>
      <c r="N83" s="359" t="s">
        <v>23</v>
      </c>
      <c r="O83" s="359" t="s">
        <v>23</v>
      </c>
      <c r="P83" s="359" t="s">
        <v>23</v>
      </c>
      <c r="Q83" s="357">
        <v>0.36641221374045796</v>
      </c>
      <c r="R83" s="211"/>
      <c r="S83" s="357">
        <v>7.8212290502793325E-2</v>
      </c>
      <c r="T83" s="357">
        <v>-5.6994818652849721E-2</v>
      </c>
      <c r="U83" s="357">
        <v>0.48901098901098905</v>
      </c>
      <c r="V83" s="357">
        <v>-0.56457564575645758</v>
      </c>
      <c r="W83" s="211"/>
      <c r="X83" s="357">
        <v>0.10169491525423724</v>
      </c>
      <c r="Y83" s="357">
        <v>1.1923076923076925</v>
      </c>
      <c r="Z83" s="357">
        <v>8.7719298245614086E-2</v>
      </c>
      <c r="AA83" s="357">
        <v>-0.49354838709677418</v>
      </c>
      <c r="AB83" s="211"/>
      <c r="AC83" s="21">
        <v>0.72611464968152872</v>
      </c>
      <c r="AD83" s="21">
        <v>1.1070110701107083E-2</v>
      </c>
      <c r="AE83" s="21">
        <v>4.3795620437956151E-2</v>
      </c>
      <c r="AF83" s="21">
        <v>-6.2937062937062915E-2</v>
      </c>
      <c r="AG83" s="211"/>
      <c r="AH83" s="21">
        <v>5.5970149253731449E-2</v>
      </c>
      <c r="AI83" s="21">
        <v>-1.0600706713780883E-2</v>
      </c>
      <c r="AJ83" s="21">
        <v>-0.14642857142857146</v>
      </c>
      <c r="AK83" s="21">
        <v>0.20083682008368209</v>
      </c>
      <c r="AL83" s="211"/>
      <c r="AM83" s="21">
        <v>-6.6202090592334506E-2</v>
      </c>
      <c r="AN83" s="21">
        <v>-2.2388059701492491E-2</v>
      </c>
      <c r="AO83" s="21">
        <v>0.11832061068702293</v>
      </c>
      <c r="AP83" s="21">
        <v>3.4129692832764569E-2</v>
      </c>
      <c r="AQ83" s="211"/>
      <c r="AR83" s="21">
        <v>-3.9603960396039639E-2</v>
      </c>
      <c r="AS83" s="21">
        <v>-0.19243986254295531</v>
      </c>
      <c r="AT83" s="138"/>
      <c r="AU83" s="21">
        <v>0.1744680851063829</v>
      </c>
      <c r="AV83" s="277"/>
      <c r="AW83" s="21">
        <v>-7.2463768115942018E-2</v>
      </c>
      <c r="AX83" s="211"/>
    </row>
    <row r="84" spans="2:50" ht="13.9" customHeight="1">
      <c r="B84" s="20" t="s">
        <v>6</v>
      </c>
      <c r="C84" s="211"/>
      <c r="D84" s="66"/>
      <c r="E84" s="66"/>
      <c r="F84" s="66"/>
      <c r="G84" s="66"/>
      <c r="H84" s="211">
        <v>4.1310541310541238E-2</v>
      </c>
      <c r="I84" s="66">
        <v>-1.0000000000000009E-2</v>
      </c>
      <c r="J84" s="66">
        <v>0.82758620689655182</v>
      </c>
      <c r="K84" s="66">
        <v>0.81451612903225801</v>
      </c>
      <c r="L84" s="359" t="s">
        <v>23</v>
      </c>
      <c r="M84" s="211">
        <v>2.4623803009576006E-2</v>
      </c>
      <c r="N84" s="66">
        <v>-0.13636363636363635</v>
      </c>
      <c r="O84" s="359" t="s">
        <v>23</v>
      </c>
      <c r="P84" s="66">
        <v>-0.4177777777777778</v>
      </c>
      <c r="Q84" s="359" t="s">
        <v>23</v>
      </c>
      <c r="R84" s="211">
        <v>-0.36715620827770357</v>
      </c>
      <c r="S84" s="66">
        <v>0.12865497076023402</v>
      </c>
      <c r="T84" s="359" t="s">
        <v>23</v>
      </c>
      <c r="U84" s="359" t="s">
        <v>23</v>
      </c>
      <c r="V84" s="66">
        <v>-0.34078212290502796</v>
      </c>
      <c r="W84" s="211">
        <v>0.61181434599156126</v>
      </c>
      <c r="X84" s="66">
        <v>-0.32642487046632129</v>
      </c>
      <c r="Y84" s="66">
        <v>0.56593406593406592</v>
      </c>
      <c r="Z84" s="66">
        <v>0.14391143911439119</v>
      </c>
      <c r="AA84" s="66">
        <v>0.33050847457627119</v>
      </c>
      <c r="AB84" s="211">
        <v>0.15445026178010468</v>
      </c>
      <c r="AC84" s="22">
        <v>1.0846153846153848</v>
      </c>
      <c r="AD84" s="22">
        <v>-3.8596491228070184E-2</v>
      </c>
      <c r="AE84" s="22">
        <v>-7.7419354838709653E-2</v>
      </c>
      <c r="AF84" s="22">
        <v>0.70700636942675166</v>
      </c>
      <c r="AG84" s="211">
        <v>0.24603174603174605</v>
      </c>
      <c r="AH84" s="22">
        <v>4.4280442804428111E-2</v>
      </c>
      <c r="AI84" s="22">
        <v>2.1897810218978186E-2</v>
      </c>
      <c r="AJ84" s="22">
        <v>-0.16433566433566438</v>
      </c>
      <c r="AK84" s="22">
        <v>7.0895522388059629E-2</v>
      </c>
      <c r="AL84" s="211">
        <v>-9.099181073703333E-3</v>
      </c>
      <c r="AM84" s="22">
        <v>-5.3003533568904637E-2</v>
      </c>
      <c r="AN84" s="22">
        <v>-6.4285714285714279E-2</v>
      </c>
      <c r="AO84" s="22">
        <v>0.22594142259414229</v>
      </c>
      <c r="AP84" s="22">
        <v>5.5749128919860613E-2</v>
      </c>
      <c r="AQ84" s="211">
        <v>3.397612488521573E-2</v>
      </c>
      <c r="AR84" s="22">
        <v>8.582089552238803E-2</v>
      </c>
      <c r="AS84" s="22">
        <v>-0.10305343511450382</v>
      </c>
      <c r="AT84" s="139"/>
      <c r="AU84" s="22">
        <v>-5.8020477815699634E-2</v>
      </c>
      <c r="AV84" s="278"/>
      <c r="AW84" s="22">
        <v>-0.15511551155115511</v>
      </c>
      <c r="AX84" s="211">
        <v>-6.0390763765541755E-2</v>
      </c>
    </row>
    <row r="85" spans="2:50" ht="13.9" customHeight="1">
      <c r="B85" s="12" t="s">
        <v>160</v>
      </c>
      <c r="C85" s="367">
        <v>0</v>
      </c>
      <c r="D85" s="368">
        <v>0</v>
      </c>
      <c r="E85" s="368">
        <v>0</v>
      </c>
      <c r="F85" s="368">
        <v>0</v>
      </c>
      <c r="G85" s="368">
        <v>0</v>
      </c>
      <c r="H85" s="367">
        <v>0</v>
      </c>
      <c r="I85" s="355">
        <v>33</v>
      </c>
      <c r="J85" s="355">
        <v>29</v>
      </c>
      <c r="K85" s="355">
        <v>28</v>
      </c>
      <c r="L85" s="355">
        <v>9</v>
      </c>
      <c r="M85" s="210">
        <v>99</v>
      </c>
      <c r="N85" s="355">
        <v>34</v>
      </c>
      <c r="O85" s="355">
        <v>27</v>
      </c>
      <c r="P85" s="355">
        <v>25</v>
      </c>
      <c r="Q85" s="355">
        <v>28</v>
      </c>
      <c r="R85" s="210">
        <v>114</v>
      </c>
      <c r="S85" s="355">
        <v>32</v>
      </c>
      <c r="T85" s="355">
        <v>26</v>
      </c>
      <c r="U85" s="355">
        <v>26</v>
      </c>
      <c r="V85" s="355">
        <v>27</v>
      </c>
      <c r="W85" s="210">
        <v>111</v>
      </c>
      <c r="X85" s="355">
        <v>29</v>
      </c>
      <c r="Y85" s="355">
        <v>24</v>
      </c>
      <c r="Z85" s="355">
        <v>31</v>
      </c>
      <c r="AA85" s="355">
        <v>32</v>
      </c>
      <c r="AB85" s="210">
        <v>116</v>
      </c>
      <c r="AC85" s="19">
        <v>36</v>
      </c>
      <c r="AD85" s="19">
        <v>33</v>
      </c>
      <c r="AE85" s="19">
        <v>34</v>
      </c>
      <c r="AF85" s="19">
        <v>35</v>
      </c>
      <c r="AG85" s="210">
        <v>138</v>
      </c>
      <c r="AH85" s="19">
        <v>40</v>
      </c>
      <c r="AI85" s="19">
        <v>35</v>
      </c>
      <c r="AJ85" s="19">
        <v>37</v>
      </c>
      <c r="AK85" s="19">
        <v>46</v>
      </c>
      <c r="AL85" s="210">
        <v>158</v>
      </c>
      <c r="AM85" s="19">
        <v>31</v>
      </c>
      <c r="AN85" s="19">
        <v>37</v>
      </c>
      <c r="AO85" s="19">
        <v>38</v>
      </c>
      <c r="AP85" s="19">
        <v>38</v>
      </c>
      <c r="AQ85" s="210">
        <v>144</v>
      </c>
      <c r="AR85" s="19">
        <v>42</v>
      </c>
      <c r="AS85" s="19">
        <v>36</v>
      </c>
      <c r="AT85" s="137">
        <v>78</v>
      </c>
      <c r="AU85" s="19">
        <v>39</v>
      </c>
      <c r="AV85" s="276">
        <v>117</v>
      </c>
      <c r="AW85" s="19">
        <v>48</v>
      </c>
      <c r="AX85" s="210">
        <v>165</v>
      </c>
    </row>
    <row r="86" spans="2:50" ht="13.9" customHeight="1">
      <c r="B86" s="12"/>
      <c r="C86" s="211"/>
      <c r="D86" s="66"/>
      <c r="E86" s="66"/>
      <c r="F86" s="66"/>
      <c r="G86" s="66"/>
      <c r="H86" s="211"/>
      <c r="I86" s="355"/>
      <c r="J86" s="355"/>
      <c r="K86" s="355"/>
      <c r="L86" s="355"/>
      <c r="M86" s="210"/>
      <c r="N86" s="355"/>
      <c r="O86" s="355"/>
      <c r="P86" s="355"/>
      <c r="Q86" s="355"/>
      <c r="R86" s="210"/>
      <c r="S86" s="355"/>
      <c r="T86" s="355"/>
      <c r="U86" s="355"/>
      <c r="V86" s="355"/>
      <c r="W86" s="210"/>
      <c r="X86" s="355"/>
      <c r="Y86" s="355"/>
      <c r="Z86" s="355"/>
      <c r="AA86" s="355"/>
      <c r="AB86" s="210"/>
      <c r="AC86" s="19"/>
      <c r="AD86" s="19"/>
      <c r="AE86" s="19"/>
      <c r="AF86" s="19"/>
      <c r="AG86" s="210"/>
      <c r="AH86" s="19"/>
      <c r="AI86" s="19"/>
      <c r="AJ86" s="19"/>
      <c r="AK86" s="19"/>
      <c r="AL86" s="210"/>
      <c r="AM86" s="19"/>
      <c r="AN86" s="19"/>
      <c r="AO86" s="19"/>
      <c r="AP86" s="19"/>
      <c r="AQ86" s="210"/>
      <c r="AR86" s="19"/>
      <c r="AS86" s="19"/>
      <c r="AT86" s="138"/>
      <c r="AU86" s="19"/>
      <c r="AV86" s="276"/>
      <c r="AW86" s="19"/>
      <c r="AX86" s="210"/>
    </row>
    <row r="87" spans="2:50" ht="13.9" customHeight="1">
      <c r="B87" s="12" t="s">
        <v>318</v>
      </c>
      <c r="C87" s="210">
        <v>1362</v>
      </c>
      <c r="D87" s="355">
        <v>400</v>
      </c>
      <c r="E87" s="355">
        <v>262</v>
      </c>
      <c r="F87" s="355">
        <v>449</v>
      </c>
      <c r="G87" s="355">
        <v>383</v>
      </c>
      <c r="H87" s="210">
        <v>1494</v>
      </c>
      <c r="I87" s="355">
        <v>285</v>
      </c>
      <c r="J87" s="355">
        <v>107</v>
      </c>
      <c r="K87" s="355">
        <v>330</v>
      </c>
      <c r="L87" s="355">
        <v>636</v>
      </c>
      <c r="M87" s="210">
        <v>1358</v>
      </c>
      <c r="N87" s="355">
        <v>266</v>
      </c>
      <c r="O87" s="355">
        <v>396</v>
      </c>
      <c r="P87" s="355">
        <v>328</v>
      </c>
      <c r="Q87" s="355">
        <v>269</v>
      </c>
      <c r="R87" s="210">
        <v>1259</v>
      </c>
      <c r="S87" s="355">
        <v>386</v>
      </c>
      <c r="T87" s="355">
        <v>126</v>
      </c>
      <c r="U87" s="355">
        <v>264</v>
      </c>
      <c r="V87" s="355">
        <v>455</v>
      </c>
      <c r="W87" s="210">
        <v>1231</v>
      </c>
      <c r="X87" s="355">
        <v>351</v>
      </c>
      <c r="Y87" s="355">
        <v>45</v>
      </c>
      <c r="Z87" s="355">
        <v>226</v>
      </c>
      <c r="AA87" s="355">
        <v>404</v>
      </c>
      <c r="AB87" s="210">
        <v>1026</v>
      </c>
      <c r="AC87" s="19">
        <v>327</v>
      </c>
      <c r="AD87" s="19">
        <v>234</v>
      </c>
      <c r="AE87" s="19">
        <v>107</v>
      </c>
      <c r="AF87" s="19">
        <v>325</v>
      </c>
      <c r="AG87" s="210">
        <v>993</v>
      </c>
      <c r="AH87" s="19">
        <v>285</v>
      </c>
      <c r="AI87" s="19">
        <v>287</v>
      </c>
      <c r="AJ87" s="19">
        <v>310</v>
      </c>
      <c r="AK87" s="19">
        <v>251</v>
      </c>
      <c r="AL87" s="210">
        <v>1133</v>
      </c>
      <c r="AM87" s="19">
        <v>449</v>
      </c>
      <c r="AN87" s="19">
        <v>192</v>
      </c>
      <c r="AO87" s="19">
        <v>258</v>
      </c>
      <c r="AP87" s="19">
        <v>285</v>
      </c>
      <c r="AQ87" s="210">
        <v>1184</v>
      </c>
      <c r="AR87" s="19">
        <v>220</v>
      </c>
      <c r="AS87" s="19">
        <v>230</v>
      </c>
      <c r="AT87" s="137">
        <v>450</v>
      </c>
      <c r="AU87" s="19">
        <v>250</v>
      </c>
      <c r="AV87" s="276">
        <v>700</v>
      </c>
      <c r="AW87" s="19">
        <v>269</v>
      </c>
      <c r="AX87" s="210">
        <v>969</v>
      </c>
    </row>
    <row r="88" spans="2:50" ht="13.9" customHeight="1">
      <c r="B88" s="20" t="s">
        <v>5</v>
      </c>
      <c r="C88" s="211"/>
      <c r="D88" s="357"/>
      <c r="E88" s="357">
        <v>-0.34499999999999997</v>
      </c>
      <c r="F88" s="357">
        <v>0.71374045801526709</v>
      </c>
      <c r="G88" s="357">
        <v>-0.14699331848552344</v>
      </c>
      <c r="H88" s="211"/>
      <c r="I88" s="357">
        <v>-0.25587467362924277</v>
      </c>
      <c r="J88" s="357">
        <v>-0.62456140350877187</v>
      </c>
      <c r="K88" s="357">
        <v>2.0841121495327104</v>
      </c>
      <c r="L88" s="357">
        <v>0.92727272727272725</v>
      </c>
      <c r="M88" s="211"/>
      <c r="N88" s="357">
        <v>-0.58176100628930816</v>
      </c>
      <c r="O88" s="357">
        <v>0.48872180451127822</v>
      </c>
      <c r="P88" s="357">
        <v>-0.17171717171717171</v>
      </c>
      <c r="Q88" s="357">
        <v>-0.17987804878048785</v>
      </c>
      <c r="R88" s="211"/>
      <c r="S88" s="357">
        <v>0.43494423791821557</v>
      </c>
      <c r="T88" s="357">
        <v>-0.67357512953367871</v>
      </c>
      <c r="U88" s="357">
        <v>1.0952380952380953</v>
      </c>
      <c r="V88" s="357">
        <v>0.7234848484848484</v>
      </c>
      <c r="W88" s="211"/>
      <c r="X88" s="357">
        <v>-0.22857142857142854</v>
      </c>
      <c r="Y88" s="357">
        <v>-0.87179487179487181</v>
      </c>
      <c r="Z88" s="357">
        <v>4.0222222222222221</v>
      </c>
      <c r="AA88" s="357">
        <v>0.78761061946902644</v>
      </c>
      <c r="AB88" s="211"/>
      <c r="AC88" s="21">
        <v>-0.19059405940594054</v>
      </c>
      <c r="AD88" s="21">
        <v>-0.2844036697247706</v>
      </c>
      <c r="AE88" s="21">
        <v>-0.54273504273504281</v>
      </c>
      <c r="AF88" s="21">
        <v>2.0373831775700935</v>
      </c>
      <c r="AG88" s="211"/>
      <c r="AH88" s="21">
        <v>-0.12307692307692308</v>
      </c>
      <c r="AI88" s="21">
        <v>7.0175438596491446E-3</v>
      </c>
      <c r="AJ88" s="21">
        <v>8.0139372822299659E-2</v>
      </c>
      <c r="AK88" s="21">
        <v>-0.19032258064516128</v>
      </c>
      <c r="AL88" s="211"/>
      <c r="AM88" s="21">
        <v>0.78884462151394419</v>
      </c>
      <c r="AN88" s="21">
        <v>-0.57238307349665929</v>
      </c>
      <c r="AO88" s="21">
        <v>0.34375</v>
      </c>
      <c r="AP88" s="21">
        <v>0.10465116279069764</v>
      </c>
      <c r="AQ88" s="211"/>
      <c r="AR88" s="21">
        <v>-0.22807017543859653</v>
      </c>
      <c r="AS88" s="21">
        <v>4.5454545454545414E-2</v>
      </c>
      <c r="AT88" s="138"/>
      <c r="AU88" s="21">
        <v>8.6956521739130377E-2</v>
      </c>
      <c r="AV88" s="277"/>
      <c r="AW88" s="21">
        <v>7.6000000000000068E-2</v>
      </c>
      <c r="AX88" s="211"/>
    </row>
    <row r="89" spans="2:50" ht="13.9" customHeight="1">
      <c r="B89" s="20" t="s">
        <v>6</v>
      </c>
      <c r="C89" s="211"/>
      <c r="D89" s="66"/>
      <c r="E89" s="66"/>
      <c r="F89" s="66"/>
      <c r="G89" s="66"/>
      <c r="H89" s="211">
        <v>9.6916299559471453E-2</v>
      </c>
      <c r="I89" s="66">
        <v>-0.28749999999999998</v>
      </c>
      <c r="J89" s="66">
        <v>-0.59160305343511443</v>
      </c>
      <c r="K89" s="66">
        <v>-0.26503340757238303</v>
      </c>
      <c r="L89" s="66">
        <v>0.66057441253263716</v>
      </c>
      <c r="M89" s="211">
        <v>-9.1030789825970571E-2</v>
      </c>
      <c r="N89" s="66">
        <v>-6.6666666666666652E-2</v>
      </c>
      <c r="O89" s="66">
        <v>2.7009345794392523</v>
      </c>
      <c r="P89" s="66">
        <v>-6.0606060606060996E-3</v>
      </c>
      <c r="Q89" s="66">
        <v>-0.57704402515723263</v>
      </c>
      <c r="R89" s="211">
        <v>-7.2901325478645029E-2</v>
      </c>
      <c r="S89" s="66">
        <v>0.45112781954887216</v>
      </c>
      <c r="T89" s="66">
        <v>-0.68181818181818188</v>
      </c>
      <c r="U89" s="66">
        <v>-0.19512195121951215</v>
      </c>
      <c r="V89" s="66">
        <v>0.69144981412639406</v>
      </c>
      <c r="W89" s="211">
        <v>-2.2239872915011949E-2</v>
      </c>
      <c r="X89" s="66">
        <v>-9.0673575129533668E-2</v>
      </c>
      <c r="Y89" s="66">
        <v>-0.64285714285714279</v>
      </c>
      <c r="Z89" s="66">
        <v>-0.14393939393939392</v>
      </c>
      <c r="AA89" s="66">
        <v>-0.11208791208791213</v>
      </c>
      <c r="AB89" s="211">
        <v>-0.1665312753858651</v>
      </c>
      <c r="AC89" s="22">
        <v>-6.8376068376068355E-2</v>
      </c>
      <c r="AD89" s="22">
        <v>4.2</v>
      </c>
      <c r="AE89" s="22">
        <v>-0.52654867256637172</v>
      </c>
      <c r="AF89" s="22">
        <v>-0.1955445544554455</v>
      </c>
      <c r="AG89" s="211">
        <v>-3.2163742690058506E-2</v>
      </c>
      <c r="AH89" s="22">
        <v>-0.12844036697247707</v>
      </c>
      <c r="AI89" s="22">
        <v>0.22649572649572658</v>
      </c>
      <c r="AJ89" s="22">
        <v>1.8971962616822431</v>
      </c>
      <c r="AK89" s="22">
        <v>-0.22769230769230764</v>
      </c>
      <c r="AL89" s="211">
        <v>0.14098690835850958</v>
      </c>
      <c r="AM89" s="22">
        <v>0.57543859649122808</v>
      </c>
      <c r="AN89" s="22">
        <v>-0.33101045296167242</v>
      </c>
      <c r="AO89" s="22">
        <v>-0.16774193548387095</v>
      </c>
      <c r="AP89" s="22">
        <v>0.13545816733067739</v>
      </c>
      <c r="AQ89" s="211">
        <v>4.501323918799649E-2</v>
      </c>
      <c r="AR89" s="22">
        <v>-0.51002227171492209</v>
      </c>
      <c r="AS89" s="22">
        <v>0.19791666666666674</v>
      </c>
      <c r="AT89" s="139"/>
      <c r="AU89" s="22">
        <v>-3.1007751937984551E-2</v>
      </c>
      <c r="AV89" s="278"/>
      <c r="AW89" s="22">
        <v>-5.6140350877192935E-2</v>
      </c>
      <c r="AX89" s="211">
        <v>-0.18158783783783783</v>
      </c>
    </row>
    <row r="90" spans="2:50" ht="4.1500000000000004" customHeight="1">
      <c r="B90" s="180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  <c r="AW90" s="181"/>
      <c r="AX90" s="181"/>
    </row>
    <row r="91" spans="2:50" s="20" customFormat="1" ht="10.15" customHeight="1"/>
    <row r="92" spans="2:50" ht="25.35" customHeight="1">
      <c r="B92" s="177" t="s">
        <v>305</v>
      </c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2"/>
      <c r="AT92" s="182"/>
      <c r="AU92" s="182"/>
      <c r="AV92" s="182"/>
      <c r="AW92" s="182"/>
      <c r="AX92" s="182"/>
    </row>
    <row r="93" spans="2:50" ht="13.9" customHeight="1">
      <c r="B93" s="201" t="s">
        <v>42</v>
      </c>
      <c r="C93" s="122"/>
      <c r="D93" s="283"/>
      <c r="E93" s="283"/>
      <c r="F93" s="283"/>
      <c r="G93" s="283"/>
      <c r="H93" s="122"/>
      <c r="I93" s="283"/>
      <c r="J93" s="283"/>
      <c r="K93" s="283"/>
      <c r="L93" s="283"/>
      <c r="M93" s="122"/>
      <c r="N93" s="283"/>
      <c r="O93" s="283"/>
      <c r="P93" s="283"/>
      <c r="Q93" s="283"/>
      <c r="R93" s="122"/>
      <c r="S93" s="283"/>
      <c r="T93" s="283"/>
      <c r="U93" s="283"/>
      <c r="V93" s="283"/>
      <c r="W93" s="122"/>
      <c r="X93" s="283"/>
      <c r="Y93" s="283"/>
      <c r="Z93" s="283"/>
      <c r="AA93" s="283"/>
      <c r="AB93" s="122"/>
      <c r="AC93" s="283"/>
      <c r="AD93" s="283"/>
      <c r="AE93" s="283"/>
      <c r="AF93" s="283"/>
      <c r="AG93" s="122"/>
      <c r="AH93" s="283"/>
      <c r="AI93" s="283"/>
      <c r="AJ93" s="283"/>
      <c r="AK93" s="283"/>
      <c r="AL93" s="122"/>
      <c r="AM93" s="283"/>
      <c r="AN93" s="283"/>
      <c r="AO93" s="283"/>
      <c r="AP93" s="283"/>
      <c r="AQ93" s="122"/>
      <c r="AR93" s="283"/>
      <c r="AS93" s="283"/>
      <c r="AT93" s="283"/>
      <c r="AU93" s="283"/>
      <c r="AV93" s="283"/>
      <c r="AW93" s="283"/>
      <c r="AX93" s="122"/>
    </row>
    <row r="94" spans="2:50" ht="13.9" customHeight="1">
      <c r="B94" s="12" t="s">
        <v>180</v>
      </c>
      <c r="C94" s="210">
        <v>705</v>
      </c>
      <c r="D94" s="355">
        <v>165</v>
      </c>
      <c r="E94" s="355">
        <v>166</v>
      </c>
      <c r="F94" s="355">
        <v>183</v>
      </c>
      <c r="G94" s="355">
        <v>163</v>
      </c>
      <c r="H94" s="210">
        <v>677</v>
      </c>
      <c r="I94" s="355">
        <v>140</v>
      </c>
      <c r="J94" s="355">
        <v>145</v>
      </c>
      <c r="K94" s="355">
        <v>143</v>
      </c>
      <c r="L94" s="355">
        <v>168</v>
      </c>
      <c r="M94" s="210">
        <v>596</v>
      </c>
      <c r="N94" s="355">
        <v>141</v>
      </c>
      <c r="O94" s="355">
        <v>133</v>
      </c>
      <c r="P94" s="355">
        <v>144</v>
      </c>
      <c r="Q94" s="355">
        <v>147</v>
      </c>
      <c r="R94" s="210">
        <v>565</v>
      </c>
      <c r="S94" s="355">
        <v>142</v>
      </c>
      <c r="T94" s="355">
        <v>140</v>
      </c>
      <c r="U94" s="355">
        <v>154</v>
      </c>
      <c r="V94" s="355">
        <v>154</v>
      </c>
      <c r="W94" s="210">
        <v>590</v>
      </c>
      <c r="X94" s="355">
        <v>155</v>
      </c>
      <c r="Y94" s="355">
        <v>162</v>
      </c>
      <c r="Z94" s="355">
        <v>163</v>
      </c>
      <c r="AA94" s="355">
        <v>187</v>
      </c>
      <c r="AB94" s="210">
        <v>667</v>
      </c>
      <c r="AC94" s="19">
        <v>178</v>
      </c>
      <c r="AD94" s="19">
        <v>179</v>
      </c>
      <c r="AE94" s="19">
        <v>199</v>
      </c>
      <c r="AF94" s="19">
        <v>203</v>
      </c>
      <c r="AG94" s="210">
        <v>759</v>
      </c>
      <c r="AH94" s="19">
        <v>195</v>
      </c>
      <c r="AI94" s="19">
        <v>197</v>
      </c>
      <c r="AJ94" s="19">
        <v>189</v>
      </c>
      <c r="AK94" s="19">
        <v>188</v>
      </c>
      <c r="AL94" s="210">
        <v>769</v>
      </c>
      <c r="AM94" s="19">
        <v>183</v>
      </c>
      <c r="AN94" s="19">
        <v>187</v>
      </c>
      <c r="AO94" s="19">
        <v>205</v>
      </c>
      <c r="AP94" s="19">
        <v>163</v>
      </c>
      <c r="AQ94" s="210">
        <v>738</v>
      </c>
      <c r="AR94" s="19">
        <v>188</v>
      </c>
      <c r="AS94" s="19">
        <v>192</v>
      </c>
      <c r="AT94" s="137">
        <v>380</v>
      </c>
      <c r="AU94" s="19">
        <v>203</v>
      </c>
      <c r="AV94" s="276">
        <v>583</v>
      </c>
      <c r="AW94" s="19">
        <v>167</v>
      </c>
      <c r="AX94" s="210">
        <v>750</v>
      </c>
    </row>
    <row r="95" spans="2:50" ht="13.9" customHeight="1">
      <c r="B95" s="20" t="s">
        <v>5</v>
      </c>
      <c r="C95" s="211"/>
      <c r="D95" s="357"/>
      <c r="E95" s="357">
        <v>6.0606060606060996E-3</v>
      </c>
      <c r="F95" s="357">
        <v>0.10240963855421681</v>
      </c>
      <c r="G95" s="357">
        <v>-0.10928961748633881</v>
      </c>
      <c r="H95" s="211"/>
      <c r="I95" s="357">
        <v>-0.14110429447852757</v>
      </c>
      <c r="J95" s="357">
        <v>3.5714285714285809E-2</v>
      </c>
      <c r="K95" s="357">
        <v>-1.379310344827589E-2</v>
      </c>
      <c r="L95" s="357">
        <v>0.17482517482517479</v>
      </c>
      <c r="M95" s="211"/>
      <c r="N95" s="357">
        <v>-0.1607142857142857</v>
      </c>
      <c r="O95" s="357">
        <v>-5.673758865248224E-2</v>
      </c>
      <c r="P95" s="357">
        <v>8.2706766917293173E-2</v>
      </c>
      <c r="Q95" s="357">
        <v>2.0833333333333259E-2</v>
      </c>
      <c r="R95" s="211"/>
      <c r="S95" s="357">
        <v>-3.4013605442176909E-2</v>
      </c>
      <c r="T95" s="357">
        <v>-1.4084507042253502E-2</v>
      </c>
      <c r="U95" s="357">
        <v>0.10000000000000009</v>
      </c>
      <c r="V95" s="357">
        <v>0</v>
      </c>
      <c r="W95" s="211"/>
      <c r="X95" s="357">
        <v>6.4935064935065512E-3</v>
      </c>
      <c r="Y95" s="357">
        <v>4.5161290322580649E-2</v>
      </c>
      <c r="Z95" s="357">
        <v>6.1728395061728669E-3</v>
      </c>
      <c r="AA95" s="357">
        <v>0.14723926380368102</v>
      </c>
      <c r="AB95" s="211"/>
      <c r="AC95" s="21">
        <v>-4.8128342245989275E-2</v>
      </c>
      <c r="AD95" s="21">
        <v>5.6179775280897903E-3</v>
      </c>
      <c r="AE95" s="21">
        <v>0.1117318435754191</v>
      </c>
      <c r="AF95" s="21">
        <v>2.0100502512562901E-2</v>
      </c>
      <c r="AG95" s="211"/>
      <c r="AH95" s="21">
        <v>-3.9408866995073843E-2</v>
      </c>
      <c r="AI95" s="21">
        <v>1.025641025641022E-2</v>
      </c>
      <c r="AJ95" s="21">
        <v>-4.0609137055837574E-2</v>
      </c>
      <c r="AK95" s="21">
        <v>-5.2910052910053462E-3</v>
      </c>
      <c r="AL95" s="211"/>
      <c r="AM95" s="21">
        <v>-2.6595744680851019E-2</v>
      </c>
      <c r="AN95" s="21">
        <v>2.1857923497267784E-2</v>
      </c>
      <c r="AO95" s="21">
        <v>9.625668449197855E-2</v>
      </c>
      <c r="AP95" s="21">
        <v>-0.20487804878048776</v>
      </c>
      <c r="AQ95" s="211"/>
      <c r="AR95" s="21">
        <v>0.15337423312883436</v>
      </c>
      <c r="AS95" s="21">
        <v>2.1276595744680771E-2</v>
      </c>
      <c r="AT95" s="138"/>
      <c r="AU95" s="21">
        <v>5.7291666666666741E-2</v>
      </c>
      <c r="AV95" s="277"/>
      <c r="AW95" s="21">
        <v>-0.17733990147783252</v>
      </c>
      <c r="AX95" s="211"/>
    </row>
    <row r="96" spans="2:50" ht="13.9" customHeight="1">
      <c r="B96" s="20" t="s">
        <v>6</v>
      </c>
      <c r="C96" s="211"/>
      <c r="D96" s="66"/>
      <c r="E96" s="66"/>
      <c r="F96" s="66"/>
      <c r="G96" s="66"/>
      <c r="H96" s="211">
        <v>-3.9716312056737535E-2</v>
      </c>
      <c r="I96" s="66">
        <v>-0.15151515151515149</v>
      </c>
      <c r="J96" s="66">
        <v>-0.12650602409638556</v>
      </c>
      <c r="K96" s="66">
        <v>-0.21857923497267762</v>
      </c>
      <c r="L96" s="66">
        <v>3.0674846625766916E-2</v>
      </c>
      <c r="M96" s="211">
        <v>-0.11964549483013298</v>
      </c>
      <c r="N96" s="66">
        <v>7.1428571428571175E-3</v>
      </c>
      <c r="O96" s="66">
        <v>-8.2758620689655227E-2</v>
      </c>
      <c r="P96" s="66">
        <v>6.9930069930070893E-3</v>
      </c>
      <c r="Q96" s="66">
        <v>-0.125</v>
      </c>
      <c r="R96" s="211">
        <v>-5.2013422818791955E-2</v>
      </c>
      <c r="S96" s="66">
        <v>7.0921985815601829E-3</v>
      </c>
      <c r="T96" s="66">
        <v>5.2631578947368363E-2</v>
      </c>
      <c r="U96" s="66">
        <v>6.944444444444442E-2</v>
      </c>
      <c r="V96" s="66">
        <v>4.7619047619047672E-2</v>
      </c>
      <c r="W96" s="211">
        <v>4.4247787610619538E-2</v>
      </c>
      <c r="X96" s="66">
        <v>9.1549295774647987E-2</v>
      </c>
      <c r="Y96" s="66">
        <v>0.15714285714285725</v>
      </c>
      <c r="Z96" s="66">
        <v>5.8441558441558517E-2</v>
      </c>
      <c r="AA96" s="66">
        <v>0.21428571428571419</v>
      </c>
      <c r="AB96" s="211">
        <v>0.13050847457627124</v>
      </c>
      <c r="AC96" s="22">
        <v>0.14838709677419359</v>
      </c>
      <c r="AD96" s="22">
        <v>0.10493827160493829</v>
      </c>
      <c r="AE96" s="22">
        <v>0.22085889570552153</v>
      </c>
      <c r="AF96" s="22">
        <v>8.5561497326203106E-2</v>
      </c>
      <c r="AG96" s="211">
        <v>0.13793103448275867</v>
      </c>
      <c r="AH96" s="22">
        <v>9.550561797752799E-2</v>
      </c>
      <c r="AI96" s="22">
        <v>0.1005586592178771</v>
      </c>
      <c r="AJ96" s="22">
        <v>-5.0251256281407031E-2</v>
      </c>
      <c r="AK96" s="22">
        <v>-7.3891625615763568E-2</v>
      </c>
      <c r="AL96" s="211">
        <v>1.3175230566534912E-2</v>
      </c>
      <c r="AM96" s="22">
        <v>-6.1538461538461542E-2</v>
      </c>
      <c r="AN96" s="22">
        <v>-5.0761421319796995E-2</v>
      </c>
      <c r="AO96" s="22">
        <v>8.4656084656084651E-2</v>
      </c>
      <c r="AP96" s="22">
        <v>-0.13297872340425532</v>
      </c>
      <c r="AQ96" s="211">
        <v>-4.0312093628088408E-2</v>
      </c>
      <c r="AR96" s="22">
        <v>2.732240437158473E-2</v>
      </c>
      <c r="AS96" s="22">
        <v>2.673796791443861E-2</v>
      </c>
      <c r="AT96" s="139"/>
      <c r="AU96" s="22">
        <v>-9.7560975609756184E-3</v>
      </c>
      <c r="AV96" s="278"/>
      <c r="AW96" s="22">
        <v>2.4539877300613577E-2</v>
      </c>
      <c r="AX96" s="211">
        <v>1.6260162601626105E-2</v>
      </c>
    </row>
    <row r="97" spans="2:50" ht="13.9" customHeight="1">
      <c r="B97" s="12" t="s">
        <v>45</v>
      </c>
      <c r="C97" s="210">
        <v>189</v>
      </c>
      <c r="D97" s="355">
        <v>47</v>
      </c>
      <c r="E97" s="355">
        <v>45</v>
      </c>
      <c r="F97" s="355">
        <v>49</v>
      </c>
      <c r="G97" s="355">
        <v>44</v>
      </c>
      <c r="H97" s="210">
        <v>185</v>
      </c>
      <c r="I97" s="355">
        <v>34</v>
      </c>
      <c r="J97" s="355">
        <v>31</v>
      </c>
      <c r="K97" s="355">
        <v>38</v>
      </c>
      <c r="L97" s="355">
        <v>40</v>
      </c>
      <c r="M97" s="210">
        <v>143</v>
      </c>
      <c r="N97" s="355">
        <v>33</v>
      </c>
      <c r="O97" s="355">
        <v>30</v>
      </c>
      <c r="P97" s="355">
        <v>35</v>
      </c>
      <c r="Q97" s="355">
        <v>34</v>
      </c>
      <c r="R97" s="210">
        <v>132</v>
      </c>
      <c r="S97" s="355">
        <v>30</v>
      </c>
      <c r="T97" s="355">
        <v>21</v>
      </c>
      <c r="U97" s="355">
        <v>32</v>
      </c>
      <c r="V97" s="355">
        <v>30</v>
      </c>
      <c r="W97" s="210">
        <v>113</v>
      </c>
      <c r="X97" s="355">
        <v>27</v>
      </c>
      <c r="Y97" s="355">
        <v>27</v>
      </c>
      <c r="Z97" s="355">
        <v>30</v>
      </c>
      <c r="AA97" s="355">
        <v>27</v>
      </c>
      <c r="AB97" s="210">
        <v>111</v>
      </c>
      <c r="AC97" s="19">
        <v>27</v>
      </c>
      <c r="AD97" s="19">
        <v>27</v>
      </c>
      <c r="AE97" s="19">
        <v>31</v>
      </c>
      <c r="AF97" s="59">
        <v>28</v>
      </c>
      <c r="AG97" s="210">
        <v>113</v>
      </c>
      <c r="AH97" s="19">
        <v>28</v>
      </c>
      <c r="AI97" s="19">
        <v>27</v>
      </c>
      <c r="AJ97" s="19">
        <v>31</v>
      </c>
      <c r="AK97" s="19">
        <v>28</v>
      </c>
      <c r="AL97" s="210">
        <v>114</v>
      </c>
      <c r="AM97" s="19">
        <v>26</v>
      </c>
      <c r="AN97" s="19">
        <v>28</v>
      </c>
      <c r="AO97" s="19">
        <v>33</v>
      </c>
      <c r="AP97" s="19">
        <v>28</v>
      </c>
      <c r="AQ97" s="210">
        <v>115</v>
      </c>
      <c r="AR97" s="19">
        <v>28</v>
      </c>
      <c r="AS97" s="19">
        <v>28</v>
      </c>
      <c r="AT97" s="137">
        <v>56</v>
      </c>
      <c r="AU97" s="19">
        <v>34</v>
      </c>
      <c r="AV97" s="276">
        <v>90</v>
      </c>
      <c r="AW97" s="19">
        <v>28</v>
      </c>
      <c r="AX97" s="210">
        <v>118</v>
      </c>
    </row>
    <row r="98" spans="2:50" ht="13.9" customHeight="1">
      <c r="B98" s="20" t="s">
        <v>5</v>
      </c>
      <c r="C98" s="211"/>
      <c r="D98" s="357"/>
      <c r="E98" s="357">
        <v>-4.2553191489361653E-2</v>
      </c>
      <c r="F98" s="357">
        <v>8.8888888888888795E-2</v>
      </c>
      <c r="G98" s="357">
        <v>-0.10204081632653061</v>
      </c>
      <c r="H98" s="211"/>
      <c r="I98" s="357">
        <v>-0.22727272727272729</v>
      </c>
      <c r="J98" s="357">
        <v>-8.8235294117647078E-2</v>
      </c>
      <c r="K98" s="357">
        <v>0.22580645161290325</v>
      </c>
      <c r="L98" s="357">
        <v>5.2631578947368363E-2</v>
      </c>
      <c r="M98" s="211"/>
      <c r="N98" s="357">
        <v>-0.17500000000000004</v>
      </c>
      <c r="O98" s="357">
        <v>-9.0909090909090939E-2</v>
      </c>
      <c r="P98" s="357">
        <v>0.16666666666666674</v>
      </c>
      <c r="Q98" s="357">
        <v>-2.8571428571428581E-2</v>
      </c>
      <c r="R98" s="211"/>
      <c r="S98" s="357">
        <v>-0.11764705882352944</v>
      </c>
      <c r="T98" s="357">
        <v>-0.30000000000000004</v>
      </c>
      <c r="U98" s="357">
        <v>0.52380952380952372</v>
      </c>
      <c r="V98" s="357">
        <v>-6.25E-2</v>
      </c>
      <c r="W98" s="211"/>
      <c r="X98" s="357">
        <v>-9.9999999999999978E-2</v>
      </c>
      <c r="Y98" s="357">
        <v>0</v>
      </c>
      <c r="Z98" s="357">
        <v>0.11111111111111116</v>
      </c>
      <c r="AA98" s="357">
        <v>-9.9999999999999978E-2</v>
      </c>
      <c r="AB98" s="211"/>
      <c r="AC98" s="21">
        <v>0</v>
      </c>
      <c r="AD98" s="21">
        <v>0</v>
      </c>
      <c r="AE98" s="21">
        <v>0.14814814814814814</v>
      </c>
      <c r="AF98" s="21">
        <v>-9.6774193548387122E-2</v>
      </c>
      <c r="AG98" s="211"/>
      <c r="AH98" s="21">
        <v>0</v>
      </c>
      <c r="AI98" s="21">
        <v>-3.5714285714285698E-2</v>
      </c>
      <c r="AJ98" s="21">
        <v>0.14814814814814814</v>
      </c>
      <c r="AK98" s="21">
        <v>-9.6774193548387122E-2</v>
      </c>
      <c r="AL98" s="211"/>
      <c r="AM98" s="21">
        <v>-7.1428571428571397E-2</v>
      </c>
      <c r="AN98" s="21">
        <v>7.6923076923076872E-2</v>
      </c>
      <c r="AO98" s="21">
        <v>0.1785714285714286</v>
      </c>
      <c r="AP98" s="21">
        <v>-0.15151515151515149</v>
      </c>
      <c r="AQ98" s="211"/>
      <c r="AR98" s="21">
        <v>0</v>
      </c>
      <c r="AS98" s="21">
        <v>0</v>
      </c>
      <c r="AT98" s="138"/>
      <c r="AU98" s="21">
        <v>0.21428571428571419</v>
      </c>
      <c r="AV98" s="277"/>
      <c r="AW98" s="21">
        <v>-0.17647058823529416</v>
      </c>
      <c r="AX98" s="211"/>
    </row>
    <row r="99" spans="2:50" ht="13.9" customHeight="1">
      <c r="B99" s="20" t="s">
        <v>6</v>
      </c>
      <c r="C99" s="211"/>
      <c r="D99" s="66"/>
      <c r="E99" s="66"/>
      <c r="F99" s="66"/>
      <c r="G99" s="66"/>
      <c r="H99" s="211">
        <v>-2.1164021164021163E-2</v>
      </c>
      <c r="I99" s="66">
        <v>-0.27659574468085102</v>
      </c>
      <c r="J99" s="66">
        <v>-0.31111111111111112</v>
      </c>
      <c r="K99" s="66">
        <v>-0.22448979591836737</v>
      </c>
      <c r="L99" s="66">
        <v>-9.0909090909090939E-2</v>
      </c>
      <c r="M99" s="211">
        <v>-0.22702702702702704</v>
      </c>
      <c r="N99" s="66">
        <v>-2.9411764705882359E-2</v>
      </c>
      <c r="O99" s="66">
        <v>-3.2258064516129004E-2</v>
      </c>
      <c r="P99" s="66">
        <v>-7.8947368421052655E-2</v>
      </c>
      <c r="Q99" s="66">
        <v>-0.15000000000000002</v>
      </c>
      <c r="R99" s="211">
        <v>-7.6923076923076872E-2</v>
      </c>
      <c r="S99" s="66">
        <v>-9.0909090909090939E-2</v>
      </c>
      <c r="T99" s="66">
        <v>-0.30000000000000004</v>
      </c>
      <c r="U99" s="66">
        <v>-8.5714285714285743E-2</v>
      </c>
      <c r="V99" s="66">
        <v>-0.11764705882352944</v>
      </c>
      <c r="W99" s="211">
        <v>-0.14393939393939392</v>
      </c>
      <c r="X99" s="66">
        <v>-9.9999999999999978E-2</v>
      </c>
      <c r="Y99" s="66">
        <v>0.28571428571428581</v>
      </c>
      <c r="Z99" s="66">
        <v>-6.25E-2</v>
      </c>
      <c r="AA99" s="66">
        <v>-9.9999999999999978E-2</v>
      </c>
      <c r="AB99" s="211">
        <v>-1.7699115044247815E-2</v>
      </c>
      <c r="AC99" s="22">
        <v>0</v>
      </c>
      <c r="AD99" s="22">
        <v>0</v>
      </c>
      <c r="AE99" s="22">
        <v>3.3333333333333437E-2</v>
      </c>
      <c r="AF99" s="22">
        <v>3.7037037037036979E-2</v>
      </c>
      <c r="AG99" s="211">
        <v>1.8018018018018056E-2</v>
      </c>
      <c r="AH99" s="22">
        <v>3.7037037037036979E-2</v>
      </c>
      <c r="AI99" s="22">
        <v>0</v>
      </c>
      <c r="AJ99" s="22">
        <v>0</v>
      </c>
      <c r="AK99" s="22">
        <v>0</v>
      </c>
      <c r="AL99" s="211">
        <v>8.8495575221239076E-3</v>
      </c>
      <c r="AM99" s="22">
        <v>-7.1428571428571397E-2</v>
      </c>
      <c r="AN99" s="22">
        <v>3.7037037037036979E-2</v>
      </c>
      <c r="AO99" s="22">
        <v>6.4516129032258007E-2</v>
      </c>
      <c r="AP99" s="22">
        <v>0</v>
      </c>
      <c r="AQ99" s="211">
        <v>8.7719298245614308E-3</v>
      </c>
      <c r="AR99" s="22">
        <v>7.6923076923076872E-2</v>
      </c>
      <c r="AS99" s="22">
        <v>0</v>
      </c>
      <c r="AT99" s="139"/>
      <c r="AU99" s="22">
        <v>3.0303030303030276E-2</v>
      </c>
      <c r="AV99" s="278"/>
      <c r="AW99" s="22">
        <v>0</v>
      </c>
      <c r="AX99" s="211">
        <v>2.6086956521739202E-2</v>
      </c>
    </row>
    <row r="100" spans="2:50" ht="13.9" customHeight="1">
      <c r="B100" s="12" t="s">
        <v>43</v>
      </c>
      <c r="C100" s="210">
        <v>130</v>
      </c>
      <c r="D100" s="355">
        <v>31</v>
      </c>
      <c r="E100" s="355">
        <v>29</v>
      </c>
      <c r="F100" s="355">
        <v>31</v>
      </c>
      <c r="G100" s="355">
        <v>27</v>
      </c>
      <c r="H100" s="210">
        <v>118</v>
      </c>
      <c r="I100" s="355">
        <v>28</v>
      </c>
      <c r="J100" s="355">
        <v>27</v>
      </c>
      <c r="K100" s="355">
        <v>25</v>
      </c>
      <c r="L100" s="355">
        <v>28</v>
      </c>
      <c r="M100" s="210">
        <v>108</v>
      </c>
      <c r="N100" s="355">
        <v>25</v>
      </c>
      <c r="O100" s="355">
        <v>24</v>
      </c>
      <c r="P100" s="355">
        <v>25</v>
      </c>
      <c r="Q100" s="355">
        <v>23</v>
      </c>
      <c r="R100" s="210">
        <v>97</v>
      </c>
      <c r="S100" s="355">
        <v>25</v>
      </c>
      <c r="T100" s="355">
        <v>30</v>
      </c>
      <c r="U100" s="355">
        <v>30</v>
      </c>
      <c r="V100" s="355">
        <v>30</v>
      </c>
      <c r="W100" s="210">
        <v>115</v>
      </c>
      <c r="X100" s="355">
        <v>28</v>
      </c>
      <c r="Y100" s="355">
        <v>25</v>
      </c>
      <c r="Z100" s="355">
        <v>23</v>
      </c>
      <c r="AA100" s="355">
        <v>28</v>
      </c>
      <c r="AB100" s="210">
        <v>104</v>
      </c>
      <c r="AC100" s="19">
        <v>26</v>
      </c>
      <c r="AD100" s="19">
        <v>26</v>
      </c>
      <c r="AE100" s="19">
        <v>25</v>
      </c>
      <c r="AF100" s="19">
        <v>23</v>
      </c>
      <c r="AG100" s="210">
        <v>100</v>
      </c>
      <c r="AH100" s="19">
        <v>26</v>
      </c>
      <c r="AI100" s="19">
        <v>20</v>
      </c>
      <c r="AJ100" s="19">
        <v>19</v>
      </c>
      <c r="AK100" s="19">
        <v>17</v>
      </c>
      <c r="AL100" s="210">
        <v>82</v>
      </c>
      <c r="AM100" s="19">
        <v>19</v>
      </c>
      <c r="AN100" s="19">
        <v>16</v>
      </c>
      <c r="AO100" s="19">
        <v>12</v>
      </c>
      <c r="AP100" s="19">
        <v>9</v>
      </c>
      <c r="AQ100" s="210">
        <v>56</v>
      </c>
      <c r="AR100" s="19">
        <v>12</v>
      </c>
      <c r="AS100" s="19">
        <v>9</v>
      </c>
      <c r="AT100" s="137">
        <v>21</v>
      </c>
      <c r="AU100" s="19">
        <v>4</v>
      </c>
      <c r="AV100" s="276">
        <v>25</v>
      </c>
      <c r="AW100" s="19">
        <v>4</v>
      </c>
      <c r="AX100" s="210">
        <v>29</v>
      </c>
    </row>
    <row r="101" spans="2:50" ht="13.9" customHeight="1">
      <c r="B101" s="20" t="s">
        <v>5</v>
      </c>
      <c r="C101" s="211"/>
      <c r="D101" s="357"/>
      <c r="E101" s="357">
        <v>-6.4516129032258118E-2</v>
      </c>
      <c r="F101" s="357">
        <v>6.8965517241379226E-2</v>
      </c>
      <c r="G101" s="357">
        <v>-0.12903225806451613</v>
      </c>
      <c r="H101" s="211"/>
      <c r="I101" s="357">
        <v>3.7037037037036979E-2</v>
      </c>
      <c r="J101" s="357">
        <v>-3.5714285714285698E-2</v>
      </c>
      <c r="K101" s="357">
        <v>-7.407407407407407E-2</v>
      </c>
      <c r="L101" s="357">
        <v>0.12000000000000011</v>
      </c>
      <c r="M101" s="211"/>
      <c r="N101" s="357">
        <v>-0.1071428571428571</v>
      </c>
      <c r="O101" s="357">
        <v>-4.0000000000000036E-2</v>
      </c>
      <c r="P101" s="357">
        <v>4.1666666666666741E-2</v>
      </c>
      <c r="Q101" s="357">
        <v>-7.999999999999996E-2</v>
      </c>
      <c r="R101" s="211"/>
      <c r="S101" s="357">
        <v>8.6956521739130377E-2</v>
      </c>
      <c r="T101" s="357">
        <v>0.19999999999999996</v>
      </c>
      <c r="U101" s="357">
        <v>0</v>
      </c>
      <c r="V101" s="357">
        <v>0</v>
      </c>
      <c r="W101" s="211"/>
      <c r="X101" s="357">
        <v>-6.6666666666666652E-2</v>
      </c>
      <c r="Y101" s="357">
        <v>-0.1071428571428571</v>
      </c>
      <c r="Z101" s="357">
        <v>-7.999999999999996E-2</v>
      </c>
      <c r="AA101" s="357">
        <v>0.21739130434782616</v>
      </c>
      <c r="AB101" s="211"/>
      <c r="AC101" s="21">
        <v>-7.1428571428571397E-2</v>
      </c>
      <c r="AD101" s="21">
        <v>0</v>
      </c>
      <c r="AE101" s="21">
        <v>-3.8461538461538436E-2</v>
      </c>
      <c r="AF101" s="21">
        <v>-7.999999999999996E-2</v>
      </c>
      <c r="AG101" s="211"/>
      <c r="AH101" s="21">
        <v>0.13043478260869557</v>
      </c>
      <c r="AI101" s="21">
        <v>-0.23076923076923073</v>
      </c>
      <c r="AJ101" s="21">
        <v>-5.0000000000000044E-2</v>
      </c>
      <c r="AK101" s="21">
        <v>-0.10526315789473684</v>
      </c>
      <c r="AL101" s="211"/>
      <c r="AM101" s="21">
        <v>0.11764705882352944</v>
      </c>
      <c r="AN101" s="21">
        <v>-0.15789473684210531</v>
      </c>
      <c r="AO101" s="21">
        <v>-0.25</v>
      </c>
      <c r="AP101" s="21">
        <v>-0.25</v>
      </c>
      <c r="AQ101" s="211"/>
      <c r="AR101" s="21">
        <v>0.33333333333333326</v>
      </c>
      <c r="AS101" s="21">
        <v>-0.25</v>
      </c>
      <c r="AT101" s="138"/>
      <c r="AU101" s="21">
        <v>-0.55555555555555558</v>
      </c>
      <c r="AV101" s="277"/>
      <c r="AW101" s="21">
        <v>0</v>
      </c>
      <c r="AX101" s="211"/>
    </row>
    <row r="102" spans="2:50" ht="13.9" customHeight="1">
      <c r="B102" s="20" t="s">
        <v>6</v>
      </c>
      <c r="C102" s="211"/>
      <c r="D102" s="66"/>
      <c r="E102" s="66"/>
      <c r="F102" s="66"/>
      <c r="G102" s="66"/>
      <c r="H102" s="211">
        <v>-9.2307692307692313E-2</v>
      </c>
      <c r="I102" s="66">
        <v>-9.6774193548387122E-2</v>
      </c>
      <c r="J102" s="66">
        <v>-6.8965517241379337E-2</v>
      </c>
      <c r="K102" s="66">
        <v>-0.19354838709677424</v>
      </c>
      <c r="L102" s="66">
        <v>3.7037037037036979E-2</v>
      </c>
      <c r="M102" s="211">
        <v>-8.4745762711864403E-2</v>
      </c>
      <c r="N102" s="66">
        <v>-0.1071428571428571</v>
      </c>
      <c r="O102" s="66">
        <v>-0.11111111111111116</v>
      </c>
      <c r="P102" s="66">
        <v>0</v>
      </c>
      <c r="Q102" s="66">
        <v>-0.1785714285714286</v>
      </c>
      <c r="R102" s="211">
        <v>-0.10185185185185186</v>
      </c>
      <c r="S102" s="66">
        <v>0</v>
      </c>
      <c r="T102" s="66">
        <v>0.25</v>
      </c>
      <c r="U102" s="66">
        <v>0.19999999999999996</v>
      </c>
      <c r="V102" s="66">
        <v>0.30434782608695654</v>
      </c>
      <c r="W102" s="211">
        <v>0.18556701030927836</v>
      </c>
      <c r="X102" s="66">
        <v>0.12000000000000011</v>
      </c>
      <c r="Y102" s="66">
        <v>-0.16666666666666663</v>
      </c>
      <c r="Z102" s="66">
        <v>-0.23333333333333328</v>
      </c>
      <c r="AA102" s="66">
        <v>-6.6666666666666652E-2</v>
      </c>
      <c r="AB102" s="211">
        <v>-9.5652173913043481E-2</v>
      </c>
      <c r="AC102" s="22">
        <v>-7.1428571428571397E-2</v>
      </c>
      <c r="AD102" s="22">
        <v>4.0000000000000036E-2</v>
      </c>
      <c r="AE102" s="22">
        <v>8.6956521739130377E-2</v>
      </c>
      <c r="AF102" s="22">
        <v>-0.1785714285714286</v>
      </c>
      <c r="AG102" s="211">
        <v>-3.8461538461538436E-2</v>
      </c>
      <c r="AH102" s="22">
        <v>0</v>
      </c>
      <c r="AI102" s="22">
        <v>-0.23076923076923073</v>
      </c>
      <c r="AJ102" s="22">
        <v>-0.24</v>
      </c>
      <c r="AK102" s="22">
        <v>-0.26086956521739135</v>
      </c>
      <c r="AL102" s="211">
        <v>-0.18000000000000005</v>
      </c>
      <c r="AM102" s="22">
        <v>-0.26923076923076927</v>
      </c>
      <c r="AN102" s="22">
        <v>-0.19999999999999996</v>
      </c>
      <c r="AO102" s="22">
        <v>-0.36842105263157898</v>
      </c>
      <c r="AP102" s="22">
        <v>-0.47058823529411764</v>
      </c>
      <c r="AQ102" s="211">
        <v>-0.31707317073170727</v>
      </c>
      <c r="AR102" s="22">
        <v>-0.36842105263157898</v>
      </c>
      <c r="AS102" s="22">
        <v>-0.4375</v>
      </c>
      <c r="AT102" s="139"/>
      <c r="AU102" s="22">
        <v>-0.66666666666666674</v>
      </c>
      <c r="AV102" s="278"/>
      <c r="AW102" s="22">
        <v>-0.55555555555555558</v>
      </c>
      <c r="AX102" s="211">
        <v>-0.4821428571428571</v>
      </c>
    </row>
    <row r="103" spans="2:50" ht="13.9" customHeight="1">
      <c r="B103" s="12" t="s">
        <v>52</v>
      </c>
      <c r="C103" s="210">
        <v>195</v>
      </c>
      <c r="D103" s="355">
        <v>42</v>
      </c>
      <c r="E103" s="355">
        <v>44</v>
      </c>
      <c r="F103" s="355">
        <v>54</v>
      </c>
      <c r="G103" s="355">
        <v>48</v>
      </c>
      <c r="H103" s="210">
        <v>188</v>
      </c>
      <c r="I103" s="355">
        <v>40</v>
      </c>
      <c r="J103" s="355">
        <v>49</v>
      </c>
      <c r="K103" s="355">
        <v>42</v>
      </c>
      <c r="L103" s="355">
        <v>52</v>
      </c>
      <c r="M103" s="210">
        <v>183</v>
      </c>
      <c r="N103" s="355">
        <v>39</v>
      </c>
      <c r="O103" s="355">
        <v>34</v>
      </c>
      <c r="P103" s="355">
        <v>37</v>
      </c>
      <c r="Q103" s="355">
        <v>36</v>
      </c>
      <c r="R103" s="210">
        <v>146</v>
      </c>
      <c r="S103" s="355">
        <v>39</v>
      </c>
      <c r="T103" s="355">
        <v>41</v>
      </c>
      <c r="U103" s="355">
        <v>41</v>
      </c>
      <c r="V103" s="355">
        <v>38</v>
      </c>
      <c r="W103" s="210">
        <v>159</v>
      </c>
      <c r="X103" s="355">
        <v>40</v>
      </c>
      <c r="Y103" s="355">
        <v>51</v>
      </c>
      <c r="Z103" s="355">
        <v>48</v>
      </c>
      <c r="AA103" s="355">
        <v>48</v>
      </c>
      <c r="AB103" s="210">
        <v>187</v>
      </c>
      <c r="AC103" s="19">
        <v>46</v>
      </c>
      <c r="AD103" s="19">
        <v>42</v>
      </c>
      <c r="AE103" s="19">
        <v>45</v>
      </c>
      <c r="AF103" s="19">
        <v>56</v>
      </c>
      <c r="AG103" s="210">
        <v>189</v>
      </c>
      <c r="AH103" s="19">
        <v>40</v>
      </c>
      <c r="AI103" s="19">
        <v>48</v>
      </c>
      <c r="AJ103" s="19">
        <v>33</v>
      </c>
      <c r="AK103" s="19">
        <v>47</v>
      </c>
      <c r="AL103" s="210">
        <v>168</v>
      </c>
      <c r="AM103" s="19">
        <v>48</v>
      </c>
      <c r="AN103" s="19">
        <v>52</v>
      </c>
      <c r="AO103" s="19">
        <v>44</v>
      </c>
      <c r="AP103" s="19">
        <v>43</v>
      </c>
      <c r="AQ103" s="210">
        <v>187</v>
      </c>
      <c r="AR103" s="19">
        <v>52</v>
      </c>
      <c r="AS103" s="19">
        <v>55</v>
      </c>
      <c r="AT103" s="137">
        <v>107</v>
      </c>
      <c r="AU103" s="19">
        <v>51</v>
      </c>
      <c r="AV103" s="276">
        <v>158</v>
      </c>
      <c r="AW103" s="19">
        <v>40</v>
      </c>
      <c r="AX103" s="210">
        <v>198</v>
      </c>
    </row>
    <row r="104" spans="2:50" ht="13.9" customHeight="1">
      <c r="B104" s="20" t="s">
        <v>5</v>
      </c>
      <c r="C104" s="211"/>
      <c r="D104" s="357"/>
      <c r="E104" s="357">
        <v>4.7619047619047672E-2</v>
      </c>
      <c r="F104" s="357">
        <v>0.22727272727272729</v>
      </c>
      <c r="G104" s="357">
        <v>-0.11111111111111116</v>
      </c>
      <c r="H104" s="211"/>
      <c r="I104" s="357">
        <v>-0.16666666666666663</v>
      </c>
      <c r="J104" s="357">
        <v>0.22500000000000009</v>
      </c>
      <c r="K104" s="357">
        <v>-0.1428571428571429</v>
      </c>
      <c r="L104" s="357">
        <v>0.23809523809523814</v>
      </c>
      <c r="M104" s="211"/>
      <c r="N104" s="357">
        <v>-0.25</v>
      </c>
      <c r="O104" s="357">
        <v>-0.12820512820512819</v>
      </c>
      <c r="P104" s="357">
        <v>8.8235294117646967E-2</v>
      </c>
      <c r="Q104" s="357">
        <v>-2.7027027027026973E-2</v>
      </c>
      <c r="R104" s="211"/>
      <c r="S104" s="357">
        <v>8.3333333333333259E-2</v>
      </c>
      <c r="T104" s="357">
        <v>5.1282051282051322E-2</v>
      </c>
      <c r="U104" s="357">
        <v>0</v>
      </c>
      <c r="V104" s="357">
        <v>-7.3170731707317027E-2</v>
      </c>
      <c r="W104" s="211"/>
      <c r="X104" s="357">
        <v>5.2631578947368363E-2</v>
      </c>
      <c r="Y104" s="357">
        <v>0.27499999999999991</v>
      </c>
      <c r="Z104" s="357">
        <v>-5.8823529411764719E-2</v>
      </c>
      <c r="AA104" s="357">
        <v>0</v>
      </c>
      <c r="AB104" s="211"/>
      <c r="AC104" s="21">
        <v>-4.166666666666663E-2</v>
      </c>
      <c r="AD104" s="21">
        <v>-8.6956521739130488E-2</v>
      </c>
      <c r="AE104" s="21">
        <v>7.1428571428571397E-2</v>
      </c>
      <c r="AF104" s="21">
        <v>0.24444444444444446</v>
      </c>
      <c r="AG104" s="211"/>
      <c r="AH104" s="21">
        <v>-0.2857142857142857</v>
      </c>
      <c r="AI104" s="21">
        <v>0.19999999999999996</v>
      </c>
      <c r="AJ104" s="21">
        <v>-0.3125</v>
      </c>
      <c r="AK104" s="21">
        <v>0.42424242424242431</v>
      </c>
      <c r="AL104" s="211"/>
      <c r="AM104" s="21">
        <v>2.1276595744680771E-2</v>
      </c>
      <c r="AN104" s="21">
        <v>8.3333333333333259E-2</v>
      </c>
      <c r="AO104" s="21">
        <v>-0.15384615384615385</v>
      </c>
      <c r="AP104" s="21">
        <v>-2.2727272727272707E-2</v>
      </c>
      <c r="AQ104" s="211"/>
      <c r="AR104" s="21">
        <v>0.20930232558139528</v>
      </c>
      <c r="AS104" s="21">
        <v>5.7692307692307709E-2</v>
      </c>
      <c r="AT104" s="138"/>
      <c r="AU104" s="21">
        <v>-7.2727272727272751E-2</v>
      </c>
      <c r="AV104" s="277"/>
      <c r="AW104" s="21">
        <v>-0.21568627450980393</v>
      </c>
      <c r="AX104" s="211"/>
    </row>
    <row r="105" spans="2:50" ht="13.9" customHeight="1">
      <c r="B105" s="20" t="s">
        <v>6</v>
      </c>
      <c r="C105" s="211"/>
      <c r="D105" s="66"/>
      <c r="E105" s="66"/>
      <c r="F105" s="66"/>
      <c r="G105" s="66"/>
      <c r="H105" s="211">
        <v>-3.5897435897435881E-2</v>
      </c>
      <c r="I105" s="66">
        <v>-4.7619047619047672E-2</v>
      </c>
      <c r="J105" s="66">
        <v>0.11363636363636354</v>
      </c>
      <c r="K105" s="66">
        <v>-0.22222222222222221</v>
      </c>
      <c r="L105" s="66">
        <v>8.3333333333333259E-2</v>
      </c>
      <c r="M105" s="211">
        <v>-2.6595744680851019E-2</v>
      </c>
      <c r="N105" s="66">
        <v>-2.5000000000000022E-2</v>
      </c>
      <c r="O105" s="66">
        <v>-0.30612244897959184</v>
      </c>
      <c r="P105" s="66">
        <v>-0.11904761904761907</v>
      </c>
      <c r="Q105" s="66">
        <v>-0.30769230769230771</v>
      </c>
      <c r="R105" s="211">
        <v>-0.20218579234972678</v>
      </c>
      <c r="S105" s="66">
        <v>0</v>
      </c>
      <c r="T105" s="66">
        <v>0.20588235294117641</v>
      </c>
      <c r="U105" s="66">
        <v>0.10810810810810811</v>
      </c>
      <c r="V105" s="66">
        <v>5.555555555555558E-2</v>
      </c>
      <c r="W105" s="211">
        <v>8.9041095890410871E-2</v>
      </c>
      <c r="X105" s="66">
        <v>2.564102564102555E-2</v>
      </c>
      <c r="Y105" s="66">
        <v>0.24390243902439024</v>
      </c>
      <c r="Z105" s="66">
        <v>0.1707317073170731</v>
      </c>
      <c r="AA105" s="66">
        <v>0.26315789473684204</v>
      </c>
      <c r="AB105" s="211">
        <v>0.17610062893081757</v>
      </c>
      <c r="AC105" s="22">
        <v>0.14999999999999991</v>
      </c>
      <c r="AD105" s="22">
        <v>-0.17647058823529416</v>
      </c>
      <c r="AE105" s="22">
        <v>-6.25E-2</v>
      </c>
      <c r="AF105" s="22">
        <v>0.16666666666666674</v>
      </c>
      <c r="AG105" s="211">
        <v>1.0695187165775444E-2</v>
      </c>
      <c r="AH105" s="22">
        <v>-0.13043478260869568</v>
      </c>
      <c r="AI105" s="22">
        <v>0.14285714285714279</v>
      </c>
      <c r="AJ105" s="22">
        <v>-0.26666666666666672</v>
      </c>
      <c r="AK105" s="22">
        <v>-0.1607142857142857</v>
      </c>
      <c r="AL105" s="211">
        <v>-0.11111111111111116</v>
      </c>
      <c r="AM105" s="22">
        <v>0.19999999999999996</v>
      </c>
      <c r="AN105" s="22">
        <v>8.3333333333333259E-2</v>
      </c>
      <c r="AO105" s="22">
        <v>0.33333333333333326</v>
      </c>
      <c r="AP105" s="22">
        <v>-8.5106382978723416E-2</v>
      </c>
      <c r="AQ105" s="211">
        <v>0.11309523809523814</v>
      </c>
      <c r="AR105" s="22">
        <v>8.3333333333333259E-2</v>
      </c>
      <c r="AS105" s="22">
        <v>5.7692307692307709E-2</v>
      </c>
      <c r="AT105" s="139"/>
      <c r="AU105" s="22">
        <v>0.15909090909090917</v>
      </c>
      <c r="AV105" s="278"/>
      <c r="AW105" s="22">
        <v>-6.9767441860465129E-2</v>
      </c>
      <c r="AX105" s="211">
        <v>5.8823529411764719E-2</v>
      </c>
    </row>
    <row r="106" spans="2:50" ht="13.9" customHeight="1">
      <c r="B106" s="12" t="s">
        <v>44</v>
      </c>
      <c r="C106" s="210">
        <v>47</v>
      </c>
      <c r="D106" s="355">
        <v>10</v>
      </c>
      <c r="E106" s="355">
        <v>12</v>
      </c>
      <c r="F106" s="355">
        <v>12</v>
      </c>
      <c r="G106" s="355">
        <v>10</v>
      </c>
      <c r="H106" s="210">
        <v>44</v>
      </c>
      <c r="I106" s="355">
        <v>11</v>
      </c>
      <c r="J106" s="355">
        <v>10</v>
      </c>
      <c r="K106" s="355">
        <v>9</v>
      </c>
      <c r="L106" s="355">
        <v>12</v>
      </c>
      <c r="M106" s="210">
        <v>42</v>
      </c>
      <c r="N106" s="355">
        <v>18</v>
      </c>
      <c r="O106" s="355">
        <v>17</v>
      </c>
      <c r="P106" s="355">
        <v>17</v>
      </c>
      <c r="Q106" s="355">
        <v>21</v>
      </c>
      <c r="R106" s="210">
        <v>73</v>
      </c>
      <c r="S106" s="355">
        <v>20</v>
      </c>
      <c r="T106" s="355">
        <v>20</v>
      </c>
      <c r="U106" s="355">
        <v>19</v>
      </c>
      <c r="V106" s="355">
        <v>21</v>
      </c>
      <c r="W106" s="210">
        <v>80</v>
      </c>
      <c r="X106" s="355">
        <v>23</v>
      </c>
      <c r="Y106" s="355">
        <v>24</v>
      </c>
      <c r="Z106" s="355">
        <v>20</v>
      </c>
      <c r="AA106" s="355">
        <v>29</v>
      </c>
      <c r="AB106" s="210">
        <v>96</v>
      </c>
      <c r="AC106" s="19">
        <v>31</v>
      </c>
      <c r="AD106" s="19">
        <v>26</v>
      </c>
      <c r="AE106" s="19">
        <v>31</v>
      </c>
      <c r="AF106" s="19">
        <v>29</v>
      </c>
      <c r="AG106" s="210">
        <v>117</v>
      </c>
      <c r="AH106" s="19">
        <v>34</v>
      </c>
      <c r="AI106" s="19">
        <v>31</v>
      </c>
      <c r="AJ106" s="19">
        <v>35</v>
      </c>
      <c r="AK106" s="19">
        <v>35</v>
      </c>
      <c r="AL106" s="210">
        <v>135</v>
      </c>
      <c r="AM106" s="19">
        <v>32</v>
      </c>
      <c r="AN106" s="19">
        <v>28</v>
      </c>
      <c r="AO106" s="19">
        <v>33</v>
      </c>
      <c r="AP106" s="19">
        <v>28</v>
      </c>
      <c r="AQ106" s="210">
        <v>121</v>
      </c>
      <c r="AR106" s="19">
        <v>32</v>
      </c>
      <c r="AS106" s="19">
        <v>30</v>
      </c>
      <c r="AT106" s="137">
        <v>62</v>
      </c>
      <c r="AU106" s="19">
        <v>33</v>
      </c>
      <c r="AV106" s="276">
        <v>95</v>
      </c>
      <c r="AW106" s="19">
        <v>30</v>
      </c>
      <c r="AX106" s="210">
        <v>125</v>
      </c>
    </row>
    <row r="107" spans="2:50" ht="13.9" customHeight="1">
      <c r="B107" s="20" t="s">
        <v>5</v>
      </c>
      <c r="C107" s="211"/>
      <c r="D107" s="357"/>
      <c r="E107" s="357">
        <v>0.19999999999999996</v>
      </c>
      <c r="F107" s="357">
        <v>0</v>
      </c>
      <c r="G107" s="357">
        <v>-0.16666666666666663</v>
      </c>
      <c r="H107" s="211"/>
      <c r="I107" s="357">
        <v>0.10000000000000009</v>
      </c>
      <c r="J107" s="357">
        <v>-9.0909090909090939E-2</v>
      </c>
      <c r="K107" s="357">
        <v>-9.9999999999999978E-2</v>
      </c>
      <c r="L107" s="357">
        <v>0.33333333333333326</v>
      </c>
      <c r="M107" s="211"/>
      <c r="N107" s="357">
        <v>0.5</v>
      </c>
      <c r="O107" s="357">
        <v>-5.555555555555558E-2</v>
      </c>
      <c r="P107" s="357">
        <v>0</v>
      </c>
      <c r="Q107" s="357">
        <v>0.23529411764705888</v>
      </c>
      <c r="R107" s="211"/>
      <c r="S107" s="357">
        <v>-4.7619047619047672E-2</v>
      </c>
      <c r="T107" s="357">
        <v>0</v>
      </c>
      <c r="U107" s="357">
        <v>-5.0000000000000044E-2</v>
      </c>
      <c r="V107" s="357">
        <v>0.10526315789473695</v>
      </c>
      <c r="W107" s="211"/>
      <c r="X107" s="357">
        <v>9.5238095238095344E-2</v>
      </c>
      <c r="Y107" s="357">
        <v>4.3478260869565188E-2</v>
      </c>
      <c r="Z107" s="357">
        <v>-0.16666666666666663</v>
      </c>
      <c r="AA107" s="357">
        <v>0.44999999999999996</v>
      </c>
      <c r="AB107" s="211"/>
      <c r="AC107" s="21">
        <v>6.8965517241379226E-2</v>
      </c>
      <c r="AD107" s="21">
        <v>-0.16129032258064513</v>
      </c>
      <c r="AE107" s="21">
        <v>0.19230769230769229</v>
      </c>
      <c r="AF107" s="21">
        <v>-6.4516129032258118E-2</v>
      </c>
      <c r="AG107" s="211"/>
      <c r="AH107" s="21">
        <v>0.17241379310344818</v>
      </c>
      <c r="AI107" s="21">
        <v>-8.8235294117647078E-2</v>
      </c>
      <c r="AJ107" s="21">
        <v>0.12903225806451624</v>
      </c>
      <c r="AK107" s="21">
        <v>0</v>
      </c>
      <c r="AL107" s="211"/>
      <c r="AM107" s="21">
        <v>-8.5714285714285743E-2</v>
      </c>
      <c r="AN107" s="21">
        <v>-0.125</v>
      </c>
      <c r="AO107" s="21">
        <v>0.1785714285714286</v>
      </c>
      <c r="AP107" s="21">
        <v>-0.15151515151515149</v>
      </c>
      <c r="AQ107" s="211"/>
      <c r="AR107" s="21">
        <v>0.14285714285714279</v>
      </c>
      <c r="AS107" s="21">
        <v>-6.25E-2</v>
      </c>
      <c r="AT107" s="138"/>
      <c r="AU107" s="21">
        <v>0.10000000000000009</v>
      </c>
      <c r="AV107" s="277"/>
      <c r="AW107" s="21">
        <v>-9.0909090909090939E-2</v>
      </c>
      <c r="AX107" s="211"/>
    </row>
    <row r="108" spans="2:50" ht="13.9" customHeight="1">
      <c r="B108" s="20" t="s">
        <v>6</v>
      </c>
      <c r="C108" s="211"/>
      <c r="D108" s="66"/>
      <c r="E108" s="66"/>
      <c r="F108" s="66"/>
      <c r="G108" s="66"/>
      <c r="H108" s="211">
        <v>-6.3829787234042534E-2</v>
      </c>
      <c r="I108" s="66">
        <v>0.10000000000000009</v>
      </c>
      <c r="J108" s="66">
        <v>-0.16666666666666663</v>
      </c>
      <c r="K108" s="66">
        <v>-0.25</v>
      </c>
      <c r="L108" s="66">
        <v>0.19999999999999996</v>
      </c>
      <c r="M108" s="211">
        <v>-4.5454545454545414E-2</v>
      </c>
      <c r="N108" s="66">
        <v>0.63636363636363646</v>
      </c>
      <c r="O108" s="66">
        <v>0.7</v>
      </c>
      <c r="P108" s="66">
        <v>0.88888888888888884</v>
      </c>
      <c r="Q108" s="66">
        <v>0.75</v>
      </c>
      <c r="R108" s="211">
        <v>0.73809523809523814</v>
      </c>
      <c r="S108" s="66">
        <v>0.11111111111111116</v>
      </c>
      <c r="T108" s="66">
        <v>0.17647058823529416</v>
      </c>
      <c r="U108" s="66">
        <v>0.11764705882352944</v>
      </c>
      <c r="V108" s="66">
        <v>0</v>
      </c>
      <c r="W108" s="211">
        <v>9.5890410958904049E-2</v>
      </c>
      <c r="X108" s="66">
        <v>0.14999999999999991</v>
      </c>
      <c r="Y108" s="66">
        <v>0.19999999999999996</v>
      </c>
      <c r="Z108" s="66">
        <v>5.2631578947368363E-2</v>
      </c>
      <c r="AA108" s="66">
        <v>0.38095238095238093</v>
      </c>
      <c r="AB108" s="211">
        <v>0.19999999999999996</v>
      </c>
      <c r="AC108" s="22">
        <v>0.34782608695652173</v>
      </c>
      <c r="AD108" s="22">
        <v>8.3333333333333259E-2</v>
      </c>
      <c r="AE108" s="22">
        <v>0.55000000000000004</v>
      </c>
      <c r="AF108" s="22">
        <v>0</v>
      </c>
      <c r="AG108" s="211">
        <v>0.21875</v>
      </c>
      <c r="AH108" s="22">
        <v>9.6774193548387011E-2</v>
      </c>
      <c r="AI108" s="22">
        <v>0.19230769230769229</v>
      </c>
      <c r="AJ108" s="22">
        <v>0.12903225806451624</v>
      </c>
      <c r="AK108" s="22">
        <v>0.2068965517241379</v>
      </c>
      <c r="AL108" s="211">
        <v>0.15384615384615374</v>
      </c>
      <c r="AM108" s="22">
        <v>-5.8823529411764719E-2</v>
      </c>
      <c r="AN108" s="22">
        <v>-9.6774193548387122E-2</v>
      </c>
      <c r="AO108" s="22">
        <v>-5.7142857142857162E-2</v>
      </c>
      <c r="AP108" s="22">
        <v>-0.19999999999999996</v>
      </c>
      <c r="AQ108" s="211">
        <v>-0.10370370370370374</v>
      </c>
      <c r="AR108" s="22">
        <v>0</v>
      </c>
      <c r="AS108" s="22">
        <v>7.1428571428571397E-2</v>
      </c>
      <c r="AT108" s="139"/>
      <c r="AU108" s="22">
        <v>0</v>
      </c>
      <c r="AV108" s="278"/>
      <c r="AW108" s="22">
        <v>7.1428571428571397E-2</v>
      </c>
      <c r="AX108" s="211">
        <v>3.3057851239669311E-2</v>
      </c>
    </row>
    <row r="109" spans="2:50" ht="13.9" customHeight="1">
      <c r="B109" s="12" t="s">
        <v>46</v>
      </c>
      <c r="C109" s="210">
        <v>72</v>
      </c>
      <c r="D109" s="355">
        <v>17</v>
      </c>
      <c r="E109" s="355">
        <v>19</v>
      </c>
      <c r="F109" s="355">
        <v>19</v>
      </c>
      <c r="G109" s="355">
        <v>18</v>
      </c>
      <c r="H109" s="210">
        <v>73</v>
      </c>
      <c r="I109" s="355">
        <v>20</v>
      </c>
      <c r="J109" s="355">
        <v>20</v>
      </c>
      <c r="K109" s="355">
        <v>20</v>
      </c>
      <c r="L109" s="355">
        <v>23</v>
      </c>
      <c r="M109" s="210">
        <v>83</v>
      </c>
      <c r="N109" s="355">
        <v>18</v>
      </c>
      <c r="O109" s="355">
        <v>19</v>
      </c>
      <c r="P109" s="355">
        <v>21</v>
      </c>
      <c r="Q109" s="355">
        <v>24</v>
      </c>
      <c r="R109" s="210">
        <v>82</v>
      </c>
      <c r="S109" s="355">
        <v>21</v>
      </c>
      <c r="T109" s="355">
        <v>22</v>
      </c>
      <c r="U109" s="355">
        <v>24</v>
      </c>
      <c r="V109" s="355">
        <v>27</v>
      </c>
      <c r="W109" s="210">
        <v>94</v>
      </c>
      <c r="X109" s="355">
        <v>28</v>
      </c>
      <c r="Y109" s="355">
        <v>27</v>
      </c>
      <c r="Z109" s="355">
        <v>33</v>
      </c>
      <c r="AA109" s="355">
        <v>46</v>
      </c>
      <c r="AB109" s="210">
        <v>134</v>
      </c>
      <c r="AC109" s="19">
        <v>41</v>
      </c>
      <c r="AD109" s="19">
        <v>48</v>
      </c>
      <c r="AE109" s="19">
        <v>57</v>
      </c>
      <c r="AF109" s="59">
        <v>57</v>
      </c>
      <c r="AG109" s="210">
        <v>203</v>
      </c>
      <c r="AH109" s="19">
        <v>58</v>
      </c>
      <c r="AI109" s="19">
        <v>61</v>
      </c>
      <c r="AJ109" s="19">
        <v>59</v>
      </c>
      <c r="AK109" s="19">
        <v>52</v>
      </c>
      <c r="AL109" s="210">
        <v>230</v>
      </c>
      <c r="AM109" s="19">
        <v>48</v>
      </c>
      <c r="AN109" s="19">
        <v>51</v>
      </c>
      <c r="AO109" s="19">
        <v>70</v>
      </c>
      <c r="AP109" s="19">
        <v>48</v>
      </c>
      <c r="AQ109" s="210">
        <v>217</v>
      </c>
      <c r="AR109" s="19">
        <v>54</v>
      </c>
      <c r="AS109" s="19">
        <v>58</v>
      </c>
      <c r="AT109" s="137">
        <v>112</v>
      </c>
      <c r="AU109" s="19">
        <v>70</v>
      </c>
      <c r="AV109" s="276">
        <v>182</v>
      </c>
      <c r="AW109" s="19">
        <v>52</v>
      </c>
      <c r="AX109" s="210">
        <v>234</v>
      </c>
    </row>
    <row r="110" spans="2:50" ht="13.9" customHeight="1">
      <c r="B110" s="20" t="s">
        <v>5</v>
      </c>
      <c r="C110" s="211"/>
      <c r="D110" s="357"/>
      <c r="E110" s="357">
        <v>0.11764705882352944</v>
      </c>
      <c r="F110" s="357">
        <v>0</v>
      </c>
      <c r="G110" s="357">
        <v>-5.2631578947368474E-2</v>
      </c>
      <c r="H110" s="211"/>
      <c r="I110" s="357">
        <v>0.11111111111111116</v>
      </c>
      <c r="J110" s="357">
        <v>0</v>
      </c>
      <c r="K110" s="357">
        <v>0</v>
      </c>
      <c r="L110" s="357">
        <v>0.14999999999999991</v>
      </c>
      <c r="M110" s="211"/>
      <c r="N110" s="357">
        <v>-0.21739130434782605</v>
      </c>
      <c r="O110" s="357">
        <v>5.555555555555558E-2</v>
      </c>
      <c r="P110" s="357">
        <v>0.10526315789473695</v>
      </c>
      <c r="Q110" s="357">
        <v>0.14285714285714279</v>
      </c>
      <c r="R110" s="211"/>
      <c r="S110" s="357">
        <v>-0.125</v>
      </c>
      <c r="T110" s="357">
        <v>4.7619047619047672E-2</v>
      </c>
      <c r="U110" s="357">
        <v>9.0909090909090828E-2</v>
      </c>
      <c r="V110" s="357">
        <v>0.125</v>
      </c>
      <c r="W110" s="211"/>
      <c r="X110" s="357">
        <v>3.7037037037036979E-2</v>
      </c>
      <c r="Y110" s="357">
        <v>-3.5714285714285698E-2</v>
      </c>
      <c r="Z110" s="357">
        <v>0.22222222222222232</v>
      </c>
      <c r="AA110" s="357">
        <v>0.39393939393939403</v>
      </c>
      <c r="AB110" s="211"/>
      <c r="AC110" s="21">
        <v>-0.10869565217391308</v>
      </c>
      <c r="AD110" s="21">
        <v>0.1707317073170731</v>
      </c>
      <c r="AE110" s="21">
        <v>0.1875</v>
      </c>
      <c r="AF110" s="21">
        <v>0</v>
      </c>
      <c r="AG110" s="211"/>
      <c r="AH110" s="21">
        <v>1.7543859649122862E-2</v>
      </c>
      <c r="AI110" s="21">
        <v>5.1724137931034475E-2</v>
      </c>
      <c r="AJ110" s="21">
        <v>-3.2786885245901676E-2</v>
      </c>
      <c r="AK110" s="21">
        <v>-0.11864406779661019</v>
      </c>
      <c r="AL110" s="211"/>
      <c r="AM110" s="21">
        <v>-7.6923076923076872E-2</v>
      </c>
      <c r="AN110" s="21">
        <v>6.25E-2</v>
      </c>
      <c r="AO110" s="21">
        <v>0.37254901960784315</v>
      </c>
      <c r="AP110" s="21">
        <v>-0.31428571428571428</v>
      </c>
      <c r="AQ110" s="211"/>
      <c r="AR110" s="21">
        <v>0.125</v>
      </c>
      <c r="AS110" s="21">
        <v>7.4074074074074181E-2</v>
      </c>
      <c r="AT110" s="138"/>
      <c r="AU110" s="21">
        <v>0.2068965517241379</v>
      </c>
      <c r="AV110" s="277"/>
      <c r="AW110" s="21">
        <v>-0.25714285714285712</v>
      </c>
      <c r="AX110" s="211"/>
    </row>
    <row r="111" spans="2:50" ht="13.9" customHeight="1">
      <c r="B111" s="20" t="s">
        <v>6</v>
      </c>
      <c r="C111" s="211"/>
      <c r="D111" s="66"/>
      <c r="E111" s="66"/>
      <c r="F111" s="66"/>
      <c r="G111" s="66"/>
      <c r="H111" s="211">
        <v>1.388888888888884E-2</v>
      </c>
      <c r="I111" s="66">
        <v>0.17647058823529416</v>
      </c>
      <c r="J111" s="66">
        <v>5.2631578947368363E-2</v>
      </c>
      <c r="K111" s="66">
        <v>5.2631578947368363E-2</v>
      </c>
      <c r="L111" s="66">
        <v>0.27777777777777768</v>
      </c>
      <c r="M111" s="211">
        <v>0.13698630136986312</v>
      </c>
      <c r="N111" s="66">
        <v>-9.9999999999999978E-2</v>
      </c>
      <c r="O111" s="66">
        <v>-5.0000000000000044E-2</v>
      </c>
      <c r="P111" s="66">
        <v>5.0000000000000044E-2</v>
      </c>
      <c r="Q111" s="66">
        <v>4.3478260869565188E-2</v>
      </c>
      <c r="R111" s="211">
        <v>-1.2048192771084376E-2</v>
      </c>
      <c r="S111" s="66">
        <v>0.16666666666666674</v>
      </c>
      <c r="T111" s="66">
        <v>0.15789473684210531</v>
      </c>
      <c r="U111" s="66">
        <v>0.14285714285714279</v>
      </c>
      <c r="V111" s="66">
        <v>0.125</v>
      </c>
      <c r="W111" s="211">
        <v>0.14634146341463405</v>
      </c>
      <c r="X111" s="66">
        <v>0.33333333333333326</v>
      </c>
      <c r="Y111" s="66">
        <v>0.22727272727272729</v>
      </c>
      <c r="Z111" s="66">
        <v>0.375</v>
      </c>
      <c r="AA111" s="66">
        <v>0.70370370370370372</v>
      </c>
      <c r="AB111" s="211">
        <v>0.42553191489361697</v>
      </c>
      <c r="AC111" s="22">
        <v>0.46428571428571419</v>
      </c>
      <c r="AD111" s="22">
        <v>0.77777777777777768</v>
      </c>
      <c r="AE111" s="22">
        <v>0.72727272727272729</v>
      </c>
      <c r="AF111" s="22">
        <v>0.23913043478260865</v>
      </c>
      <c r="AG111" s="211">
        <v>0.5149253731343284</v>
      </c>
      <c r="AH111" s="22">
        <v>0.41463414634146334</v>
      </c>
      <c r="AI111" s="22">
        <v>0.27083333333333326</v>
      </c>
      <c r="AJ111" s="22">
        <v>3.5087719298245723E-2</v>
      </c>
      <c r="AK111" s="22">
        <v>-8.7719298245614086E-2</v>
      </c>
      <c r="AL111" s="211">
        <v>0.13300492610837433</v>
      </c>
      <c r="AM111" s="22">
        <v>-0.17241379310344829</v>
      </c>
      <c r="AN111" s="22">
        <v>-0.16393442622950816</v>
      </c>
      <c r="AO111" s="22">
        <v>0.18644067796610164</v>
      </c>
      <c r="AP111" s="22">
        <v>-7.6923076923076872E-2</v>
      </c>
      <c r="AQ111" s="211">
        <v>-5.6521739130434789E-2</v>
      </c>
      <c r="AR111" s="22">
        <v>0.125</v>
      </c>
      <c r="AS111" s="22">
        <v>0.13725490196078427</v>
      </c>
      <c r="AT111" s="139"/>
      <c r="AU111" s="22">
        <v>0</v>
      </c>
      <c r="AV111" s="278"/>
      <c r="AW111" s="22">
        <v>8.3333333333333259E-2</v>
      </c>
      <c r="AX111" s="211">
        <v>7.8341013824884786E-2</v>
      </c>
    </row>
    <row r="112" spans="2:50" ht="13.9" customHeight="1">
      <c r="B112" s="12" t="s">
        <v>47</v>
      </c>
      <c r="C112" s="210">
        <v>72</v>
      </c>
      <c r="D112" s="355">
        <v>18</v>
      </c>
      <c r="E112" s="355">
        <v>17</v>
      </c>
      <c r="F112" s="355">
        <v>18</v>
      </c>
      <c r="G112" s="355">
        <v>16</v>
      </c>
      <c r="H112" s="210">
        <v>69</v>
      </c>
      <c r="I112" s="355">
        <v>7</v>
      </c>
      <c r="J112" s="355">
        <v>8</v>
      </c>
      <c r="K112" s="355">
        <v>9</v>
      </c>
      <c r="L112" s="355">
        <v>13</v>
      </c>
      <c r="M112" s="210">
        <v>37</v>
      </c>
      <c r="N112" s="355">
        <v>8</v>
      </c>
      <c r="O112" s="355">
        <v>9</v>
      </c>
      <c r="P112" s="355">
        <v>9</v>
      </c>
      <c r="Q112" s="355">
        <v>9</v>
      </c>
      <c r="R112" s="210">
        <v>35</v>
      </c>
      <c r="S112" s="355">
        <v>7</v>
      </c>
      <c r="T112" s="355">
        <v>6</v>
      </c>
      <c r="U112" s="355">
        <v>8</v>
      </c>
      <c r="V112" s="355">
        <v>8</v>
      </c>
      <c r="W112" s="210">
        <v>29</v>
      </c>
      <c r="X112" s="355">
        <v>9</v>
      </c>
      <c r="Y112" s="355">
        <v>8</v>
      </c>
      <c r="Z112" s="355">
        <v>9</v>
      </c>
      <c r="AA112" s="355">
        <v>9</v>
      </c>
      <c r="AB112" s="210">
        <v>35</v>
      </c>
      <c r="AC112" s="19">
        <v>7</v>
      </c>
      <c r="AD112" s="19">
        <v>10</v>
      </c>
      <c r="AE112" s="19">
        <v>10</v>
      </c>
      <c r="AF112" s="19">
        <v>10</v>
      </c>
      <c r="AG112" s="210">
        <v>37</v>
      </c>
      <c r="AH112" s="19">
        <v>9</v>
      </c>
      <c r="AI112" s="19">
        <v>10</v>
      </c>
      <c r="AJ112" s="19">
        <v>12</v>
      </c>
      <c r="AK112" s="19">
        <v>9</v>
      </c>
      <c r="AL112" s="210">
        <v>40</v>
      </c>
      <c r="AM112" s="19">
        <v>10</v>
      </c>
      <c r="AN112" s="19">
        <v>12</v>
      </c>
      <c r="AO112" s="19">
        <v>13</v>
      </c>
      <c r="AP112" s="19">
        <v>7</v>
      </c>
      <c r="AQ112" s="210">
        <v>42</v>
      </c>
      <c r="AR112" s="19">
        <v>10</v>
      </c>
      <c r="AS112" s="19">
        <v>12</v>
      </c>
      <c r="AT112" s="137">
        <v>22</v>
      </c>
      <c r="AU112" s="19">
        <v>11</v>
      </c>
      <c r="AV112" s="276">
        <v>33</v>
      </c>
      <c r="AW112" s="19">
        <v>13</v>
      </c>
      <c r="AX112" s="210">
        <v>46</v>
      </c>
    </row>
    <row r="113" spans="2:50" ht="13.9" customHeight="1">
      <c r="B113" s="20" t="s">
        <v>5</v>
      </c>
      <c r="C113" s="211"/>
      <c r="D113" s="357"/>
      <c r="E113" s="357">
        <v>-5.555555555555558E-2</v>
      </c>
      <c r="F113" s="357">
        <v>5.8823529411764719E-2</v>
      </c>
      <c r="G113" s="357">
        <v>-0.11111111111111116</v>
      </c>
      <c r="H113" s="211"/>
      <c r="I113" s="357">
        <v>-0.5625</v>
      </c>
      <c r="J113" s="357">
        <v>0.14285714285714279</v>
      </c>
      <c r="K113" s="357">
        <v>0.125</v>
      </c>
      <c r="L113" s="357">
        <v>0.44444444444444442</v>
      </c>
      <c r="M113" s="211"/>
      <c r="N113" s="357">
        <v>-0.38461538461538458</v>
      </c>
      <c r="O113" s="357">
        <v>0.125</v>
      </c>
      <c r="P113" s="357">
        <v>0</v>
      </c>
      <c r="Q113" s="357">
        <v>0</v>
      </c>
      <c r="R113" s="211"/>
      <c r="S113" s="357">
        <v>-0.22222222222222221</v>
      </c>
      <c r="T113" s="357">
        <v>-0.1428571428571429</v>
      </c>
      <c r="U113" s="357">
        <v>0.33333333333333326</v>
      </c>
      <c r="V113" s="357">
        <v>0</v>
      </c>
      <c r="W113" s="211"/>
      <c r="X113" s="357">
        <v>0.125</v>
      </c>
      <c r="Y113" s="357">
        <v>-0.11111111111111116</v>
      </c>
      <c r="Z113" s="357">
        <v>0.125</v>
      </c>
      <c r="AA113" s="357">
        <v>0</v>
      </c>
      <c r="AB113" s="211"/>
      <c r="AC113" s="21">
        <v>-0.22222222222222221</v>
      </c>
      <c r="AD113" s="21">
        <v>0.4285714285714286</v>
      </c>
      <c r="AE113" s="21">
        <v>0</v>
      </c>
      <c r="AF113" s="21">
        <v>0</v>
      </c>
      <c r="AG113" s="211"/>
      <c r="AH113" s="21">
        <v>-9.9999999999999978E-2</v>
      </c>
      <c r="AI113" s="21">
        <v>0.11111111111111116</v>
      </c>
      <c r="AJ113" s="21">
        <v>0.19999999999999996</v>
      </c>
      <c r="AK113" s="21">
        <v>-0.25</v>
      </c>
      <c r="AL113" s="211"/>
      <c r="AM113" s="21">
        <v>0.11111111111111116</v>
      </c>
      <c r="AN113" s="21">
        <v>0.19999999999999996</v>
      </c>
      <c r="AO113" s="21">
        <v>8.3333333333333259E-2</v>
      </c>
      <c r="AP113" s="21">
        <v>-0.46153846153846156</v>
      </c>
      <c r="AQ113" s="211"/>
      <c r="AR113" s="21">
        <v>0.4285714285714286</v>
      </c>
      <c r="AS113" s="21">
        <v>0.19999999999999996</v>
      </c>
      <c r="AT113" s="138"/>
      <c r="AU113" s="21">
        <v>-8.333333333333337E-2</v>
      </c>
      <c r="AV113" s="277"/>
      <c r="AW113" s="21">
        <v>0.18181818181818188</v>
      </c>
      <c r="AX113" s="211"/>
    </row>
    <row r="114" spans="2:50" ht="13.15" customHeight="1">
      <c r="B114" s="20" t="s">
        <v>6</v>
      </c>
      <c r="C114" s="211"/>
      <c r="D114" s="66"/>
      <c r="E114" s="66"/>
      <c r="F114" s="66"/>
      <c r="G114" s="66"/>
      <c r="H114" s="211">
        <v>-4.166666666666663E-2</v>
      </c>
      <c r="I114" s="66">
        <v>-0.61111111111111116</v>
      </c>
      <c r="J114" s="66">
        <v>-0.52941176470588236</v>
      </c>
      <c r="K114" s="66">
        <v>-0.5</v>
      </c>
      <c r="L114" s="66">
        <v>-0.1875</v>
      </c>
      <c r="M114" s="211">
        <v>-0.46376811594202894</v>
      </c>
      <c r="N114" s="66">
        <v>0.14285714285714279</v>
      </c>
      <c r="O114" s="66">
        <v>0.125</v>
      </c>
      <c r="P114" s="66">
        <v>0</v>
      </c>
      <c r="Q114" s="66">
        <v>-0.30769230769230771</v>
      </c>
      <c r="R114" s="211">
        <v>-5.4054054054054057E-2</v>
      </c>
      <c r="S114" s="66">
        <v>-0.125</v>
      </c>
      <c r="T114" s="66">
        <v>-0.33333333333333337</v>
      </c>
      <c r="U114" s="66">
        <v>-0.11111111111111116</v>
      </c>
      <c r="V114" s="66">
        <v>-0.11111111111111116</v>
      </c>
      <c r="W114" s="211">
        <v>-0.17142857142857137</v>
      </c>
      <c r="X114" s="66">
        <v>0.28571428571428581</v>
      </c>
      <c r="Y114" s="66">
        <v>0.33333333333333326</v>
      </c>
      <c r="Z114" s="66">
        <v>0.125</v>
      </c>
      <c r="AA114" s="66">
        <v>0.125</v>
      </c>
      <c r="AB114" s="211">
        <v>0.2068965517241379</v>
      </c>
      <c r="AC114" s="22">
        <v>-0.22222222222222221</v>
      </c>
      <c r="AD114" s="22">
        <v>0.25</v>
      </c>
      <c r="AE114" s="22">
        <v>0.11111111111111116</v>
      </c>
      <c r="AF114" s="22">
        <v>0.11111111111111116</v>
      </c>
      <c r="AG114" s="211">
        <v>5.7142857142857162E-2</v>
      </c>
      <c r="AH114" s="22">
        <v>0.28571428571428581</v>
      </c>
      <c r="AI114" s="22">
        <v>0</v>
      </c>
      <c r="AJ114" s="22">
        <v>0.19999999999999996</v>
      </c>
      <c r="AK114" s="22">
        <v>-9.9999999999999978E-2</v>
      </c>
      <c r="AL114" s="211">
        <v>8.1081081081081141E-2</v>
      </c>
      <c r="AM114" s="22">
        <v>0.11111111111111116</v>
      </c>
      <c r="AN114" s="22">
        <v>0.19999999999999996</v>
      </c>
      <c r="AO114" s="22">
        <v>8.3333333333333259E-2</v>
      </c>
      <c r="AP114" s="22">
        <v>-0.22222222222222221</v>
      </c>
      <c r="AQ114" s="211">
        <v>5.0000000000000044E-2</v>
      </c>
      <c r="AR114" s="22">
        <v>0</v>
      </c>
      <c r="AS114" s="22">
        <v>0</v>
      </c>
      <c r="AT114" s="139"/>
      <c r="AU114" s="22">
        <v>-0.15384615384615385</v>
      </c>
      <c r="AV114" s="278"/>
      <c r="AW114" s="22">
        <v>0.85714285714285721</v>
      </c>
      <c r="AX114" s="211">
        <v>9.5238095238095344E-2</v>
      </c>
    </row>
    <row r="115" spans="2:50" ht="4.1500000000000004" customHeight="1">
      <c r="B115" s="180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1"/>
      <c r="AX115" s="181"/>
    </row>
    <row r="116" spans="2:50" ht="13.9" customHeight="1"/>
    <row r="117" spans="2:50" ht="7.15" customHeight="1">
      <c r="B117" s="187"/>
      <c r="C117" s="187"/>
      <c r="D117" s="187"/>
      <c r="E117" s="187"/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</row>
    <row r="118" spans="2:50" ht="25.35" customHeight="1">
      <c r="B118" s="177" t="s">
        <v>26</v>
      </c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2"/>
      <c r="AT118" s="182"/>
      <c r="AU118" s="182"/>
      <c r="AV118" s="182"/>
      <c r="AW118" s="182"/>
      <c r="AX118" s="182"/>
    </row>
    <row r="119" spans="2:50" ht="13.9" customHeight="1">
      <c r="B119" s="289" t="s">
        <v>230</v>
      </c>
      <c r="C119" s="122"/>
      <c r="D119" s="122"/>
      <c r="E119" s="290"/>
      <c r="F119" s="290"/>
      <c r="G119" s="290"/>
      <c r="H119" s="290"/>
      <c r="I119" s="122"/>
      <c r="J119" s="290"/>
      <c r="K119" s="290"/>
      <c r="L119" s="290"/>
      <c r="M119" s="290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</row>
    <row r="120" spans="2:50" ht="13.9" customHeight="1">
      <c r="B120" s="20"/>
      <c r="C120" s="210"/>
      <c r="D120" s="56"/>
      <c r="E120" s="56"/>
      <c r="F120" s="56"/>
      <c r="G120" s="56"/>
      <c r="H120" s="210"/>
      <c r="I120" s="56"/>
      <c r="J120" s="56"/>
      <c r="K120" s="56"/>
      <c r="L120" s="56"/>
      <c r="M120" s="210"/>
      <c r="N120" s="236"/>
      <c r="O120" s="236"/>
      <c r="P120" s="236"/>
      <c r="Q120" s="236"/>
      <c r="R120" s="210"/>
      <c r="S120" s="236"/>
      <c r="T120" s="236"/>
      <c r="U120" s="236"/>
      <c r="V120" s="236"/>
      <c r="W120" s="210"/>
      <c r="X120" s="56"/>
      <c r="Y120" s="56"/>
      <c r="Z120" s="56"/>
      <c r="AA120" s="56"/>
      <c r="AB120" s="210"/>
      <c r="AC120" s="20"/>
      <c r="AD120" s="20"/>
      <c r="AE120" s="20"/>
      <c r="AF120" s="20"/>
      <c r="AG120" s="210"/>
      <c r="AH120" s="20"/>
      <c r="AI120" s="20"/>
      <c r="AJ120" s="20"/>
      <c r="AK120" s="20"/>
      <c r="AL120" s="210"/>
      <c r="AM120" s="20"/>
      <c r="AN120" s="20"/>
      <c r="AO120" s="20"/>
      <c r="AP120" s="20"/>
      <c r="AQ120" s="210"/>
      <c r="AR120" s="20"/>
      <c r="AS120" s="20"/>
      <c r="AT120" s="138"/>
      <c r="AU120" s="20"/>
      <c r="AV120" s="303"/>
      <c r="AW120" s="20"/>
      <c r="AX120" s="210"/>
    </row>
    <row r="121" spans="2:50" ht="13.9" customHeight="1">
      <c r="B121" s="12" t="s">
        <v>159</v>
      </c>
      <c r="C121" s="210">
        <v>2793</v>
      </c>
      <c r="D121" s="56"/>
      <c r="E121" s="56"/>
      <c r="F121" s="56"/>
      <c r="G121" s="56"/>
      <c r="H121" s="210">
        <v>2699</v>
      </c>
      <c r="I121" s="56"/>
      <c r="J121" s="56"/>
      <c r="K121" s="56"/>
      <c r="L121" s="56"/>
      <c r="M121" s="210">
        <v>2074</v>
      </c>
      <c r="N121" s="355">
        <v>738</v>
      </c>
      <c r="O121" s="355">
        <v>1079</v>
      </c>
      <c r="P121" s="355">
        <v>665</v>
      </c>
      <c r="Q121" s="355">
        <v>521</v>
      </c>
      <c r="R121" s="210">
        <v>3003</v>
      </c>
      <c r="S121" s="355">
        <v>651</v>
      </c>
      <c r="T121" s="355">
        <v>682</v>
      </c>
      <c r="U121" s="355">
        <v>668</v>
      </c>
      <c r="V121" s="355">
        <v>581</v>
      </c>
      <c r="W121" s="210">
        <v>2582</v>
      </c>
      <c r="X121" s="355">
        <v>816</v>
      </c>
      <c r="Y121" s="355">
        <v>638</v>
      </c>
      <c r="Z121" s="355">
        <v>629</v>
      </c>
      <c r="AA121" s="355">
        <v>603</v>
      </c>
      <c r="AB121" s="210">
        <v>2686</v>
      </c>
      <c r="AC121" s="19">
        <v>625</v>
      </c>
      <c r="AD121" s="19">
        <v>641</v>
      </c>
      <c r="AE121" s="19">
        <v>640</v>
      </c>
      <c r="AF121" s="19">
        <v>559</v>
      </c>
      <c r="AG121" s="210">
        <v>2465</v>
      </c>
      <c r="AH121" s="19">
        <v>648</v>
      </c>
      <c r="AI121" s="19">
        <v>674</v>
      </c>
      <c r="AJ121" s="19">
        <v>568</v>
      </c>
      <c r="AK121" s="19">
        <v>580</v>
      </c>
      <c r="AL121" s="210">
        <v>2470</v>
      </c>
      <c r="AM121" s="19">
        <v>649</v>
      </c>
      <c r="AN121" s="19">
        <v>638</v>
      </c>
      <c r="AO121" s="19">
        <v>611</v>
      </c>
      <c r="AP121" s="19">
        <v>563</v>
      </c>
      <c r="AQ121" s="210">
        <v>2461</v>
      </c>
      <c r="AR121" s="19">
        <v>642</v>
      </c>
      <c r="AS121" s="19">
        <v>647</v>
      </c>
      <c r="AT121" s="137">
        <v>1289</v>
      </c>
      <c r="AU121" s="19">
        <v>597</v>
      </c>
      <c r="AV121" s="276">
        <v>1886</v>
      </c>
      <c r="AW121" s="19">
        <v>416</v>
      </c>
      <c r="AX121" s="210">
        <v>2302</v>
      </c>
    </row>
    <row r="122" spans="2:50" ht="13.9" customHeight="1">
      <c r="B122" s="12" t="s">
        <v>166</v>
      </c>
      <c r="C122" s="213">
        <v>-13</v>
      </c>
      <c r="D122" s="56"/>
      <c r="E122" s="56"/>
      <c r="F122" s="56"/>
      <c r="G122" s="56"/>
      <c r="H122" s="213">
        <v>-23</v>
      </c>
      <c r="I122" s="56"/>
      <c r="J122" s="56"/>
      <c r="K122" s="56"/>
      <c r="L122" s="56"/>
      <c r="M122" s="210">
        <v>614</v>
      </c>
      <c r="N122" s="61">
        <v>-69</v>
      </c>
      <c r="O122" s="61">
        <v>-423</v>
      </c>
      <c r="P122" s="61">
        <v>-8</v>
      </c>
      <c r="Q122" s="355">
        <v>94</v>
      </c>
      <c r="R122" s="210">
        <v>-406</v>
      </c>
      <c r="S122" s="61">
        <v>-4</v>
      </c>
      <c r="T122" s="61">
        <v>-2</v>
      </c>
      <c r="U122" s="61">
        <v>-5</v>
      </c>
      <c r="V122" s="355">
        <v>79</v>
      </c>
      <c r="W122" s="210">
        <v>68</v>
      </c>
      <c r="X122" s="61">
        <v>-150</v>
      </c>
      <c r="Y122" s="355">
        <v>6</v>
      </c>
      <c r="Z122" s="355">
        <v>8</v>
      </c>
      <c r="AA122" s="355">
        <v>31</v>
      </c>
      <c r="AB122" s="213">
        <v>-105</v>
      </c>
      <c r="AC122" s="19">
        <v>47</v>
      </c>
      <c r="AD122" s="19">
        <v>2</v>
      </c>
      <c r="AE122" s="19">
        <v>5</v>
      </c>
      <c r="AF122" s="19">
        <v>58</v>
      </c>
      <c r="AG122" s="210">
        <v>112</v>
      </c>
      <c r="AH122" s="19">
        <v>5</v>
      </c>
      <c r="AI122" s="19">
        <v>6</v>
      </c>
      <c r="AJ122" s="19">
        <v>77</v>
      </c>
      <c r="AK122" s="19">
        <v>57</v>
      </c>
      <c r="AL122" s="210">
        <v>145</v>
      </c>
      <c r="AM122" s="61">
        <v>-1</v>
      </c>
      <c r="AN122" s="61">
        <v>-8</v>
      </c>
      <c r="AO122" s="19">
        <v>24</v>
      </c>
      <c r="AP122" s="19">
        <v>91</v>
      </c>
      <c r="AQ122" s="210">
        <v>106</v>
      </c>
      <c r="AR122" s="19">
        <v>4</v>
      </c>
      <c r="AS122" s="61">
        <v>-7</v>
      </c>
      <c r="AT122" s="148">
        <v>-3</v>
      </c>
      <c r="AU122" s="19">
        <v>41</v>
      </c>
      <c r="AV122" s="276">
        <v>38</v>
      </c>
      <c r="AW122" s="19">
        <v>249</v>
      </c>
      <c r="AX122" s="210">
        <v>287</v>
      </c>
    </row>
    <row r="123" spans="2:50" ht="13.9" customHeight="1">
      <c r="B123" s="12" t="s">
        <v>307</v>
      </c>
      <c r="C123" s="237"/>
      <c r="D123" s="366"/>
      <c r="E123" s="366"/>
      <c r="F123" s="366"/>
      <c r="G123" s="366"/>
      <c r="H123" s="237">
        <v>0</v>
      </c>
      <c r="I123" s="366"/>
      <c r="J123" s="366"/>
      <c r="K123" s="366"/>
      <c r="L123" s="366"/>
      <c r="M123" s="237">
        <v>0</v>
      </c>
      <c r="N123" s="354">
        <v>0</v>
      </c>
      <c r="O123" s="354">
        <v>0</v>
      </c>
      <c r="P123" s="354">
        <v>0</v>
      </c>
      <c r="Q123" s="354">
        <v>0</v>
      </c>
      <c r="R123" s="237">
        <v>0</v>
      </c>
      <c r="S123" s="354">
        <v>0</v>
      </c>
      <c r="T123" s="354">
        <v>0</v>
      </c>
      <c r="U123" s="354">
        <v>0</v>
      </c>
      <c r="V123" s="354">
        <v>0</v>
      </c>
      <c r="W123" s="237">
        <v>0</v>
      </c>
      <c r="X123" s="354">
        <v>5</v>
      </c>
      <c r="Y123" s="354">
        <v>5</v>
      </c>
      <c r="Z123" s="354">
        <v>3</v>
      </c>
      <c r="AA123" s="356">
        <v>2</v>
      </c>
      <c r="AB123" s="237">
        <v>15</v>
      </c>
      <c r="AC123" s="102">
        <v>2</v>
      </c>
      <c r="AD123" s="102">
        <v>2</v>
      </c>
      <c r="AE123" s="157">
        <v>-2</v>
      </c>
      <c r="AF123" s="105">
        <v>1</v>
      </c>
      <c r="AG123" s="237">
        <v>3</v>
      </c>
      <c r="AH123" s="102">
        <v>1</v>
      </c>
      <c r="AI123" s="102">
        <v>1</v>
      </c>
      <c r="AJ123" s="105">
        <v>1</v>
      </c>
      <c r="AK123" s="105">
        <v>0</v>
      </c>
      <c r="AL123" s="237">
        <v>3</v>
      </c>
      <c r="AM123" s="354">
        <v>1</v>
      </c>
      <c r="AN123" s="102">
        <v>3</v>
      </c>
      <c r="AO123" s="105">
        <v>3</v>
      </c>
      <c r="AP123" s="105">
        <v>2</v>
      </c>
      <c r="AQ123" s="237">
        <v>9</v>
      </c>
      <c r="AR123" s="354">
        <v>2</v>
      </c>
      <c r="AS123" s="102">
        <v>3</v>
      </c>
      <c r="AT123" s="146">
        <v>5</v>
      </c>
      <c r="AU123" s="356">
        <v>3</v>
      </c>
      <c r="AV123" s="301">
        <v>8</v>
      </c>
      <c r="AW123" s="105">
        <v>2</v>
      </c>
      <c r="AX123" s="237">
        <v>10</v>
      </c>
    </row>
    <row r="124" spans="2:50" ht="13.9" customHeight="1">
      <c r="B124" s="12"/>
      <c r="C124" s="210"/>
      <c r="D124" s="56"/>
      <c r="E124" s="56"/>
      <c r="F124" s="56"/>
      <c r="G124" s="56"/>
      <c r="H124" s="210"/>
      <c r="I124" s="56"/>
      <c r="J124" s="56"/>
      <c r="K124" s="56"/>
      <c r="L124" s="56"/>
      <c r="M124" s="210"/>
      <c r="N124" s="355"/>
      <c r="O124" s="355"/>
      <c r="P124" s="355"/>
      <c r="Q124" s="355"/>
      <c r="R124" s="210"/>
      <c r="S124" s="355"/>
      <c r="T124" s="355"/>
      <c r="U124" s="355"/>
      <c r="V124" s="355"/>
      <c r="W124" s="210"/>
      <c r="X124" s="355"/>
      <c r="Y124" s="355"/>
      <c r="Z124" s="355"/>
      <c r="AA124" s="355"/>
      <c r="AB124" s="210"/>
      <c r="AC124" s="19"/>
      <c r="AD124" s="19"/>
      <c r="AE124" s="19"/>
      <c r="AF124" s="19"/>
      <c r="AG124" s="210"/>
      <c r="AH124" s="19"/>
      <c r="AI124" s="19"/>
      <c r="AJ124" s="19"/>
      <c r="AK124" s="19"/>
      <c r="AL124" s="210"/>
      <c r="AM124" s="355"/>
      <c r="AN124" s="19"/>
      <c r="AO124" s="19"/>
      <c r="AP124" s="19"/>
      <c r="AQ124" s="210"/>
      <c r="AR124" s="355"/>
      <c r="AS124" s="19"/>
      <c r="AT124" s="138"/>
      <c r="AU124" s="19"/>
      <c r="AV124" s="276"/>
      <c r="AW124" s="19"/>
      <c r="AX124" s="210"/>
    </row>
    <row r="125" spans="2:50" ht="13.9" customHeight="1">
      <c r="B125" s="34" t="s">
        <v>237</v>
      </c>
      <c r="C125" s="237">
        <v>2780</v>
      </c>
      <c r="D125" s="366"/>
      <c r="E125" s="366"/>
      <c r="F125" s="366"/>
      <c r="G125" s="366"/>
      <c r="H125" s="237">
        <v>2676</v>
      </c>
      <c r="I125" s="366"/>
      <c r="J125" s="366"/>
      <c r="K125" s="366"/>
      <c r="L125" s="366"/>
      <c r="M125" s="237">
        <v>2688</v>
      </c>
      <c r="N125" s="356">
        <v>669</v>
      </c>
      <c r="O125" s="356">
        <v>656</v>
      </c>
      <c r="P125" s="356">
        <v>657</v>
      </c>
      <c r="Q125" s="356">
        <v>615</v>
      </c>
      <c r="R125" s="237">
        <v>2597</v>
      </c>
      <c r="S125" s="356">
        <v>647</v>
      </c>
      <c r="T125" s="356">
        <v>680</v>
      </c>
      <c r="U125" s="356">
        <v>663</v>
      </c>
      <c r="V125" s="356">
        <v>660</v>
      </c>
      <c r="W125" s="237">
        <v>2650</v>
      </c>
      <c r="X125" s="356">
        <v>671</v>
      </c>
      <c r="Y125" s="356">
        <v>649</v>
      </c>
      <c r="Z125" s="356">
        <v>640</v>
      </c>
      <c r="AA125" s="356">
        <v>636</v>
      </c>
      <c r="AB125" s="237">
        <v>2596</v>
      </c>
      <c r="AC125" s="105">
        <v>674</v>
      </c>
      <c r="AD125" s="105">
        <v>645</v>
      </c>
      <c r="AE125" s="105">
        <v>643</v>
      </c>
      <c r="AF125" s="105">
        <v>618</v>
      </c>
      <c r="AG125" s="237">
        <v>2580</v>
      </c>
      <c r="AH125" s="105">
        <v>654</v>
      </c>
      <c r="AI125" s="105">
        <v>681</v>
      </c>
      <c r="AJ125" s="105">
        <v>646</v>
      </c>
      <c r="AK125" s="105">
        <v>637</v>
      </c>
      <c r="AL125" s="237">
        <v>2618</v>
      </c>
      <c r="AM125" s="356">
        <v>649</v>
      </c>
      <c r="AN125" s="105">
        <v>633</v>
      </c>
      <c r="AO125" s="105">
        <v>638</v>
      </c>
      <c r="AP125" s="105">
        <v>656</v>
      </c>
      <c r="AQ125" s="237">
        <v>2576</v>
      </c>
      <c r="AR125" s="356">
        <v>648</v>
      </c>
      <c r="AS125" s="105">
        <v>643</v>
      </c>
      <c r="AT125" s="146">
        <v>1291</v>
      </c>
      <c r="AU125" s="105">
        <v>641</v>
      </c>
      <c r="AV125" s="301">
        <v>1932</v>
      </c>
      <c r="AW125" s="105">
        <v>667</v>
      </c>
      <c r="AX125" s="237">
        <v>2599</v>
      </c>
    </row>
    <row r="126" spans="2:50" ht="13.9" customHeight="1">
      <c r="B126" s="20" t="s">
        <v>5</v>
      </c>
      <c r="C126" s="223"/>
      <c r="D126" s="62"/>
      <c r="E126" s="62"/>
      <c r="F126" s="62"/>
      <c r="G126" s="62"/>
      <c r="H126" s="210"/>
      <c r="I126" s="62"/>
      <c r="J126" s="62"/>
      <c r="K126" s="62"/>
      <c r="L126" s="62"/>
      <c r="M126" s="210"/>
      <c r="N126" s="357"/>
      <c r="O126" s="357">
        <v>-1.9431988041853532E-2</v>
      </c>
      <c r="P126" s="357">
        <v>1.5243902439023849E-3</v>
      </c>
      <c r="Q126" s="357">
        <v>-6.3926940639269403E-2</v>
      </c>
      <c r="R126" s="210"/>
      <c r="S126" s="357">
        <v>5.2032520325203224E-2</v>
      </c>
      <c r="T126" s="357">
        <v>5.1004636785162205E-2</v>
      </c>
      <c r="U126" s="357">
        <v>-2.5000000000000022E-2</v>
      </c>
      <c r="V126" s="357">
        <v>-4.5248868778280382E-3</v>
      </c>
      <c r="W126" s="210"/>
      <c r="X126" s="357">
        <v>1.6666666666666607E-2</v>
      </c>
      <c r="Y126" s="357">
        <v>-3.2786885245901676E-2</v>
      </c>
      <c r="Z126" s="357">
        <v>-1.3867488443759624E-2</v>
      </c>
      <c r="AA126" s="357">
        <v>-6.2499999999999778E-3</v>
      </c>
      <c r="AB126" s="210"/>
      <c r="AC126" s="21">
        <v>5.9748427672956073E-2</v>
      </c>
      <c r="AD126" s="21">
        <v>-4.3026706231453993E-2</v>
      </c>
      <c r="AE126" s="21">
        <v>-3.1007751937984773E-3</v>
      </c>
      <c r="AF126" s="21">
        <v>-3.8880248833592534E-2</v>
      </c>
      <c r="AG126" s="210"/>
      <c r="AH126" s="21">
        <v>5.8252427184465994E-2</v>
      </c>
      <c r="AI126" s="21">
        <v>4.1284403669724856E-2</v>
      </c>
      <c r="AJ126" s="21">
        <v>-5.1395007342143861E-2</v>
      </c>
      <c r="AK126" s="21">
        <v>-1.3931888544891691E-2</v>
      </c>
      <c r="AL126" s="210"/>
      <c r="AM126" s="357">
        <v>1.8838304552590168E-2</v>
      </c>
      <c r="AN126" s="21">
        <v>-2.4653312788906034E-2</v>
      </c>
      <c r="AO126" s="21">
        <v>7.89889415481837E-3</v>
      </c>
      <c r="AP126" s="21">
        <v>2.8213166144200663E-2</v>
      </c>
      <c r="AQ126" s="210"/>
      <c r="AR126" s="21">
        <v>-1.2195121951219523E-2</v>
      </c>
      <c r="AS126" s="21">
        <v>-7.7160493827160836E-3</v>
      </c>
      <c r="AT126" s="138"/>
      <c r="AU126" s="21">
        <v>-3.1104199066873672E-3</v>
      </c>
      <c r="AV126" s="277"/>
      <c r="AW126" s="21">
        <v>4.0561622464898583E-2</v>
      </c>
      <c r="AX126" s="210"/>
    </row>
    <row r="127" spans="2:50" s="2" customFormat="1" ht="13.9" customHeight="1">
      <c r="B127" s="20" t="s">
        <v>6</v>
      </c>
      <c r="C127" s="223"/>
      <c r="D127" s="62"/>
      <c r="E127" s="62"/>
      <c r="F127" s="62"/>
      <c r="G127" s="62"/>
      <c r="H127" s="210"/>
      <c r="I127" s="62"/>
      <c r="J127" s="62"/>
      <c r="K127" s="62"/>
      <c r="L127" s="62"/>
      <c r="M127" s="211">
        <v>4.484304932735439E-3</v>
      </c>
      <c r="N127" s="66"/>
      <c r="O127" s="66"/>
      <c r="P127" s="66"/>
      <c r="Q127" s="66"/>
      <c r="R127" s="211">
        <v>-3.385416666666663E-2</v>
      </c>
      <c r="S127" s="66">
        <v>-3.2884902840059738E-2</v>
      </c>
      <c r="T127" s="66">
        <v>3.6585365853658569E-2</v>
      </c>
      <c r="U127" s="66">
        <v>9.1324200913243114E-3</v>
      </c>
      <c r="V127" s="66">
        <v>7.3170731707317138E-2</v>
      </c>
      <c r="W127" s="211">
        <v>2.0408163265306145E-2</v>
      </c>
      <c r="X127" s="66">
        <v>3.7094281298299947E-2</v>
      </c>
      <c r="Y127" s="66">
        <v>-4.5588235294117596E-2</v>
      </c>
      <c r="Z127" s="66">
        <v>-3.4690799396681737E-2</v>
      </c>
      <c r="AA127" s="66">
        <v>-3.6363636363636376E-2</v>
      </c>
      <c r="AB127" s="211">
        <v>-2.0377358490565989E-2</v>
      </c>
      <c r="AC127" s="22">
        <v>4.4709388971684305E-3</v>
      </c>
      <c r="AD127" s="22">
        <v>-6.1633281972265364E-3</v>
      </c>
      <c r="AE127" s="22">
        <v>4.6874999999999556E-3</v>
      </c>
      <c r="AF127" s="22">
        <v>-2.8301886792452824E-2</v>
      </c>
      <c r="AG127" s="211">
        <v>-6.1633281972265364E-3</v>
      </c>
      <c r="AH127" s="22">
        <v>-2.9673590504451064E-2</v>
      </c>
      <c r="AI127" s="22">
        <v>5.5813953488372148E-2</v>
      </c>
      <c r="AJ127" s="22">
        <v>4.6656298600311619E-3</v>
      </c>
      <c r="AK127" s="22">
        <v>3.07443365695792E-2</v>
      </c>
      <c r="AL127" s="211">
        <v>1.4728682170542573E-2</v>
      </c>
      <c r="AM127" s="66">
        <v>-7.6452599388379117E-3</v>
      </c>
      <c r="AN127" s="22">
        <v>-7.0484581497797349E-2</v>
      </c>
      <c r="AO127" s="22">
        <v>-1.2383900928792602E-2</v>
      </c>
      <c r="AP127" s="22">
        <v>2.982731554160134E-2</v>
      </c>
      <c r="AQ127" s="211">
        <v>-1.6042780748663055E-2</v>
      </c>
      <c r="AR127" s="22">
        <v>-1.5408320493066618E-3</v>
      </c>
      <c r="AS127" s="22">
        <v>1.579778830963674E-2</v>
      </c>
      <c r="AT127" s="139"/>
      <c r="AU127" s="22">
        <v>4.7021943573668512E-3</v>
      </c>
      <c r="AV127" s="278"/>
      <c r="AW127" s="22">
        <v>1.67682926829269E-2</v>
      </c>
      <c r="AX127" s="211">
        <v>8.9285714285713969E-3</v>
      </c>
    </row>
    <row r="128" spans="2:50" s="2" customFormat="1" ht="13.9" customHeight="1">
      <c r="B128" s="34" t="s">
        <v>272</v>
      </c>
      <c r="C128" s="231">
        <v>0.63426876568560342</v>
      </c>
      <c r="D128" s="62"/>
      <c r="E128" s="361"/>
      <c r="F128" s="361"/>
      <c r="G128" s="62"/>
      <c r="H128" s="231">
        <v>0.63053722902921772</v>
      </c>
      <c r="I128" s="62"/>
      <c r="J128" s="361"/>
      <c r="K128" s="361"/>
      <c r="L128" s="62"/>
      <c r="M128" s="231">
        <v>0.64061010486177317</v>
      </c>
      <c r="N128" s="50">
        <v>0.64141898370086292</v>
      </c>
      <c r="O128" s="50">
        <v>0.64313725490196083</v>
      </c>
      <c r="P128" s="50">
        <v>0.64097560975609758</v>
      </c>
      <c r="Q128" s="50">
        <v>0.62436548223350252</v>
      </c>
      <c r="R128" s="231">
        <v>0.63761355266388409</v>
      </c>
      <c r="S128" s="50">
        <v>0.63555992141453832</v>
      </c>
      <c r="T128" s="50">
        <v>0.65134099616858232</v>
      </c>
      <c r="U128" s="50">
        <v>0.6362763915547025</v>
      </c>
      <c r="V128" s="50">
        <v>0.62559241706161139</v>
      </c>
      <c r="W128" s="231">
        <v>0.63717239721086805</v>
      </c>
      <c r="X128" s="50">
        <v>0.63662239089184058</v>
      </c>
      <c r="Y128" s="50">
        <v>0.62463907603464874</v>
      </c>
      <c r="Z128" s="50">
        <v>0.61716489874638381</v>
      </c>
      <c r="AA128" s="50">
        <v>0.6045627376425855</v>
      </c>
      <c r="AB128" s="231">
        <v>0.62075561932089907</v>
      </c>
      <c r="AC128" s="50">
        <v>0.61496350364963503</v>
      </c>
      <c r="AD128" s="50">
        <v>0.60449859418931584</v>
      </c>
      <c r="AE128" s="50">
        <v>0.59208103130755063</v>
      </c>
      <c r="AF128" s="50">
        <v>0.58467360454115425</v>
      </c>
      <c r="AG128" s="231">
        <v>0.59916395726892713</v>
      </c>
      <c r="AH128" s="50">
        <v>0.58865886588658867</v>
      </c>
      <c r="AI128" s="50">
        <v>0.60265486725663719</v>
      </c>
      <c r="AJ128" s="50">
        <v>0.59594095940959413</v>
      </c>
      <c r="AK128" s="50">
        <v>0.58601655933762653</v>
      </c>
      <c r="AL128" s="231">
        <v>0.59338168631006349</v>
      </c>
      <c r="AM128" s="50">
        <v>0.59486709440879926</v>
      </c>
      <c r="AN128" s="50">
        <v>0.58883720930232553</v>
      </c>
      <c r="AO128" s="50">
        <v>0.57737556561085968</v>
      </c>
      <c r="AP128" s="50">
        <v>0.61251167133520079</v>
      </c>
      <c r="AQ128" s="231">
        <v>0.59327498848456928</v>
      </c>
      <c r="AR128" s="50">
        <v>0.58855585831062673</v>
      </c>
      <c r="AS128" s="50">
        <v>0.58348457350272231</v>
      </c>
      <c r="AT128" s="141">
        <v>0.58601906491148437</v>
      </c>
      <c r="AU128" s="50">
        <v>0.57695769576957701</v>
      </c>
      <c r="AV128" s="295">
        <v>0.5829812914906457</v>
      </c>
      <c r="AW128" s="50">
        <v>0.59874326750448836</v>
      </c>
      <c r="AX128" s="231">
        <v>0.58694670280036132</v>
      </c>
    </row>
    <row r="129" spans="2:50" s="2" customFormat="1" ht="13.9" customHeight="1">
      <c r="C129" s="223"/>
      <c r="D129" s="62"/>
      <c r="E129" s="62"/>
      <c r="F129" s="62"/>
      <c r="G129" s="62"/>
      <c r="H129" s="210"/>
      <c r="I129" s="62"/>
      <c r="J129" s="62"/>
      <c r="K129" s="62"/>
      <c r="L129" s="62"/>
      <c r="M129" s="210"/>
      <c r="N129" s="56"/>
      <c r="R129" s="210"/>
      <c r="W129" s="210"/>
      <c r="AB129" s="210"/>
      <c r="AG129" s="210"/>
      <c r="AL129" s="210"/>
      <c r="AQ129" s="210"/>
      <c r="AT129" s="145"/>
      <c r="AV129" s="304"/>
      <c r="AX129" s="210"/>
    </row>
    <row r="130" spans="2:50" ht="13.9" customHeight="1">
      <c r="B130" s="289" t="s">
        <v>231</v>
      </c>
      <c r="C130" s="122"/>
      <c r="D130" s="289"/>
      <c r="E130" s="289"/>
      <c r="F130" s="289"/>
      <c r="G130" s="289"/>
      <c r="H130" s="290"/>
      <c r="I130" s="290"/>
      <c r="J130" s="290"/>
      <c r="K130" s="290"/>
      <c r="L130" s="290"/>
      <c r="M130" s="290"/>
      <c r="N130" s="290"/>
      <c r="O130" s="290"/>
      <c r="P130" s="290"/>
      <c r="Q130" s="290"/>
      <c r="R130" s="290"/>
      <c r="S130" s="290"/>
      <c r="T130" s="290"/>
      <c r="U130" s="290"/>
      <c r="V130" s="290"/>
      <c r="W130" s="290"/>
      <c r="X130" s="290"/>
      <c r="Y130" s="290"/>
      <c r="Z130" s="290"/>
      <c r="AA130" s="290"/>
      <c r="AB130" s="290"/>
      <c r="AC130" s="290"/>
      <c r="AD130" s="290"/>
      <c r="AE130" s="290"/>
      <c r="AF130" s="290"/>
      <c r="AG130" s="290"/>
      <c r="AH130" s="290"/>
      <c r="AI130" s="290"/>
      <c r="AJ130" s="290"/>
      <c r="AK130" s="290"/>
      <c r="AL130" s="290"/>
      <c r="AM130" s="290"/>
      <c r="AN130" s="290"/>
      <c r="AO130" s="290"/>
      <c r="AP130" s="290"/>
      <c r="AQ130" s="290"/>
      <c r="AR130" s="290"/>
      <c r="AS130" s="290"/>
      <c r="AT130" s="290"/>
      <c r="AU130" s="290"/>
      <c r="AV130" s="290"/>
      <c r="AW130" s="290"/>
      <c r="AX130" s="290"/>
    </row>
    <row r="131" spans="2:50" ht="13.9" customHeight="1">
      <c r="C131" s="223"/>
      <c r="D131" s="62"/>
      <c r="E131" s="62"/>
      <c r="F131" s="62"/>
      <c r="G131" s="62"/>
      <c r="H131" s="210"/>
      <c r="I131" s="62"/>
      <c r="J131" s="62"/>
      <c r="K131" s="62"/>
      <c r="L131" s="62"/>
      <c r="M131" s="210"/>
      <c r="N131" s="56"/>
      <c r="R131" s="210"/>
      <c r="W131" s="210"/>
      <c r="AB131" s="210"/>
      <c r="AG131" s="210"/>
      <c r="AJ131" s="168"/>
      <c r="AL131" s="210"/>
      <c r="AO131" s="168"/>
      <c r="AQ131" s="210"/>
      <c r="AT131" s="138"/>
      <c r="AU131" s="168"/>
      <c r="AV131" s="292"/>
      <c r="AX131" s="210"/>
    </row>
    <row r="132" spans="2:50" s="2" customFormat="1" ht="13.9" customHeight="1">
      <c r="B132" s="12" t="s">
        <v>204</v>
      </c>
      <c r="C132" s="210">
        <v>1232</v>
      </c>
      <c r="D132" s="62"/>
      <c r="E132" s="62"/>
      <c r="F132" s="62"/>
      <c r="G132" s="62"/>
      <c r="H132" s="210">
        <v>1172</v>
      </c>
      <c r="I132" s="62"/>
      <c r="J132" s="62"/>
      <c r="K132" s="62"/>
      <c r="L132" s="62"/>
      <c r="M132" s="210">
        <v>567</v>
      </c>
      <c r="N132" s="106">
        <v>321</v>
      </c>
      <c r="O132" s="106">
        <v>562</v>
      </c>
      <c r="P132" s="106">
        <v>175</v>
      </c>
      <c r="Q132" s="106">
        <v>134</v>
      </c>
      <c r="R132" s="210">
        <v>1192</v>
      </c>
      <c r="S132" s="106">
        <v>295</v>
      </c>
      <c r="T132" s="106">
        <v>229</v>
      </c>
      <c r="U132" s="106">
        <v>300</v>
      </c>
      <c r="V132" s="106">
        <v>216</v>
      </c>
      <c r="W132" s="210">
        <v>1040</v>
      </c>
      <c r="X132" s="106">
        <v>400</v>
      </c>
      <c r="Y132" s="106">
        <v>238</v>
      </c>
      <c r="Z132" s="106">
        <v>219</v>
      </c>
      <c r="AA132" s="106">
        <v>206</v>
      </c>
      <c r="AB132" s="210">
        <v>1063</v>
      </c>
      <c r="AC132" s="106">
        <v>218</v>
      </c>
      <c r="AD132" s="106">
        <v>243</v>
      </c>
      <c r="AE132" s="106">
        <v>235</v>
      </c>
      <c r="AF132" s="106">
        <v>153</v>
      </c>
      <c r="AG132" s="210">
        <v>849</v>
      </c>
      <c r="AH132" s="106">
        <v>249</v>
      </c>
      <c r="AI132" s="106">
        <v>261</v>
      </c>
      <c r="AJ132" s="106">
        <v>192</v>
      </c>
      <c r="AK132" s="19">
        <v>199</v>
      </c>
      <c r="AL132" s="210">
        <v>901</v>
      </c>
      <c r="AM132" s="106">
        <v>258</v>
      </c>
      <c r="AN132" s="106">
        <v>238</v>
      </c>
      <c r="AO132" s="106">
        <v>217</v>
      </c>
      <c r="AP132" s="19">
        <v>193</v>
      </c>
      <c r="AQ132" s="210">
        <v>906</v>
      </c>
      <c r="AR132" s="106">
        <v>256</v>
      </c>
      <c r="AS132" s="106">
        <v>218</v>
      </c>
      <c r="AT132" s="137">
        <v>474</v>
      </c>
      <c r="AU132" s="106">
        <v>179</v>
      </c>
      <c r="AV132" s="276">
        <v>653</v>
      </c>
      <c r="AW132" s="19">
        <v>67</v>
      </c>
      <c r="AX132" s="210">
        <v>720</v>
      </c>
    </row>
    <row r="133" spans="2:50" s="2" customFormat="1" ht="13.9" customHeight="1">
      <c r="B133" s="12" t="s">
        <v>275</v>
      </c>
      <c r="C133" s="213">
        <v>-9.8800000000000008</v>
      </c>
      <c r="D133" s="62"/>
      <c r="E133" s="361"/>
      <c r="F133" s="361"/>
      <c r="G133" s="62"/>
      <c r="H133" s="213">
        <v>-17.48</v>
      </c>
      <c r="I133" s="62"/>
      <c r="J133" s="355"/>
      <c r="K133" s="355"/>
      <c r="L133" s="355"/>
      <c r="M133" s="210">
        <v>472.78000000000003</v>
      </c>
      <c r="N133" s="61">
        <v>-53.13</v>
      </c>
      <c r="O133" s="61">
        <v>-325.70999999999998</v>
      </c>
      <c r="P133" s="61">
        <v>-6.16</v>
      </c>
      <c r="Q133" s="106">
        <v>72.38</v>
      </c>
      <c r="R133" s="213">
        <v>-312.62</v>
      </c>
      <c r="S133" s="61">
        <v>-3.08</v>
      </c>
      <c r="T133" s="61">
        <v>-1.54</v>
      </c>
      <c r="U133" s="61">
        <v>-3.85</v>
      </c>
      <c r="V133" s="106">
        <v>60.83</v>
      </c>
      <c r="W133" s="210">
        <v>52.36</v>
      </c>
      <c r="X133" s="61">
        <v>-115</v>
      </c>
      <c r="Y133" s="106">
        <v>4.62</v>
      </c>
      <c r="Z133" s="106">
        <v>6.16</v>
      </c>
      <c r="AA133" s="106">
        <v>23.36999999999999</v>
      </c>
      <c r="AB133" s="213">
        <v>-80.850000000000009</v>
      </c>
      <c r="AC133" s="106">
        <v>36</v>
      </c>
      <c r="AD133" s="106">
        <v>2</v>
      </c>
      <c r="AE133" s="106">
        <v>4</v>
      </c>
      <c r="AF133" s="106">
        <v>44</v>
      </c>
      <c r="AG133" s="210">
        <v>86</v>
      </c>
      <c r="AH133" s="106">
        <v>4</v>
      </c>
      <c r="AI133" s="106">
        <v>5</v>
      </c>
      <c r="AJ133" s="106">
        <v>59</v>
      </c>
      <c r="AK133" s="19">
        <v>44</v>
      </c>
      <c r="AL133" s="210">
        <v>112</v>
      </c>
      <c r="AM133" s="61">
        <v>-1</v>
      </c>
      <c r="AN133" s="61">
        <v>-6</v>
      </c>
      <c r="AO133" s="106">
        <v>19</v>
      </c>
      <c r="AP133" s="19">
        <v>70</v>
      </c>
      <c r="AQ133" s="210">
        <v>82</v>
      </c>
      <c r="AR133" s="106">
        <v>3</v>
      </c>
      <c r="AS133" s="61">
        <v>-5</v>
      </c>
      <c r="AT133" s="148">
        <v>-2</v>
      </c>
      <c r="AU133" s="106">
        <v>32</v>
      </c>
      <c r="AV133" s="276">
        <v>30</v>
      </c>
      <c r="AW133" s="19">
        <v>191</v>
      </c>
      <c r="AX133" s="210">
        <v>221</v>
      </c>
    </row>
    <row r="134" spans="2:50" s="2" customFormat="1" ht="13.9" customHeight="1">
      <c r="B134" s="12" t="s">
        <v>307</v>
      </c>
      <c r="C134" s="237"/>
      <c r="D134" s="101"/>
      <c r="E134" s="62"/>
      <c r="F134" s="62"/>
      <c r="G134" s="62"/>
      <c r="H134" s="237"/>
      <c r="I134" s="62"/>
      <c r="J134" s="356"/>
      <c r="K134" s="356"/>
      <c r="L134" s="356"/>
      <c r="M134" s="237">
        <v>0</v>
      </c>
      <c r="N134" s="354">
        <v>0</v>
      </c>
      <c r="O134" s="354">
        <v>0</v>
      </c>
      <c r="P134" s="354">
        <v>0</v>
      </c>
      <c r="Q134" s="354">
        <v>0</v>
      </c>
      <c r="R134" s="237">
        <v>0</v>
      </c>
      <c r="S134" s="354">
        <v>0</v>
      </c>
      <c r="T134" s="354">
        <v>0</v>
      </c>
      <c r="U134" s="354">
        <v>0</v>
      </c>
      <c r="V134" s="354">
        <v>0</v>
      </c>
      <c r="W134" s="237">
        <v>0</v>
      </c>
      <c r="X134" s="110">
        <v>5</v>
      </c>
      <c r="Y134" s="354">
        <v>5</v>
      </c>
      <c r="Z134" s="354">
        <v>3</v>
      </c>
      <c r="AA134" s="106">
        <v>2</v>
      </c>
      <c r="AB134" s="237">
        <v>15</v>
      </c>
      <c r="AC134" s="110">
        <v>2</v>
      </c>
      <c r="AD134" s="102">
        <v>2</v>
      </c>
      <c r="AE134" s="157">
        <v>-2</v>
      </c>
      <c r="AF134" s="106">
        <v>1</v>
      </c>
      <c r="AG134" s="210">
        <v>3</v>
      </c>
      <c r="AH134" s="110">
        <v>1</v>
      </c>
      <c r="AI134" s="102">
        <v>1</v>
      </c>
      <c r="AJ134" s="106">
        <v>1</v>
      </c>
      <c r="AK134" s="105">
        <v>0</v>
      </c>
      <c r="AL134" s="210">
        <v>3</v>
      </c>
      <c r="AM134" s="110">
        <v>1</v>
      </c>
      <c r="AN134" s="102">
        <v>3</v>
      </c>
      <c r="AO134" s="106">
        <v>3</v>
      </c>
      <c r="AP134" s="105">
        <v>2</v>
      </c>
      <c r="AQ134" s="210">
        <v>9</v>
      </c>
      <c r="AR134" s="110">
        <v>2</v>
      </c>
      <c r="AS134" s="102">
        <v>3</v>
      </c>
      <c r="AT134" s="146">
        <v>5</v>
      </c>
      <c r="AU134" s="106">
        <v>3</v>
      </c>
      <c r="AV134" s="301">
        <v>8</v>
      </c>
      <c r="AW134" s="19">
        <v>2</v>
      </c>
      <c r="AX134" s="210">
        <v>10</v>
      </c>
    </row>
    <row r="135" spans="2:50" s="2" customFormat="1" ht="13.9" customHeight="1">
      <c r="B135" s="74" t="s">
        <v>238</v>
      </c>
      <c r="C135" s="238">
        <v>1222.1199999999999</v>
      </c>
      <c r="D135" s="77"/>
      <c r="E135" s="77"/>
      <c r="F135" s="77"/>
      <c r="G135" s="77"/>
      <c r="H135" s="238">
        <v>1154.52</v>
      </c>
      <c r="I135" s="77"/>
      <c r="J135" s="77"/>
      <c r="K135" s="77"/>
      <c r="L135" s="77"/>
      <c r="M135" s="238">
        <v>1039.78</v>
      </c>
      <c r="N135" s="107">
        <v>267.87</v>
      </c>
      <c r="O135" s="107">
        <v>236.29000000000002</v>
      </c>
      <c r="P135" s="107">
        <v>168.84</v>
      </c>
      <c r="Q135" s="107">
        <v>206.37999999999994</v>
      </c>
      <c r="R135" s="238">
        <v>879.38</v>
      </c>
      <c r="S135" s="107">
        <v>291.92</v>
      </c>
      <c r="T135" s="107">
        <v>227.46</v>
      </c>
      <c r="U135" s="107">
        <v>296.14999999999998</v>
      </c>
      <c r="V135" s="107">
        <v>276.82999999999987</v>
      </c>
      <c r="W135" s="238">
        <v>1092.3599999999999</v>
      </c>
      <c r="X135" s="107">
        <v>290</v>
      </c>
      <c r="Y135" s="107">
        <v>247.62</v>
      </c>
      <c r="Z135" s="107">
        <v>228.16</v>
      </c>
      <c r="AA135" s="107">
        <v>231</v>
      </c>
      <c r="AB135" s="238">
        <v>997.15</v>
      </c>
      <c r="AC135" s="107">
        <v>256</v>
      </c>
      <c r="AD135" s="107">
        <v>247</v>
      </c>
      <c r="AE135" s="107">
        <v>237</v>
      </c>
      <c r="AF135" s="107">
        <v>201</v>
      </c>
      <c r="AG135" s="238">
        <v>938</v>
      </c>
      <c r="AH135" s="107">
        <v>254</v>
      </c>
      <c r="AI135" s="107">
        <v>267</v>
      </c>
      <c r="AJ135" s="107">
        <v>252</v>
      </c>
      <c r="AK135" s="105">
        <v>243</v>
      </c>
      <c r="AL135" s="238">
        <v>1016</v>
      </c>
      <c r="AM135" s="107">
        <v>258</v>
      </c>
      <c r="AN135" s="107">
        <v>235</v>
      </c>
      <c r="AO135" s="107">
        <v>239</v>
      </c>
      <c r="AP135" s="369">
        <v>265</v>
      </c>
      <c r="AQ135" s="238">
        <v>997</v>
      </c>
      <c r="AR135" s="107">
        <v>261</v>
      </c>
      <c r="AS135" s="107">
        <v>216</v>
      </c>
      <c r="AT135" s="147">
        <v>477</v>
      </c>
      <c r="AU135" s="107">
        <v>214</v>
      </c>
      <c r="AV135" s="302">
        <v>691</v>
      </c>
      <c r="AW135" s="369">
        <v>260</v>
      </c>
      <c r="AX135" s="238">
        <v>951</v>
      </c>
    </row>
    <row r="136" spans="2:50" s="2" customFormat="1" ht="13.9" customHeight="1">
      <c r="B136" s="20" t="s">
        <v>5</v>
      </c>
      <c r="C136" s="230"/>
      <c r="D136" s="62"/>
      <c r="E136" s="357"/>
      <c r="F136" s="357"/>
      <c r="G136" s="357"/>
      <c r="H136" s="210"/>
      <c r="I136" s="62"/>
      <c r="J136" s="62"/>
      <c r="K136" s="62"/>
      <c r="L136" s="62"/>
      <c r="M136" s="210"/>
      <c r="N136" s="357"/>
      <c r="O136" s="357">
        <v>-0.11789300780229206</v>
      </c>
      <c r="P136" s="357">
        <v>-0.28545431461339887</v>
      </c>
      <c r="Q136" s="357">
        <v>0.22234067756455778</v>
      </c>
      <c r="R136" s="210"/>
      <c r="S136" s="357">
        <v>0.41447814710727826</v>
      </c>
      <c r="T136" s="357">
        <v>-0.22081392162236235</v>
      </c>
      <c r="U136" s="357">
        <v>0.30198716257803548</v>
      </c>
      <c r="V136" s="357">
        <v>-6.5237210872868823E-2</v>
      </c>
      <c r="W136" s="210"/>
      <c r="X136" s="357">
        <v>4.7574323592096679E-2</v>
      </c>
      <c r="Y136" s="357">
        <v>-0.14613793103448269</v>
      </c>
      <c r="Z136" s="357">
        <v>-7.8588159276310465E-2</v>
      </c>
      <c r="AA136" s="357">
        <v>1.244740532959332E-2</v>
      </c>
      <c r="AB136" s="210"/>
      <c r="AC136" s="21">
        <v>0.10822510822510822</v>
      </c>
      <c r="AD136" s="21">
        <v>-3.515625E-2</v>
      </c>
      <c r="AE136" s="21">
        <v>-4.0485829959514219E-2</v>
      </c>
      <c r="AF136" s="21">
        <v>-0.15189873417721522</v>
      </c>
      <c r="AG136" s="210"/>
      <c r="AH136" s="21">
        <v>0.26368159203980102</v>
      </c>
      <c r="AI136" s="21">
        <v>5.1181102362204633E-2</v>
      </c>
      <c r="AJ136" s="21">
        <v>-5.6179775280898903E-2</v>
      </c>
      <c r="AK136" s="21">
        <v>-3.5714285714285698E-2</v>
      </c>
      <c r="AL136" s="210"/>
      <c r="AM136" s="357">
        <v>6.1728395061728447E-2</v>
      </c>
      <c r="AN136" s="21">
        <v>-8.9147286821705474E-2</v>
      </c>
      <c r="AO136" s="21">
        <v>1.7021276595744705E-2</v>
      </c>
      <c r="AP136" s="21">
        <v>0.10878661087866104</v>
      </c>
      <c r="AQ136" s="210"/>
      <c r="AR136" s="21">
        <v>-1.5094339622641506E-2</v>
      </c>
      <c r="AS136" s="21">
        <v>-0.17241379310344829</v>
      </c>
      <c r="AT136" s="145"/>
      <c r="AU136" s="21">
        <v>-9.2592592592593004E-3</v>
      </c>
      <c r="AV136" s="277"/>
      <c r="AW136" s="21">
        <v>0.2149532710280373</v>
      </c>
      <c r="AX136" s="210"/>
    </row>
    <row r="137" spans="2:50" s="2" customFormat="1" ht="13.9" customHeight="1">
      <c r="B137" s="20" t="s">
        <v>6</v>
      </c>
      <c r="C137" s="223"/>
      <c r="D137" s="62"/>
      <c r="E137" s="66"/>
      <c r="F137" s="66"/>
      <c r="G137" s="66"/>
      <c r="H137" s="211">
        <v>-5.5313717147252195E-2</v>
      </c>
      <c r="I137" s="62"/>
      <c r="J137" s="62"/>
      <c r="K137" s="62"/>
      <c r="L137" s="62"/>
      <c r="M137" s="211">
        <v>-9.9383293489935243E-2</v>
      </c>
      <c r="N137" s="66"/>
      <c r="O137" s="66"/>
      <c r="P137" s="66"/>
      <c r="Q137" s="66"/>
      <c r="R137" s="211">
        <v>-0.1542634018734732</v>
      </c>
      <c r="S137" s="66">
        <v>8.9782357113525224E-2</v>
      </c>
      <c r="T137" s="66">
        <v>-3.7369334292606582E-2</v>
      </c>
      <c r="U137" s="66">
        <v>0.75402748163942168</v>
      </c>
      <c r="V137" s="66">
        <v>0.34136059695706922</v>
      </c>
      <c r="W137" s="211">
        <v>0.24219336350610643</v>
      </c>
      <c r="X137" s="66">
        <v>-6.5771444231297327E-3</v>
      </c>
      <c r="Y137" s="66">
        <v>8.8630968082300088E-2</v>
      </c>
      <c r="Z137" s="66">
        <v>-0.22957960492993412</v>
      </c>
      <c r="AA137" s="66">
        <v>-0.16555286638008848</v>
      </c>
      <c r="AB137" s="211">
        <v>-8.7159910652165884E-2</v>
      </c>
      <c r="AC137" s="22">
        <v>-0.11724137931034484</v>
      </c>
      <c r="AD137" s="22">
        <v>-2.5038365237056714E-3</v>
      </c>
      <c r="AE137" s="22">
        <v>3.8744740532959288E-2</v>
      </c>
      <c r="AF137" s="22">
        <v>-0.12987012987012991</v>
      </c>
      <c r="AG137" s="211">
        <v>-5.9319059319059342E-2</v>
      </c>
      <c r="AH137" s="22">
        <v>-7.8125E-3</v>
      </c>
      <c r="AI137" s="22">
        <v>8.0971659919028438E-2</v>
      </c>
      <c r="AJ137" s="22">
        <v>6.3291139240506222E-2</v>
      </c>
      <c r="AK137" s="22">
        <v>0.20895522388059695</v>
      </c>
      <c r="AL137" s="211">
        <v>8.3155650319829411E-2</v>
      </c>
      <c r="AM137" s="22">
        <v>1.5748031496062964E-2</v>
      </c>
      <c r="AN137" s="22">
        <v>-0.11985018726591756</v>
      </c>
      <c r="AO137" s="22">
        <v>-5.1587301587301626E-2</v>
      </c>
      <c r="AP137" s="22">
        <v>9.0534979423868345E-2</v>
      </c>
      <c r="AQ137" s="211">
        <v>-1.870078740157477E-2</v>
      </c>
      <c r="AR137" s="22">
        <v>1.1627906976744207E-2</v>
      </c>
      <c r="AS137" s="22">
        <v>-8.085106382978724E-2</v>
      </c>
      <c r="AT137" s="139"/>
      <c r="AU137" s="22">
        <v>-0.10460251046025104</v>
      </c>
      <c r="AV137" s="278"/>
      <c r="AW137" s="22">
        <v>-1.8867924528301883E-2</v>
      </c>
      <c r="AX137" s="211">
        <v>-4.6138415245737252E-2</v>
      </c>
    </row>
    <row r="138" spans="2:50" ht="4.1500000000000004" customHeight="1">
      <c r="B138" s="180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1"/>
      <c r="AX138" s="181"/>
    </row>
  </sheetData>
  <pageMargins left="0.39370078740157483" right="0.39370078740157483" top="0.27559055118110237" bottom="0.11811023622047245" header="0.19685039370078741" footer="0.31496062992125984"/>
  <pageSetup paperSize="9" scale="58" orientation="landscape" r:id="rId1"/>
  <headerFooter>
    <oddHeader>&amp;CBezeq - The Israeli Telecommunications Corp., Ltd.</oddHeader>
    <oddFooter>&amp;R&amp;P of &amp;N
Fixed-Line financial metrics</oddFooter>
  </headerFooter>
  <rowBreaks count="1" manualBreakCount="1">
    <brk id="70" min="1" max="4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E843-C9CD-466C-8B4A-5174830D56FF}">
  <sheetPr>
    <tabColor theme="9"/>
  </sheetPr>
  <dimension ref="B1:AX81"/>
  <sheetViews>
    <sheetView showGridLines="0" tabSelected="1" zoomScale="90" zoomScaleNormal="90" workbookViewId="0">
      <pane xSplit="2" ySplit="6" topLeftCell="R40" activePane="bottomRight" state="frozen"/>
      <selection activeCell="AI81" sqref="AI81"/>
      <selection pane="topRight" activeCell="AI81" sqref="AI81"/>
      <selection pane="bottomLeft" activeCell="AI81" sqref="AI81"/>
      <selection pane="bottomRight" activeCell="AI81" sqref="AI81"/>
    </sheetView>
  </sheetViews>
  <sheetFormatPr defaultColWidth="9.28515625" defaultRowHeight="12.75"/>
  <cols>
    <col min="1" max="1" width="1.7109375" customWidth="1"/>
    <col min="2" max="2" width="53.5703125" customWidth="1"/>
    <col min="3" max="17" width="9.28515625" hidden="1" customWidth="1"/>
    <col min="18" max="18" width="9.28515625" customWidth="1"/>
    <col min="19" max="22" width="9.28515625" hidden="1" customWidth="1"/>
    <col min="23" max="23" width="9.28515625" customWidth="1"/>
    <col min="24" max="27" width="8.7109375" hidden="1" customWidth="1"/>
    <col min="28" max="28" width="9.28515625" customWidth="1"/>
    <col min="29" max="32" width="9.28515625" hidden="1" customWidth="1"/>
    <col min="33" max="33" width="9.28515625" customWidth="1"/>
    <col min="34" max="37" width="9.28515625" hidden="1" customWidth="1"/>
    <col min="46" max="46" width="0" hidden="1" customWidth="1"/>
    <col min="48" max="48" width="0" hidden="1" customWidth="1"/>
  </cols>
  <sheetData>
    <row r="1" spans="2:50" ht="13.9" customHeight="1">
      <c r="B1" s="6"/>
    </row>
    <row r="2" spans="2:50" ht="13.9" customHeight="1">
      <c r="B2" s="6"/>
    </row>
    <row r="3" spans="2:50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2</v>
      </c>
      <c r="AQ3" s="7" t="s">
        <v>4</v>
      </c>
      <c r="AR3" s="7" t="s">
        <v>49</v>
      </c>
      <c r="AS3" s="7" t="s">
        <v>0</v>
      </c>
      <c r="AT3" s="99" t="s">
        <v>342</v>
      </c>
      <c r="AU3" s="7" t="s">
        <v>1</v>
      </c>
      <c r="AV3" s="7" t="s">
        <v>312</v>
      </c>
      <c r="AW3" s="7" t="s">
        <v>2</v>
      </c>
      <c r="AX3" s="7" t="s">
        <v>4</v>
      </c>
    </row>
    <row r="4" spans="2:50" ht="13.9" customHeight="1">
      <c r="B4" s="15" t="s">
        <v>458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2025</v>
      </c>
      <c r="AS4" s="7">
        <v>2025</v>
      </c>
      <c r="AT4" s="7">
        <v>2025</v>
      </c>
      <c r="AU4" s="7">
        <v>2025</v>
      </c>
      <c r="AV4" s="7">
        <v>2025</v>
      </c>
      <c r="AW4" s="7">
        <v>2025</v>
      </c>
      <c r="AX4" s="7">
        <v>2025</v>
      </c>
    </row>
    <row r="5" spans="2:50" ht="4.1500000000000004" customHeight="1">
      <c r="B5" s="373" t="str">
        <f t="shared" ref="B5:Q5" si="0">B3&amp;"/"&amp;B4</f>
        <v>/(NIS millions)</v>
      </c>
      <c r="C5" s="373" t="str">
        <f t="shared" si="0"/>
        <v>FY/2016</v>
      </c>
      <c r="D5" s="373" t="str">
        <f t="shared" si="0"/>
        <v>Q1/2017</v>
      </c>
      <c r="E5" s="373" t="str">
        <f t="shared" si="0"/>
        <v>Q2/2017</v>
      </c>
      <c r="F5" s="373" t="str">
        <f t="shared" si="0"/>
        <v>Q3/2017</v>
      </c>
      <c r="G5" s="373" t="str">
        <f t="shared" si="0"/>
        <v>Q4/2017</v>
      </c>
      <c r="H5" s="373" t="str">
        <f t="shared" si="0"/>
        <v>FY/2017</v>
      </c>
      <c r="I5" s="373" t="str">
        <f t="shared" si="0"/>
        <v>Q1/2018</v>
      </c>
      <c r="J5" s="373" t="str">
        <f t="shared" si="0"/>
        <v>Q2/2018</v>
      </c>
      <c r="K5" s="373" t="str">
        <f t="shared" si="0"/>
        <v>Q3/2018</v>
      </c>
      <c r="L5" s="373" t="str">
        <f t="shared" si="0"/>
        <v>Q4/2018</v>
      </c>
      <c r="M5" s="373" t="str">
        <f t="shared" si="0"/>
        <v>FY/2018</v>
      </c>
      <c r="N5" s="373" t="str">
        <f t="shared" si="0"/>
        <v>Q1/2019</v>
      </c>
      <c r="O5" s="373" t="str">
        <f t="shared" si="0"/>
        <v>Q2/2019</v>
      </c>
      <c r="P5" s="373" t="str">
        <f t="shared" si="0"/>
        <v>Q3/2019</v>
      </c>
      <c r="Q5" s="373" t="str">
        <f t="shared" si="0"/>
        <v>Q4/2019</v>
      </c>
      <c r="R5" s="373" t="str">
        <f t="shared" ref="R5:AP5" si="1">R3&amp;"/"&amp;R4</f>
        <v>FY/2019</v>
      </c>
      <c r="S5" s="373" t="str">
        <f t="shared" si="1"/>
        <v>Q1/2020</v>
      </c>
      <c r="T5" s="373" t="str">
        <f t="shared" si="1"/>
        <v>Q2/2020</v>
      </c>
      <c r="U5" s="373" t="str">
        <f t="shared" si="1"/>
        <v>Q3/2020</v>
      </c>
      <c r="V5" s="373" t="str">
        <f t="shared" si="1"/>
        <v>Q4/2020</v>
      </c>
      <c r="W5" s="373" t="str">
        <f t="shared" si="1"/>
        <v>FY/2020</v>
      </c>
      <c r="X5" s="373" t="str">
        <f t="shared" si="1"/>
        <v>Q1/2021</v>
      </c>
      <c r="Y5" s="373" t="str">
        <f t="shared" si="1"/>
        <v>Q2/2021</v>
      </c>
      <c r="Z5" s="373" t="str">
        <f t="shared" si="1"/>
        <v>Q3/2021</v>
      </c>
      <c r="AA5" s="373" t="str">
        <f t="shared" si="1"/>
        <v>Q4/2021</v>
      </c>
      <c r="AB5" s="373" t="str">
        <f t="shared" si="1"/>
        <v>FY/2021</v>
      </c>
      <c r="AC5" s="373" t="str">
        <f t="shared" si="1"/>
        <v>Q1/2022</v>
      </c>
      <c r="AD5" s="373" t="str">
        <f t="shared" si="1"/>
        <v>Q2/2022</v>
      </c>
      <c r="AE5" s="373" t="str">
        <f t="shared" si="1"/>
        <v>Q3/2022</v>
      </c>
      <c r="AF5" s="373" t="str">
        <f t="shared" si="1"/>
        <v>Q4/2022</v>
      </c>
      <c r="AG5" s="373" t="str">
        <f t="shared" si="1"/>
        <v>FY/2022</v>
      </c>
      <c r="AH5" s="373" t="str">
        <f t="shared" si="1"/>
        <v>Q1/2023</v>
      </c>
      <c r="AI5" s="373" t="str">
        <f t="shared" si="1"/>
        <v>Q2/2023</v>
      </c>
      <c r="AJ5" s="373" t="str">
        <f t="shared" si="1"/>
        <v>Q3/2023</v>
      </c>
      <c r="AK5" s="373" t="str">
        <f t="shared" si="1"/>
        <v>Q4/2023</v>
      </c>
      <c r="AL5" s="373" t="str">
        <f t="shared" si="1"/>
        <v>FY/2023</v>
      </c>
      <c r="AM5" s="373" t="str">
        <f t="shared" si="1"/>
        <v>Q1/2024</v>
      </c>
      <c r="AN5" s="373" t="str">
        <f t="shared" si="1"/>
        <v>Q2/2024</v>
      </c>
      <c r="AO5" s="373" t="str">
        <f t="shared" si="1"/>
        <v>Q3/2024</v>
      </c>
      <c r="AP5" s="373" t="str">
        <f t="shared" si="1"/>
        <v>Q4/2024</v>
      </c>
      <c r="AQ5" s="373" t="str">
        <f>AQ3&amp;"/"&amp;AQ4</f>
        <v>FY/2024</v>
      </c>
      <c r="AR5" s="373" t="str">
        <f t="shared" ref="AR5:AW5" si="2">AR3&amp;"/"&amp;AR4</f>
        <v>Q1/2025</v>
      </c>
      <c r="AS5" s="373" t="str">
        <f t="shared" si="2"/>
        <v>Q2/2025</v>
      </c>
      <c r="AT5" s="373" t="str">
        <f t="shared" si="2"/>
        <v>6M/2025</v>
      </c>
      <c r="AU5" s="373" t="str">
        <f t="shared" si="2"/>
        <v>Q3/2025</v>
      </c>
      <c r="AV5" s="373" t="str">
        <f t="shared" si="2"/>
        <v>9M/2025</v>
      </c>
      <c r="AW5" s="373" t="str">
        <f t="shared" si="2"/>
        <v>Q4/2025</v>
      </c>
      <c r="AX5" s="373" t="str">
        <f>AX3&amp;"/"&amp;AX4</f>
        <v>FY/2025</v>
      </c>
    </row>
    <row r="6" spans="2:50" ht="25.35" customHeight="1">
      <c r="B6" s="177" t="s">
        <v>3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</row>
    <row r="7" spans="2:50" ht="13.9" customHeight="1">
      <c r="B7" s="123" t="s">
        <v>41</v>
      </c>
      <c r="C7" s="121"/>
      <c r="D7" s="120"/>
      <c r="E7" s="120"/>
      <c r="F7" s="120"/>
      <c r="G7" s="120"/>
      <c r="H7" s="121"/>
      <c r="I7" s="120"/>
      <c r="J7" s="120"/>
      <c r="K7" s="120"/>
      <c r="L7" s="120"/>
      <c r="M7" s="121"/>
      <c r="N7" s="120"/>
      <c r="O7" s="120"/>
      <c r="P7" s="120"/>
      <c r="Q7" s="120"/>
      <c r="R7" s="121"/>
      <c r="S7" s="120"/>
      <c r="T7" s="120"/>
      <c r="U7" s="120"/>
      <c r="V7" s="120"/>
      <c r="W7" s="121"/>
      <c r="X7" s="120"/>
      <c r="Y7" s="120"/>
      <c r="Z7" s="120"/>
      <c r="AA7" s="120"/>
      <c r="AB7" s="121"/>
      <c r="AC7" s="120"/>
      <c r="AD7" s="120"/>
      <c r="AE7" s="120"/>
      <c r="AF7" s="120"/>
      <c r="AG7" s="121"/>
      <c r="AH7" s="120"/>
      <c r="AI7" s="120"/>
      <c r="AJ7" s="120"/>
      <c r="AK7" s="120"/>
      <c r="AL7" s="121"/>
      <c r="AM7" s="120"/>
      <c r="AN7" s="120"/>
      <c r="AO7" s="120"/>
      <c r="AP7" s="120"/>
      <c r="AQ7" s="121"/>
      <c r="AR7" s="120"/>
      <c r="AS7" s="120"/>
      <c r="AT7" s="120"/>
      <c r="AU7" s="120"/>
      <c r="AV7" s="120"/>
      <c r="AW7" s="120"/>
      <c r="AX7" s="121"/>
    </row>
    <row r="8" spans="2:50" ht="13.9" customHeight="1">
      <c r="B8" s="12" t="s">
        <v>31</v>
      </c>
      <c r="C8" s="210">
        <f>C12+C18</f>
        <v>2630</v>
      </c>
      <c r="D8" s="210">
        <f>D12+D18</f>
        <v>628</v>
      </c>
      <c r="E8" s="210">
        <f>E12+E18</f>
        <v>632</v>
      </c>
      <c r="F8" s="210">
        <f>F12+F18</f>
        <v>635</v>
      </c>
      <c r="G8" s="210">
        <f>H8-F8-E8-D8</f>
        <v>651</v>
      </c>
      <c r="H8" s="210">
        <f>H12+H18</f>
        <v>2546</v>
      </c>
      <c r="I8" s="210">
        <f>I12+I18</f>
        <v>619</v>
      </c>
      <c r="J8" s="210">
        <f>J12+J18</f>
        <v>602</v>
      </c>
      <c r="K8" s="210">
        <f>K12+K18</f>
        <v>604</v>
      </c>
      <c r="L8" s="210">
        <f>M8-K8-J8-I8</f>
        <v>618</v>
      </c>
      <c r="M8" s="210">
        <f>M12+M18</f>
        <v>2443</v>
      </c>
      <c r="N8" s="210">
        <f>N12+N18</f>
        <v>578</v>
      </c>
      <c r="O8" s="210">
        <f>O12+O18</f>
        <v>570</v>
      </c>
      <c r="P8" s="210">
        <f>P12+P18</f>
        <v>612</v>
      </c>
      <c r="Q8" s="210">
        <f>R8-P8-O8-N8</f>
        <v>602</v>
      </c>
      <c r="R8" s="210">
        <v>2362</v>
      </c>
      <c r="S8" s="210">
        <v>573</v>
      </c>
      <c r="T8" s="210">
        <v>535</v>
      </c>
      <c r="U8" s="210">
        <v>545</v>
      </c>
      <c r="V8" s="210">
        <v>533</v>
      </c>
      <c r="W8" s="210">
        <v>2186</v>
      </c>
      <c r="X8" s="210">
        <v>570</v>
      </c>
      <c r="Y8" s="210">
        <v>576</v>
      </c>
      <c r="Z8" s="210">
        <v>541</v>
      </c>
      <c r="AA8" s="210">
        <v>602</v>
      </c>
      <c r="AB8" s="210">
        <v>2289</v>
      </c>
      <c r="AC8" s="19">
        <v>600</v>
      </c>
      <c r="AD8" s="19">
        <v>599</v>
      </c>
      <c r="AE8" s="19">
        <v>608</v>
      </c>
      <c r="AF8" s="19">
        <v>592</v>
      </c>
      <c r="AG8" s="210">
        <v>2399</v>
      </c>
      <c r="AH8" s="19">
        <v>616</v>
      </c>
      <c r="AI8" s="19">
        <v>585</v>
      </c>
      <c r="AJ8" s="19">
        <v>585</v>
      </c>
      <c r="AK8" s="19">
        <v>562</v>
      </c>
      <c r="AL8" s="210">
        <v>2348</v>
      </c>
      <c r="AM8" s="19">
        <v>583</v>
      </c>
      <c r="AN8" s="19">
        <v>561</v>
      </c>
      <c r="AO8" s="19">
        <v>547</v>
      </c>
      <c r="AP8" s="19">
        <v>563</v>
      </c>
      <c r="AQ8" s="210">
        <v>2254</v>
      </c>
      <c r="AR8" s="19">
        <v>566</v>
      </c>
      <c r="AS8" s="19">
        <v>530</v>
      </c>
      <c r="AT8" s="137">
        <v>1096</v>
      </c>
      <c r="AU8" s="19">
        <v>517</v>
      </c>
      <c r="AV8" s="276">
        <v>1613</v>
      </c>
      <c r="AW8" s="19">
        <v>554</v>
      </c>
      <c r="AX8" s="210">
        <v>2167</v>
      </c>
    </row>
    <row r="9" spans="2:50" ht="13.9" customHeight="1">
      <c r="B9" s="12" t="s">
        <v>391</v>
      </c>
      <c r="C9" s="217" t="s">
        <v>24</v>
      </c>
      <c r="D9" s="235" t="s">
        <v>25</v>
      </c>
      <c r="E9" s="235" t="s">
        <v>25</v>
      </c>
      <c r="F9" s="235" t="s">
        <v>25</v>
      </c>
      <c r="G9" s="235" t="s">
        <v>25</v>
      </c>
      <c r="H9" s="217" t="s">
        <v>24</v>
      </c>
      <c r="I9" s="235" t="s">
        <v>25</v>
      </c>
      <c r="J9" s="235" t="s">
        <v>25</v>
      </c>
      <c r="K9" s="235" t="s">
        <v>25</v>
      </c>
      <c r="L9" s="235" t="s">
        <v>25</v>
      </c>
      <c r="M9" s="217" t="s">
        <v>24</v>
      </c>
      <c r="N9" s="235" t="s">
        <v>25</v>
      </c>
      <c r="O9" s="235" t="s">
        <v>25</v>
      </c>
      <c r="P9" s="235" t="s">
        <v>25</v>
      </c>
      <c r="Q9" s="235" t="s">
        <v>25</v>
      </c>
      <c r="R9" s="210">
        <v>1967</v>
      </c>
      <c r="S9" s="235" t="s">
        <v>25</v>
      </c>
      <c r="T9" s="235" t="s">
        <v>25</v>
      </c>
      <c r="U9" s="235" t="s">
        <v>25</v>
      </c>
      <c r="V9" s="235" t="s">
        <v>25</v>
      </c>
      <c r="W9" s="210">
        <v>1728</v>
      </c>
      <c r="X9" s="235" t="s">
        <v>25</v>
      </c>
      <c r="Y9" s="235" t="s">
        <v>25</v>
      </c>
      <c r="Z9" s="235" t="s">
        <v>25</v>
      </c>
      <c r="AA9" s="235" t="s">
        <v>25</v>
      </c>
      <c r="AB9" s="210">
        <v>1851</v>
      </c>
      <c r="AC9" s="19">
        <v>487</v>
      </c>
      <c r="AD9" s="19">
        <v>493</v>
      </c>
      <c r="AE9" s="19">
        <v>502</v>
      </c>
      <c r="AF9" s="19">
        <v>490</v>
      </c>
      <c r="AG9" s="210">
        <v>1972</v>
      </c>
      <c r="AH9" s="19">
        <v>505</v>
      </c>
      <c r="AI9" s="19">
        <v>483</v>
      </c>
      <c r="AJ9" s="19">
        <v>506</v>
      </c>
      <c r="AK9" s="19">
        <v>483</v>
      </c>
      <c r="AL9" s="210">
        <v>1977</v>
      </c>
      <c r="AM9" s="19">
        <v>502</v>
      </c>
      <c r="AN9" s="19">
        <v>489</v>
      </c>
      <c r="AO9" s="19">
        <v>506</v>
      </c>
      <c r="AP9" s="19">
        <v>524</v>
      </c>
      <c r="AQ9" s="210">
        <v>2021</v>
      </c>
      <c r="AR9" s="19">
        <v>525</v>
      </c>
      <c r="AS9" s="19">
        <v>496</v>
      </c>
      <c r="AT9" s="137">
        <v>1021</v>
      </c>
      <c r="AU9" s="19">
        <v>517</v>
      </c>
      <c r="AV9" s="276">
        <v>1538</v>
      </c>
      <c r="AW9" s="19">
        <v>554</v>
      </c>
      <c r="AX9" s="210">
        <v>2092</v>
      </c>
    </row>
    <row r="10" spans="2:50" ht="13.9" customHeight="1">
      <c r="B10" s="20" t="s">
        <v>414</v>
      </c>
      <c r="C10" s="211"/>
      <c r="D10" s="212"/>
      <c r="E10" s="212"/>
      <c r="F10" s="212"/>
      <c r="G10" s="212"/>
      <c r="H10" s="211"/>
      <c r="I10" s="212"/>
      <c r="J10" s="212"/>
      <c r="K10" s="212"/>
      <c r="L10" s="212"/>
      <c r="M10" s="211"/>
      <c r="N10" s="212"/>
      <c r="O10" s="212"/>
      <c r="P10" s="212"/>
      <c r="Q10" s="212"/>
      <c r="R10" s="211"/>
      <c r="S10" s="212"/>
      <c r="T10" s="212"/>
      <c r="U10" s="212"/>
      <c r="V10" s="212"/>
      <c r="W10" s="211"/>
      <c r="X10" s="212"/>
      <c r="Y10" s="212"/>
      <c r="Z10" s="212"/>
      <c r="AA10" s="212"/>
      <c r="AB10" s="211"/>
      <c r="AC10" s="21"/>
      <c r="AD10" s="21">
        <v>1.2320328542094527E-2</v>
      </c>
      <c r="AE10" s="21">
        <v>1.8255578093306246E-2</v>
      </c>
      <c r="AF10" s="21">
        <v>-2.3904382470119501E-2</v>
      </c>
      <c r="AG10" s="211"/>
      <c r="AH10" s="21">
        <v>3.0612244897959107E-2</v>
      </c>
      <c r="AI10" s="21">
        <v>-4.3564356435643603E-2</v>
      </c>
      <c r="AJ10" s="21">
        <v>4.7619047619047672E-2</v>
      </c>
      <c r="AK10" s="21">
        <v>-4.5454545454545414E-2</v>
      </c>
      <c r="AL10" s="211"/>
      <c r="AM10" s="21">
        <v>3.9337474120082705E-2</v>
      </c>
      <c r="AN10" s="21">
        <v>-2.5896414342629459E-2</v>
      </c>
      <c r="AO10" s="21">
        <v>3.4764826175869068E-2</v>
      </c>
      <c r="AP10" s="21">
        <v>3.5573122529644285E-2</v>
      </c>
      <c r="AQ10" s="211"/>
      <c r="AR10" s="21">
        <v>1.9083969465649719E-3</v>
      </c>
      <c r="AS10" s="21">
        <v>-5.5238095238095197E-2</v>
      </c>
      <c r="AT10" s="138"/>
      <c r="AU10" s="21">
        <v>4.2338709677419262E-2</v>
      </c>
      <c r="AV10" s="277"/>
      <c r="AW10" s="21">
        <v>7.1566731141199158E-2</v>
      </c>
      <c r="AX10" s="211"/>
    </row>
    <row r="11" spans="2:50" ht="13.9" customHeight="1">
      <c r="B11" s="20" t="s">
        <v>413</v>
      </c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2"/>
      <c r="AD11" s="22"/>
      <c r="AE11" s="22"/>
      <c r="AF11" s="22"/>
      <c r="AG11" s="211">
        <v>6.5370070232306787E-2</v>
      </c>
      <c r="AH11" s="22">
        <v>3.696098562628336E-2</v>
      </c>
      <c r="AI11" s="22">
        <v>-2.0283975659229236E-2</v>
      </c>
      <c r="AJ11" s="22">
        <v>7.9681274900398336E-3</v>
      </c>
      <c r="AK11" s="22">
        <v>-1.4285714285714235E-2</v>
      </c>
      <c r="AL11" s="211">
        <v>2.5354969574036268E-3</v>
      </c>
      <c r="AM11" s="22">
        <v>-5.9405940594059459E-3</v>
      </c>
      <c r="AN11" s="22">
        <v>1.2422360248447228E-2</v>
      </c>
      <c r="AO11" s="22">
        <v>0</v>
      </c>
      <c r="AP11" s="22">
        <v>8.4886128364389135E-2</v>
      </c>
      <c r="AQ11" s="211">
        <v>2.2255943348507889E-2</v>
      </c>
      <c r="AR11" s="22">
        <v>4.5816733067729043E-2</v>
      </c>
      <c r="AS11" s="22">
        <v>1.4314928425357865E-2</v>
      </c>
      <c r="AT11" s="139"/>
      <c r="AU11" s="22">
        <v>2.1739130434782705E-2</v>
      </c>
      <c r="AV11" s="278"/>
      <c r="AW11" s="22">
        <v>5.7251908396946494E-2</v>
      </c>
      <c r="AX11" s="211">
        <v>3.5131123206333603E-2</v>
      </c>
    </row>
    <row r="12" spans="2:50" ht="13.9" customHeight="1">
      <c r="B12" s="12" t="s">
        <v>32</v>
      </c>
      <c r="C12" s="210">
        <v>1818</v>
      </c>
      <c r="D12" s="210">
        <v>435</v>
      </c>
      <c r="E12" s="210">
        <v>449</v>
      </c>
      <c r="F12" s="210">
        <v>461</v>
      </c>
      <c r="G12" s="210">
        <f>H12-F12-E12-D12</f>
        <v>437</v>
      </c>
      <c r="H12" s="210">
        <v>1782</v>
      </c>
      <c r="I12" s="210">
        <v>431</v>
      </c>
      <c r="J12" s="210">
        <v>438</v>
      </c>
      <c r="K12" s="210">
        <v>449</v>
      </c>
      <c r="L12" s="210">
        <f>M12-K12-J12-I12</f>
        <v>437</v>
      </c>
      <c r="M12" s="210">
        <v>1755</v>
      </c>
      <c r="N12" s="210">
        <v>417</v>
      </c>
      <c r="O12" s="210">
        <v>430</v>
      </c>
      <c r="P12" s="210">
        <v>446</v>
      </c>
      <c r="Q12" s="210">
        <f>R12-P12-O12-N12</f>
        <v>416</v>
      </c>
      <c r="R12" s="210">
        <v>1709</v>
      </c>
      <c r="S12" s="210">
        <v>405</v>
      </c>
      <c r="T12" s="210">
        <v>394</v>
      </c>
      <c r="U12" s="210">
        <v>396</v>
      </c>
      <c r="V12" s="210">
        <v>396</v>
      </c>
      <c r="W12" s="210">
        <v>1591</v>
      </c>
      <c r="X12" s="210">
        <v>392</v>
      </c>
      <c r="Y12" s="210">
        <v>409</v>
      </c>
      <c r="Z12" s="210">
        <v>417</v>
      </c>
      <c r="AA12" s="210">
        <v>424</v>
      </c>
      <c r="AB12" s="210">
        <v>1642</v>
      </c>
      <c r="AC12" s="19">
        <v>437</v>
      </c>
      <c r="AD12" s="19">
        <v>446</v>
      </c>
      <c r="AE12" s="19">
        <v>467</v>
      </c>
      <c r="AF12" s="19">
        <v>441</v>
      </c>
      <c r="AG12" s="210">
        <v>1791</v>
      </c>
      <c r="AH12" s="19">
        <v>445</v>
      </c>
      <c r="AI12" s="19">
        <v>452</v>
      </c>
      <c r="AJ12" s="19">
        <v>450</v>
      </c>
      <c r="AK12" s="19">
        <v>409</v>
      </c>
      <c r="AL12" s="210">
        <v>1756</v>
      </c>
      <c r="AM12" s="19">
        <v>416</v>
      </c>
      <c r="AN12" s="19">
        <v>420</v>
      </c>
      <c r="AO12" s="19">
        <v>406</v>
      </c>
      <c r="AP12" s="19">
        <v>394</v>
      </c>
      <c r="AQ12" s="210">
        <v>1636</v>
      </c>
      <c r="AR12" s="19">
        <v>401</v>
      </c>
      <c r="AS12" s="19">
        <v>395</v>
      </c>
      <c r="AT12" s="137">
        <v>796</v>
      </c>
      <c r="AU12" s="19">
        <v>381</v>
      </c>
      <c r="AV12" s="276">
        <v>1177</v>
      </c>
      <c r="AW12" s="19">
        <v>373</v>
      </c>
      <c r="AX12" s="210">
        <v>1550</v>
      </c>
    </row>
    <row r="13" spans="2:50" ht="13.9" customHeight="1">
      <c r="B13" s="12" t="s">
        <v>385</v>
      </c>
      <c r="C13" s="217" t="s">
        <v>24</v>
      </c>
      <c r="D13" s="235" t="s">
        <v>25</v>
      </c>
      <c r="E13" s="235" t="s">
        <v>25</v>
      </c>
      <c r="F13" s="235" t="s">
        <v>25</v>
      </c>
      <c r="G13" s="235" t="s">
        <v>25</v>
      </c>
      <c r="H13" s="217" t="s">
        <v>24</v>
      </c>
      <c r="I13" s="235" t="s">
        <v>25</v>
      </c>
      <c r="J13" s="235" t="s">
        <v>25</v>
      </c>
      <c r="K13" s="235" t="s">
        <v>25</v>
      </c>
      <c r="L13" s="235" t="s">
        <v>25</v>
      </c>
      <c r="M13" s="217" t="s">
        <v>24</v>
      </c>
      <c r="N13" s="235" t="s">
        <v>25</v>
      </c>
      <c r="O13" s="235" t="s">
        <v>25</v>
      </c>
      <c r="P13" s="235" t="s">
        <v>25</v>
      </c>
      <c r="Q13" s="235" t="s">
        <v>25</v>
      </c>
      <c r="R13" s="210">
        <v>1314</v>
      </c>
      <c r="S13" s="235" t="s">
        <v>25</v>
      </c>
      <c r="T13" s="235" t="s">
        <v>25</v>
      </c>
      <c r="U13" s="235" t="s">
        <v>25</v>
      </c>
      <c r="V13" s="235" t="s">
        <v>25</v>
      </c>
      <c r="W13" s="210">
        <v>1133</v>
      </c>
      <c r="X13" s="235" t="s">
        <v>25</v>
      </c>
      <c r="Y13" s="235" t="s">
        <v>25</v>
      </c>
      <c r="Z13" s="235" t="s">
        <v>25</v>
      </c>
      <c r="AA13" s="235" t="s">
        <v>25</v>
      </c>
      <c r="AB13" s="210">
        <v>1204</v>
      </c>
      <c r="AC13" s="19">
        <v>324</v>
      </c>
      <c r="AD13" s="19">
        <v>340</v>
      </c>
      <c r="AE13" s="19">
        <v>361</v>
      </c>
      <c r="AF13" s="19">
        <v>339</v>
      </c>
      <c r="AG13" s="210">
        <v>1364</v>
      </c>
      <c r="AH13" s="19">
        <v>334</v>
      </c>
      <c r="AI13" s="19">
        <v>350</v>
      </c>
      <c r="AJ13" s="19">
        <v>371</v>
      </c>
      <c r="AK13" s="19">
        <v>330</v>
      </c>
      <c r="AL13" s="210">
        <v>1385</v>
      </c>
      <c r="AM13" s="19">
        <v>335</v>
      </c>
      <c r="AN13" s="19">
        <v>348</v>
      </c>
      <c r="AO13" s="19">
        <v>365</v>
      </c>
      <c r="AP13" s="19">
        <v>355</v>
      </c>
      <c r="AQ13" s="210">
        <v>1403</v>
      </c>
      <c r="AR13" s="19">
        <v>360</v>
      </c>
      <c r="AS13" s="19">
        <v>361</v>
      </c>
      <c r="AT13" s="137">
        <v>721</v>
      </c>
      <c r="AU13" s="19">
        <v>381</v>
      </c>
      <c r="AV13" s="276">
        <v>1102</v>
      </c>
      <c r="AW13" s="19">
        <v>373</v>
      </c>
      <c r="AX13" s="210">
        <v>1475</v>
      </c>
    </row>
    <row r="14" spans="2:50" ht="13.9" customHeight="1">
      <c r="B14" s="20" t="s">
        <v>414</v>
      </c>
      <c r="C14" s="211"/>
      <c r="D14" s="212"/>
      <c r="E14" s="212"/>
      <c r="F14" s="212"/>
      <c r="G14" s="212"/>
      <c r="H14" s="211"/>
      <c r="I14" s="212"/>
      <c r="J14" s="212"/>
      <c r="K14" s="212"/>
      <c r="L14" s="212"/>
      <c r="M14" s="211"/>
      <c r="N14" s="212"/>
      <c r="O14" s="212"/>
      <c r="P14" s="212"/>
      <c r="Q14" s="212"/>
      <c r="R14" s="211"/>
      <c r="S14" s="212"/>
      <c r="T14" s="212"/>
      <c r="U14" s="212"/>
      <c r="V14" s="212"/>
      <c r="W14" s="211"/>
      <c r="X14" s="212"/>
      <c r="Y14" s="212"/>
      <c r="Z14" s="212"/>
      <c r="AA14" s="212"/>
      <c r="AB14" s="211"/>
      <c r="AC14" s="21"/>
      <c r="AD14" s="21">
        <v>4.9382716049382713E-2</v>
      </c>
      <c r="AE14" s="21">
        <v>6.1764705882352944E-2</v>
      </c>
      <c r="AF14" s="21">
        <v>-6.0941828254847619E-2</v>
      </c>
      <c r="AG14" s="211"/>
      <c r="AH14" s="21">
        <v>-1.4749262536873142E-2</v>
      </c>
      <c r="AI14" s="21">
        <v>4.7904191616766401E-2</v>
      </c>
      <c r="AJ14" s="21">
        <v>6.0000000000000053E-2</v>
      </c>
      <c r="AK14" s="21">
        <v>-0.11051212938005395</v>
      </c>
      <c r="AL14" s="211"/>
      <c r="AM14" s="21">
        <v>1.5151515151515138E-2</v>
      </c>
      <c r="AN14" s="21">
        <v>3.8805970149253799E-2</v>
      </c>
      <c r="AO14" s="21">
        <v>4.8850574712643757E-2</v>
      </c>
      <c r="AP14" s="21">
        <v>-2.7397260273972601E-2</v>
      </c>
      <c r="AQ14" s="211"/>
      <c r="AR14" s="21">
        <v>1.4084507042253502E-2</v>
      </c>
      <c r="AS14" s="21">
        <v>2.7777777777777679E-3</v>
      </c>
      <c r="AT14" s="138"/>
      <c r="AU14" s="21">
        <v>5.5401662049861411E-2</v>
      </c>
      <c r="AV14" s="277"/>
      <c r="AW14" s="21">
        <v>-2.0997375328083989E-2</v>
      </c>
      <c r="AX14" s="211"/>
    </row>
    <row r="15" spans="2:50" ht="13.9" customHeight="1">
      <c r="B15" s="20" t="s">
        <v>413</v>
      </c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2"/>
      <c r="AD15" s="22"/>
      <c r="AE15" s="22"/>
      <c r="AF15" s="22"/>
      <c r="AG15" s="211">
        <v>0.13289036544850497</v>
      </c>
      <c r="AH15" s="22">
        <v>3.0864197530864113E-2</v>
      </c>
      <c r="AI15" s="22">
        <v>2.9411764705882248E-2</v>
      </c>
      <c r="AJ15" s="22">
        <v>2.7700831024930705E-2</v>
      </c>
      <c r="AK15" s="22">
        <v>-2.6548672566371723E-2</v>
      </c>
      <c r="AL15" s="211">
        <v>1.5395894428152479E-2</v>
      </c>
      <c r="AM15" s="22">
        <v>2.9940119760478723E-3</v>
      </c>
      <c r="AN15" s="22">
        <v>-5.7142857142856718E-3</v>
      </c>
      <c r="AO15" s="22">
        <v>-1.6172506738544423E-2</v>
      </c>
      <c r="AP15" s="22">
        <v>7.575757575757569E-2</v>
      </c>
      <c r="AQ15" s="211">
        <v>1.2996389891696714E-2</v>
      </c>
      <c r="AR15" s="22">
        <v>7.4626865671641784E-2</v>
      </c>
      <c r="AS15" s="22">
        <v>3.7356321839080442E-2</v>
      </c>
      <c r="AT15" s="139"/>
      <c r="AU15" s="22">
        <v>4.3835616438356206E-2</v>
      </c>
      <c r="AV15" s="278"/>
      <c r="AW15" s="22">
        <v>5.0704225352112609E-2</v>
      </c>
      <c r="AX15" s="211">
        <v>5.1318602993585261E-2</v>
      </c>
    </row>
    <row r="16" spans="2:50" ht="13.9" customHeight="1">
      <c r="B16" s="12" t="s">
        <v>392</v>
      </c>
      <c r="C16" s="217" t="s">
        <v>24</v>
      </c>
      <c r="D16" s="211"/>
      <c r="E16" s="211"/>
      <c r="F16" s="211"/>
      <c r="G16" s="211"/>
      <c r="H16" s="217" t="s">
        <v>24</v>
      </c>
      <c r="I16" s="211"/>
      <c r="J16" s="211"/>
      <c r="K16" s="211"/>
      <c r="L16" s="211"/>
      <c r="M16" s="217" t="s">
        <v>24</v>
      </c>
      <c r="N16" s="211"/>
      <c r="O16" s="211"/>
      <c r="P16" s="211"/>
      <c r="Q16" s="211"/>
      <c r="R16" s="210">
        <v>395</v>
      </c>
      <c r="S16" s="211"/>
      <c r="T16" s="211"/>
      <c r="U16" s="211"/>
      <c r="V16" s="211"/>
      <c r="W16" s="210">
        <v>458</v>
      </c>
      <c r="X16" s="211"/>
      <c r="Y16" s="211"/>
      <c r="Z16" s="211"/>
      <c r="AA16" s="211"/>
      <c r="AB16" s="210">
        <v>438</v>
      </c>
      <c r="AC16" s="19">
        <v>113</v>
      </c>
      <c r="AD16" s="19">
        <v>106</v>
      </c>
      <c r="AE16" s="19">
        <v>106</v>
      </c>
      <c r="AF16" s="19">
        <v>102</v>
      </c>
      <c r="AG16" s="210">
        <v>427</v>
      </c>
      <c r="AH16" s="19">
        <v>111</v>
      </c>
      <c r="AI16" s="19">
        <v>102</v>
      </c>
      <c r="AJ16" s="19">
        <v>79</v>
      </c>
      <c r="AK16" s="19">
        <v>79</v>
      </c>
      <c r="AL16" s="210">
        <v>371</v>
      </c>
      <c r="AM16" s="19">
        <v>81</v>
      </c>
      <c r="AN16" s="19">
        <v>72</v>
      </c>
      <c r="AO16" s="19">
        <v>41</v>
      </c>
      <c r="AP16" s="19">
        <v>39</v>
      </c>
      <c r="AQ16" s="210">
        <v>233</v>
      </c>
      <c r="AR16" s="19">
        <v>41</v>
      </c>
      <c r="AS16" s="19">
        <v>34</v>
      </c>
      <c r="AT16" s="137">
        <v>75</v>
      </c>
      <c r="AU16" s="19">
        <v>0</v>
      </c>
      <c r="AV16" s="276">
        <v>75</v>
      </c>
      <c r="AW16" s="19">
        <v>0</v>
      </c>
      <c r="AX16" s="210">
        <v>75</v>
      </c>
    </row>
    <row r="17" spans="2:50" ht="13.9" customHeight="1">
      <c r="B17" s="12"/>
      <c r="C17" s="217"/>
      <c r="D17" s="211"/>
      <c r="E17" s="211"/>
      <c r="F17" s="211"/>
      <c r="G17" s="211"/>
      <c r="H17" s="217"/>
      <c r="I17" s="211"/>
      <c r="J17" s="211"/>
      <c r="K17" s="211"/>
      <c r="L17" s="211"/>
      <c r="M17" s="217"/>
      <c r="N17" s="211"/>
      <c r="O17" s="211"/>
      <c r="P17" s="211"/>
      <c r="Q17" s="211"/>
      <c r="R17" s="217"/>
      <c r="S17" s="211"/>
      <c r="T17" s="211"/>
      <c r="U17" s="211"/>
      <c r="V17" s="211"/>
      <c r="W17" s="217"/>
      <c r="X17" s="211"/>
      <c r="Y17" s="211"/>
      <c r="Z17" s="211"/>
      <c r="AA17" s="211"/>
      <c r="AB17" s="217"/>
      <c r="AC17" s="19"/>
      <c r="AD17" s="19"/>
      <c r="AE17" s="19"/>
      <c r="AF17" s="19"/>
      <c r="AG17" s="210"/>
      <c r="AH17" s="19"/>
      <c r="AI17" s="19"/>
      <c r="AJ17" s="19"/>
      <c r="AK17" s="19"/>
      <c r="AL17" s="210"/>
      <c r="AM17" s="19"/>
      <c r="AN17" s="19"/>
      <c r="AO17" s="19"/>
      <c r="AP17" s="19"/>
      <c r="AQ17" s="210"/>
      <c r="AR17" s="19"/>
      <c r="AS17" s="19"/>
      <c r="AT17" s="137"/>
      <c r="AU17" s="19"/>
      <c r="AV17" s="276"/>
      <c r="AW17" s="19"/>
      <c r="AX17" s="210"/>
    </row>
    <row r="18" spans="2:50" ht="13.9" customHeight="1">
      <c r="B18" s="12" t="s">
        <v>33</v>
      </c>
      <c r="C18" s="210">
        <v>812</v>
      </c>
      <c r="D18" s="210">
        <v>193</v>
      </c>
      <c r="E18" s="210">
        <v>183</v>
      </c>
      <c r="F18" s="210">
        <v>174</v>
      </c>
      <c r="G18" s="210">
        <f>H18-F18-E18-D18</f>
        <v>214</v>
      </c>
      <c r="H18" s="210">
        <v>764</v>
      </c>
      <c r="I18" s="210">
        <v>188</v>
      </c>
      <c r="J18" s="210">
        <v>164</v>
      </c>
      <c r="K18" s="210">
        <v>155</v>
      </c>
      <c r="L18" s="210">
        <f>M18-K18-J18-I18</f>
        <v>181</v>
      </c>
      <c r="M18" s="210">
        <v>688</v>
      </c>
      <c r="N18" s="210">
        <v>161</v>
      </c>
      <c r="O18" s="210">
        <v>140</v>
      </c>
      <c r="P18" s="210">
        <v>166</v>
      </c>
      <c r="Q18" s="210">
        <f>R18-P18-O18-N18</f>
        <v>186</v>
      </c>
      <c r="R18" s="210">
        <v>653</v>
      </c>
      <c r="S18" s="210">
        <v>168</v>
      </c>
      <c r="T18" s="210">
        <v>141</v>
      </c>
      <c r="U18" s="210">
        <v>149</v>
      </c>
      <c r="V18" s="210">
        <v>137</v>
      </c>
      <c r="W18" s="210">
        <v>595</v>
      </c>
      <c r="X18" s="210">
        <v>178</v>
      </c>
      <c r="Y18" s="210">
        <v>167</v>
      </c>
      <c r="Z18" s="210">
        <v>124</v>
      </c>
      <c r="AA18" s="210">
        <v>178</v>
      </c>
      <c r="AB18" s="210">
        <v>647</v>
      </c>
      <c r="AC18" s="19">
        <v>163</v>
      </c>
      <c r="AD18" s="19">
        <v>153</v>
      </c>
      <c r="AE18" s="19">
        <v>141</v>
      </c>
      <c r="AF18" s="19">
        <v>151</v>
      </c>
      <c r="AG18" s="210">
        <v>608</v>
      </c>
      <c r="AH18" s="19">
        <v>171</v>
      </c>
      <c r="AI18" s="19">
        <v>133</v>
      </c>
      <c r="AJ18" s="19">
        <v>135</v>
      </c>
      <c r="AK18" s="19">
        <v>153</v>
      </c>
      <c r="AL18" s="210">
        <v>592</v>
      </c>
      <c r="AM18" s="19">
        <v>167</v>
      </c>
      <c r="AN18" s="19">
        <v>141</v>
      </c>
      <c r="AO18" s="19">
        <v>141</v>
      </c>
      <c r="AP18" s="19">
        <v>169</v>
      </c>
      <c r="AQ18" s="210">
        <v>618</v>
      </c>
      <c r="AR18" s="19">
        <v>165</v>
      </c>
      <c r="AS18" s="19">
        <v>135</v>
      </c>
      <c r="AT18" s="137">
        <v>300</v>
      </c>
      <c r="AU18" s="19">
        <v>136</v>
      </c>
      <c r="AV18" s="276">
        <v>436</v>
      </c>
      <c r="AW18" s="19">
        <v>181</v>
      </c>
      <c r="AX18" s="210">
        <v>617</v>
      </c>
    </row>
    <row r="19" spans="2:50" ht="13.9" customHeight="1">
      <c r="B19" s="20" t="s">
        <v>5</v>
      </c>
      <c r="C19" s="211"/>
      <c r="D19" s="212"/>
      <c r="E19" s="212">
        <f>E18/D18-1</f>
        <v>-5.1813471502590636E-2</v>
      </c>
      <c r="F19" s="212">
        <f>F18/E18-1</f>
        <v>-4.9180327868852514E-2</v>
      </c>
      <c r="G19" s="212">
        <f>G18/F18-1</f>
        <v>0.22988505747126431</v>
      </c>
      <c r="H19" s="211"/>
      <c r="I19" s="212">
        <f>I18/G18-1</f>
        <v>-0.12149532710280375</v>
      </c>
      <c r="J19" s="212">
        <f>J18/I18-1</f>
        <v>-0.12765957446808507</v>
      </c>
      <c r="K19" s="212">
        <f>K18/J18-1</f>
        <v>-5.4878048780487854E-2</v>
      </c>
      <c r="L19" s="212">
        <f>L18/K18-1</f>
        <v>0.16774193548387095</v>
      </c>
      <c r="M19" s="211"/>
      <c r="N19" s="212">
        <f>N18/L18-1</f>
        <v>-0.11049723756906082</v>
      </c>
      <c r="O19" s="212">
        <f>O18/N18-1</f>
        <v>-0.13043478260869568</v>
      </c>
      <c r="P19" s="212">
        <f>P18/O18-1</f>
        <v>0.18571428571428572</v>
      </c>
      <c r="Q19" s="212">
        <f>Q18/P18-1</f>
        <v>0.12048192771084332</v>
      </c>
      <c r="R19" s="211"/>
      <c r="S19" s="212">
        <v>-9.6774193548387122E-2</v>
      </c>
      <c r="T19" s="212">
        <v>-0.1607142857142857</v>
      </c>
      <c r="U19" s="212">
        <v>5.6737588652482351E-2</v>
      </c>
      <c r="V19" s="212">
        <v>-8.0536912751677847E-2</v>
      </c>
      <c r="W19" s="211"/>
      <c r="X19" s="212">
        <v>0.2992700729927007</v>
      </c>
      <c r="Y19" s="212">
        <v>-6.1797752808988804E-2</v>
      </c>
      <c r="Z19" s="212">
        <v>-0.25748502994011979</v>
      </c>
      <c r="AA19" s="212">
        <v>0.43548387096774199</v>
      </c>
      <c r="AB19" s="211"/>
      <c r="AC19" s="21">
        <v>-8.4269662921348298E-2</v>
      </c>
      <c r="AD19" s="21">
        <v>-6.1349693251533721E-2</v>
      </c>
      <c r="AE19" s="21">
        <v>-7.8431372549019662E-2</v>
      </c>
      <c r="AF19" s="21">
        <v>7.0921985815602939E-2</v>
      </c>
      <c r="AG19" s="211"/>
      <c r="AH19" s="21">
        <v>0.13245033112582782</v>
      </c>
      <c r="AI19" s="21">
        <v>-0.22222222222222221</v>
      </c>
      <c r="AJ19" s="21">
        <v>1.5037593984962516E-2</v>
      </c>
      <c r="AK19" s="21">
        <v>0.1333333333333333</v>
      </c>
      <c r="AL19" s="211"/>
      <c r="AM19" s="21">
        <v>9.1503267973856106E-2</v>
      </c>
      <c r="AN19" s="21">
        <v>-0.15568862275449102</v>
      </c>
      <c r="AO19" s="21">
        <v>0</v>
      </c>
      <c r="AP19" s="21">
        <v>0.19858156028368801</v>
      </c>
      <c r="AQ19" s="211"/>
      <c r="AR19" s="21">
        <v>-2.3668639053254448E-2</v>
      </c>
      <c r="AS19" s="21">
        <v>-0.18181818181818177</v>
      </c>
      <c r="AT19" s="138"/>
      <c r="AU19" s="21">
        <v>7.4074074074073071E-3</v>
      </c>
      <c r="AV19" s="277"/>
      <c r="AW19" s="21">
        <v>0.33088235294117641</v>
      </c>
      <c r="AX19" s="211"/>
    </row>
    <row r="20" spans="2:50" ht="13.9" customHeight="1">
      <c r="B20" s="20" t="s">
        <v>6</v>
      </c>
      <c r="C20" s="211"/>
      <c r="D20" s="211"/>
      <c r="E20" s="211"/>
      <c r="F20" s="211"/>
      <c r="G20" s="211"/>
      <c r="H20" s="211">
        <f t="shared" ref="H20:P20" si="3">H18/C18-1</f>
        <v>-5.9113300492610876E-2</v>
      </c>
      <c r="I20" s="211">
        <f t="shared" si="3"/>
        <v>-2.5906735751295318E-2</v>
      </c>
      <c r="J20" s="211">
        <f t="shared" si="3"/>
        <v>-0.10382513661202186</v>
      </c>
      <c r="K20" s="211">
        <f t="shared" si="3"/>
        <v>-0.10919540229885061</v>
      </c>
      <c r="L20" s="211">
        <f t="shared" si="3"/>
        <v>-0.15420560747663548</v>
      </c>
      <c r="M20" s="211">
        <f t="shared" si="3"/>
        <v>-9.9476439790575966E-2</v>
      </c>
      <c r="N20" s="211">
        <f t="shared" si="3"/>
        <v>-0.1436170212765957</v>
      </c>
      <c r="O20" s="211">
        <f t="shared" si="3"/>
        <v>-0.14634146341463417</v>
      </c>
      <c r="P20" s="211">
        <f t="shared" si="3"/>
        <v>7.0967741935483941E-2</v>
      </c>
      <c r="Q20" s="211">
        <f>Q18/L18-1</f>
        <v>2.7624309392265234E-2</v>
      </c>
      <c r="R20" s="211">
        <v>-5.0872093023255793E-2</v>
      </c>
      <c r="S20" s="211">
        <v>4.3478260869565188E-2</v>
      </c>
      <c r="T20" s="211">
        <v>7.1428571428571175E-3</v>
      </c>
      <c r="U20" s="211">
        <v>-0.10240963855421692</v>
      </c>
      <c r="V20" s="211">
        <v>-0.26344086021505375</v>
      </c>
      <c r="W20" s="211">
        <v>-8.8820826952526799E-2</v>
      </c>
      <c r="X20" s="211">
        <v>5.9523809523809534E-2</v>
      </c>
      <c r="Y20" s="211">
        <v>0.18439716312056742</v>
      </c>
      <c r="Z20" s="211">
        <v>-0.16778523489932884</v>
      </c>
      <c r="AA20" s="211">
        <v>0.2992700729927007</v>
      </c>
      <c r="AB20" s="211">
        <v>8.7394957983193189E-2</v>
      </c>
      <c r="AC20" s="22">
        <v>-8.4269662921348298E-2</v>
      </c>
      <c r="AD20" s="22">
        <v>-8.3832335329341312E-2</v>
      </c>
      <c r="AE20" s="22">
        <v>0.13709677419354849</v>
      </c>
      <c r="AF20" s="22">
        <v>-0.151685393258427</v>
      </c>
      <c r="AG20" s="211">
        <v>-6.0278207109737303E-2</v>
      </c>
      <c r="AH20" s="22">
        <v>4.9079754601226933E-2</v>
      </c>
      <c r="AI20" s="22">
        <v>-0.13071895424836599</v>
      </c>
      <c r="AJ20" s="22">
        <v>-4.2553191489361653E-2</v>
      </c>
      <c r="AK20" s="22">
        <v>1.3245033112582849E-2</v>
      </c>
      <c r="AL20" s="211">
        <v>-2.6315789473684181E-2</v>
      </c>
      <c r="AM20" s="22">
        <v>-2.3391812865497075E-2</v>
      </c>
      <c r="AN20" s="22">
        <v>6.0150375939849621E-2</v>
      </c>
      <c r="AO20" s="22">
        <v>4.4444444444444509E-2</v>
      </c>
      <c r="AP20" s="22">
        <v>0.10457516339869288</v>
      </c>
      <c r="AQ20" s="211">
        <v>4.3918918918918859E-2</v>
      </c>
      <c r="AR20" s="22">
        <v>-1.19760479041916E-2</v>
      </c>
      <c r="AS20" s="22">
        <v>-4.2553191489361653E-2</v>
      </c>
      <c r="AT20" s="139"/>
      <c r="AU20" s="22">
        <v>-3.546099290780147E-2</v>
      </c>
      <c r="AV20" s="278"/>
      <c r="AW20" s="22">
        <v>7.1005917159763232E-2</v>
      </c>
      <c r="AX20" s="211">
        <v>-1.6181229773463146E-3</v>
      </c>
    </row>
    <row r="21" spans="2:50" ht="3.75" customHeight="1">
      <c r="B21" s="201"/>
      <c r="C21" s="122"/>
      <c r="D21" s="283"/>
      <c r="E21" s="283"/>
      <c r="F21" s="283"/>
      <c r="G21" s="283"/>
      <c r="H21" s="122"/>
      <c r="I21" s="283"/>
      <c r="J21" s="283"/>
      <c r="K21" s="283"/>
      <c r="L21" s="283"/>
      <c r="M21" s="122"/>
      <c r="N21" s="283"/>
      <c r="O21" s="283"/>
      <c r="P21" s="283"/>
      <c r="Q21" s="283"/>
      <c r="R21" s="122"/>
      <c r="S21" s="283"/>
      <c r="T21" s="283"/>
      <c r="U21" s="283"/>
      <c r="V21" s="283"/>
      <c r="W21" s="122"/>
      <c r="X21" s="283"/>
      <c r="Y21" s="283"/>
      <c r="Z21" s="283"/>
      <c r="AA21" s="283"/>
      <c r="AB21" s="122"/>
      <c r="AC21" s="283"/>
      <c r="AD21" s="283"/>
      <c r="AE21" s="283"/>
      <c r="AF21" s="283"/>
      <c r="AG21" s="122"/>
      <c r="AH21" s="283"/>
      <c r="AI21" s="283"/>
      <c r="AJ21" s="283"/>
      <c r="AK21" s="283"/>
      <c r="AL21" s="122"/>
      <c r="AM21" s="283"/>
      <c r="AN21" s="283"/>
      <c r="AO21" s="283"/>
      <c r="AP21" s="283"/>
      <c r="AQ21" s="122"/>
      <c r="AR21" s="283"/>
      <c r="AS21" s="283"/>
      <c r="AT21" s="283"/>
      <c r="AU21" s="283"/>
      <c r="AV21" s="283"/>
      <c r="AW21" s="283"/>
      <c r="AX21" s="122"/>
    </row>
    <row r="22" spans="2:50" ht="13.9" customHeight="1">
      <c r="B22" s="12" t="s">
        <v>418</v>
      </c>
      <c r="C22" s="210">
        <v>1616</v>
      </c>
      <c r="D22" s="235" t="s">
        <v>25</v>
      </c>
      <c r="E22" s="235" t="s">
        <v>25</v>
      </c>
      <c r="F22" s="235" t="s">
        <v>25</v>
      </c>
      <c r="G22" s="235" t="s">
        <v>25</v>
      </c>
      <c r="H22" s="210">
        <v>1541</v>
      </c>
      <c r="I22" s="235" t="s">
        <v>25</v>
      </c>
      <c r="J22" s="235" t="s">
        <v>25</v>
      </c>
      <c r="K22" s="235" t="s">
        <v>25</v>
      </c>
      <c r="L22" s="235" t="s">
        <v>25</v>
      </c>
      <c r="M22" s="210">
        <v>1415</v>
      </c>
      <c r="N22" s="235" t="s">
        <v>25</v>
      </c>
      <c r="O22" s="235" t="s">
        <v>25</v>
      </c>
      <c r="P22" s="235" t="s">
        <v>25</v>
      </c>
      <c r="Q22" s="235" t="s">
        <v>25</v>
      </c>
      <c r="R22" s="210">
        <v>1334</v>
      </c>
      <c r="S22" s="235" t="s">
        <v>25</v>
      </c>
      <c r="T22" s="235" t="s">
        <v>25</v>
      </c>
      <c r="U22" s="235" t="s">
        <v>25</v>
      </c>
      <c r="V22" s="235" t="s">
        <v>25</v>
      </c>
      <c r="W22" s="210">
        <v>1194</v>
      </c>
      <c r="X22" s="235" t="s">
        <v>25</v>
      </c>
      <c r="Y22" s="235" t="s">
        <v>25</v>
      </c>
      <c r="Z22" s="235" t="s">
        <v>25</v>
      </c>
      <c r="AA22" s="235" t="s">
        <v>25</v>
      </c>
      <c r="AB22" s="210">
        <v>1361</v>
      </c>
      <c r="AC22" s="27" t="s">
        <v>25</v>
      </c>
      <c r="AD22" s="27" t="s">
        <v>25</v>
      </c>
      <c r="AE22" s="27" t="s">
        <v>25</v>
      </c>
      <c r="AF22" s="27" t="s">
        <v>25</v>
      </c>
      <c r="AG22" s="210">
        <v>1416</v>
      </c>
      <c r="AH22" s="27" t="s">
        <v>25</v>
      </c>
      <c r="AI22" s="27" t="s">
        <v>25</v>
      </c>
      <c r="AJ22" s="27" t="s">
        <v>25</v>
      </c>
      <c r="AK22" s="27" t="s">
        <v>25</v>
      </c>
      <c r="AL22" s="210">
        <v>1375</v>
      </c>
      <c r="AM22" s="27" t="s">
        <v>25</v>
      </c>
      <c r="AN22" s="27" t="s">
        <v>25</v>
      </c>
      <c r="AO22" s="27" t="s">
        <v>25</v>
      </c>
      <c r="AP22" s="27" t="s">
        <v>25</v>
      </c>
      <c r="AQ22" s="210">
        <v>1333</v>
      </c>
      <c r="AR22" s="27" t="s">
        <v>25</v>
      </c>
      <c r="AS22" s="27" t="s">
        <v>25</v>
      </c>
      <c r="AT22" s="142" t="s">
        <v>25</v>
      </c>
      <c r="AU22" s="27" t="s">
        <v>25</v>
      </c>
      <c r="AV22" s="305" t="s">
        <v>25</v>
      </c>
      <c r="AW22" s="27" t="s">
        <v>25</v>
      </c>
      <c r="AX22" s="210">
        <v>1323</v>
      </c>
    </row>
    <row r="23" spans="2:50" ht="13.9" customHeight="1">
      <c r="B23" s="12" t="s">
        <v>432</v>
      </c>
      <c r="C23" s="210"/>
      <c r="D23" s="235"/>
      <c r="E23" s="235"/>
      <c r="F23" s="235"/>
      <c r="G23" s="235"/>
      <c r="H23" s="210"/>
      <c r="I23" s="235"/>
      <c r="J23" s="235"/>
      <c r="K23" s="235"/>
      <c r="L23" s="235"/>
      <c r="M23" s="210"/>
      <c r="N23" s="235"/>
      <c r="O23" s="235"/>
      <c r="P23" s="235"/>
      <c r="Q23" s="235"/>
      <c r="R23" s="210"/>
      <c r="S23" s="235"/>
      <c r="T23" s="235"/>
      <c r="U23" s="235"/>
      <c r="V23" s="235"/>
      <c r="W23" s="210"/>
      <c r="X23" s="235"/>
      <c r="Y23" s="235"/>
      <c r="Z23" s="235"/>
      <c r="AA23" s="235"/>
      <c r="AB23" s="210">
        <v>1131</v>
      </c>
      <c r="AC23" s="27"/>
      <c r="AD23" s="27"/>
      <c r="AE23" s="27"/>
      <c r="AF23" s="27"/>
      <c r="AG23" s="210">
        <v>1193</v>
      </c>
      <c r="AH23" s="27"/>
      <c r="AI23" s="27"/>
      <c r="AJ23" s="27"/>
      <c r="AK23" s="27"/>
      <c r="AL23" s="210">
        <v>1180</v>
      </c>
      <c r="AM23" s="27"/>
      <c r="AN23" s="27"/>
      <c r="AO23" s="27"/>
      <c r="AP23" s="27"/>
      <c r="AQ23" s="210">
        <v>1210</v>
      </c>
      <c r="AR23" s="27"/>
      <c r="AS23" s="27"/>
      <c r="AT23" s="142"/>
      <c r="AU23" s="27"/>
      <c r="AV23" s="305"/>
      <c r="AW23" s="27"/>
      <c r="AX23" s="210">
        <v>1283</v>
      </c>
    </row>
    <row r="24" spans="2:50" ht="13.9" customHeight="1">
      <c r="B24" s="20" t="s">
        <v>411</v>
      </c>
      <c r="C24" s="211">
        <f>C22/C8</f>
        <v>0.61444866920152086</v>
      </c>
      <c r="D24" s="211"/>
      <c r="E24" s="211"/>
      <c r="F24" s="211"/>
      <c r="G24" s="211"/>
      <c r="H24" s="211">
        <f>H22/H8</f>
        <v>0.60526315789473684</v>
      </c>
      <c r="I24" s="211"/>
      <c r="J24" s="211"/>
      <c r="K24" s="211"/>
      <c r="L24" s="211"/>
      <c r="M24" s="211">
        <f>M22/M8</f>
        <v>0.57920589439214076</v>
      </c>
      <c r="N24" s="211"/>
      <c r="O24" s="211"/>
      <c r="P24" s="211"/>
      <c r="Q24" s="211"/>
      <c r="R24" s="211">
        <v>0.56477561388653685</v>
      </c>
      <c r="S24" s="211"/>
      <c r="T24" s="211"/>
      <c r="U24" s="211"/>
      <c r="V24" s="211"/>
      <c r="W24" s="211">
        <v>0.54620311070448302</v>
      </c>
      <c r="X24" s="211"/>
      <c r="Y24" s="211"/>
      <c r="Z24" s="211"/>
      <c r="AA24" s="211"/>
      <c r="AB24" s="211">
        <v>0.61102106969205838</v>
      </c>
      <c r="AC24" s="22"/>
      <c r="AD24" s="22"/>
      <c r="AE24" s="22"/>
      <c r="AF24" s="22"/>
      <c r="AG24" s="211">
        <v>0.60496957403651119</v>
      </c>
      <c r="AH24" s="22"/>
      <c r="AI24" s="22"/>
      <c r="AJ24" s="22"/>
      <c r="AK24" s="22"/>
      <c r="AL24" s="211">
        <v>0.59686393525543757</v>
      </c>
      <c r="AM24" s="22"/>
      <c r="AN24" s="22"/>
      <c r="AO24" s="22"/>
      <c r="AP24" s="22"/>
      <c r="AQ24" s="211">
        <v>0.59871350816427515</v>
      </c>
      <c r="AR24" s="22"/>
      <c r="AS24" s="22"/>
      <c r="AT24" s="139"/>
      <c r="AU24" s="22"/>
      <c r="AV24" s="278"/>
      <c r="AW24" s="22"/>
      <c r="AX24" s="211">
        <v>0.6132887189292543</v>
      </c>
    </row>
    <row r="25" spans="2:50" ht="13.9" customHeight="1">
      <c r="B25" s="12" t="s">
        <v>86</v>
      </c>
      <c r="C25" s="210">
        <v>1015</v>
      </c>
      <c r="D25" s="235" t="s">
        <v>25</v>
      </c>
      <c r="E25" s="235" t="s">
        <v>25</v>
      </c>
      <c r="F25" s="235" t="s">
        <v>25</v>
      </c>
      <c r="G25" s="235" t="s">
        <v>25</v>
      </c>
      <c r="H25" s="210">
        <v>1005</v>
      </c>
      <c r="I25" s="235" t="s">
        <v>25</v>
      </c>
      <c r="J25" s="235" t="s">
        <v>25</v>
      </c>
      <c r="K25" s="235" t="s">
        <v>25</v>
      </c>
      <c r="L25" s="235" t="s">
        <v>25</v>
      </c>
      <c r="M25" s="210">
        <v>1028</v>
      </c>
      <c r="N25" s="235" t="s">
        <v>25</v>
      </c>
      <c r="O25" s="235" t="s">
        <v>25</v>
      </c>
      <c r="P25" s="235" t="s">
        <v>25</v>
      </c>
      <c r="Q25" s="235" t="s">
        <v>25</v>
      </c>
      <c r="R25" s="210">
        <v>1028</v>
      </c>
      <c r="S25" s="235" t="s">
        <v>25</v>
      </c>
      <c r="T25" s="235" t="s">
        <v>25</v>
      </c>
      <c r="U25" s="235" t="s">
        <v>25</v>
      </c>
      <c r="V25" s="235" t="s">
        <v>25</v>
      </c>
      <c r="W25" s="210">
        <v>992</v>
      </c>
      <c r="X25" s="235" t="s">
        <v>25</v>
      </c>
      <c r="Y25" s="235" t="s">
        <v>25</v>
      </c>
      <c r="Z25" s="235" t="s">
        <v>25</v>
      </c>
      <c r="AA25" s="235" t="s">
        <v>25</v>
      </c>
      <c r="AB25" s="210">
        <v>928</v>
      </c>
      <c r="AC25" s="27" t="s">
        <v>25</v>
      </c>
      <c r="AD25" s="27" t="s">
        <v>25</v>
      </c>
      <c r="AE25" s="27" t="s">
        <v>25</v>
      </c>
      <c r="AF25" s="27" t="s">
        <v>25</v>
      </c>
      <c r="AG25" s="210">
        <v>983</v>
      </c>
      <c r="AH25" s="27" t="s">
        <v>25</v>
      </c>
      <c r="AI25" s="27" t="s">
        <v>25</v>
      </c>
      <c r="AJ25" s="27" t="s">
        <v>25</v>
      </c>
      <c r="AK25" s="27" t="s">
        <v>25</v>
      </c>
      <c r="AL25" s="210">
        <v>973</v>
      </c>
      <c r="AM25" s="27" t="s">
        <v>25</v>
      </c>
      <c r="AN25" s="27" t="s">
        <v>25</v>
      </c>
      <c r="AO25" s="27" t="s">
        <v>25</v>
      </c>
      <c r="AP25" s="27" t="s">
        <v>25</v>
      </c>
      <c r="AQ25" s="210">
        <v>921</v>
      </c>
      <c r="AR25" s="27" t="s">
        <v>25</v>
      </c>
      <c r="AS25" s="27" t="s">
        <v>25</v>
      </c>
      <c r="AT25" s="142" t="s">
        <v>25</v>
      </c>
      <c r="AU25" s="27" t="s">
        <v>25</v>
      </c>
      <c r="AV25" s="305" t="s">
        <v>25</v>
      </c>
      <c r="AW25" s="27" t="s">
        <v>25</v>
      </c>
      <c r="AX25" s="210">
        <v>844</v>
      </c>
    </row>
    <row r="26" spans="2:50" ht="13.9" customHeight="1">
      <c r="B26" s="12" t="s">
        <v>412</v>
      </c>
      <c r="C26" s="210"/>
      <c r="D26" s="235"/>
      <c r="E26" s="235"/>
      <c r="F26" s="235"/>
      <c r="G26" s="235"/>
      <c r="H26" s="210"/>
      <c r="I26" s="235"/>
      <c r="J26" s="235"/>
      <c r="K26" s="235"/>
      <c r="L26" s="235"/>
      <c r="M26" s="210"/>
      <c r="N26" s="235"/>
      <c r="O26" s="235"/>
      <c r="P26" s="235"/>
      <c r="Q26" s="235"/>
      <c r="R26" s="210"/>
      <c r="S26" s="235"/>
      <c r="T26" s="235"/>
      <c r="U26" s="235"/>
      <c r="V26" s="235"/>
      <c r="W26" s="210"/>
      <c r="X26" s="235"/>
      <c r="Y26" s="235"/>
      <c r="Z26" s="235"/>
      <c r="AA26" s="235"/>
      <c r="AB26" s="210">
        <v>720</v>
      </c>
      <c r="AC26" s="27"/>
      <c r="AD26" s="27"/>
      <c r="AE26" s="27"/>
      <c r="AF26" s="27"/>
      <c r="AG26" s="210">
        <v>779</v>
      </c>
      <c r="AH26" s="27"/>
      <c r="AI26" s="27"/>
      <c r="AJ26" s="27"/>
      <c r="AK26" s="27"/>
      <c r="AL26" s="210">
        <v>797</v>
      </c>
      <c r="AM26" s="27"/>
      <c r="AN26" s="27"/>
      <c r="AO26" s="27"/>
      <c r="AP26" s="27"/>
      <c r="AQ26" s="210">
        <v>811</v>
      </c>
      <c r="AR26" s="27"/>
      <c r="AS26" s="27"/>
      <c r="AT26" s="142"/>
      <c r="AU26" s="27"/>
      <c r="AV26" s="305"/>
      <c r="AW26" s="27"/>
      <c r="AX26" s="210">
        <v>809</v>
      </c>
    </row>
    <row r="27" spans="2:50" ht="13.9" customHeight="1">
      <c r="B27" s="20" t="s">
        <v>411</v>
      </c>
      <c r="C27" s="211">
        <f>C25/C8</f>
        <v>0.38593155893536124</v>
      </c>
      <c r="D27" s="211"/>
      <c r="E27" s="211"/>
      <c r="F27" s="211"/>
      <c r="G27" s="211"/>
      <c r="H27" s="211">
        <f>H25/H8</f>
        <v>0.39473684210526316</v>
      </c>
      <c r="I27" s="211"/>
      <c r="J27" s="211"/>
      <c r="K27" s="211"/>
      <c r="L27" s="211"/>
      <c r="M27" s="211">
        <f>M25/M8</f>
        <v>0.42079410560785918</v>
      </c>
      <c r="N27" s="211"/>
      <c r="O27" s="211"/>
      <c r="P27" s="211"/>
      <c r="Q27" s="211"/>
      <c r="R27" s="211">
        <v>0.43522438611346315</v>
      </c>
      <c r="S27" s="211"/>
      <c r="T27" s="211"/>
      <c r="U27" s="211"/>
      <c r="V27" s="211"/>
      <c r="W27" s="211">
        <v>0.45379688929551693</v>
      </c>
      <c r="X27" s="211"/>
      <c r="Y27" s="211"/>
      <c r="Z27" s="211"/>
      <c r="AA27" s="211"/>
      <c r="AB27" s="211">
        <v>0.38897893030794167</v>
      </c>
      <c r="AC27" s="22"/>
      <c r="AD27" s="22"/>
      <c r="AE27" s="22"/>
      <c r="AF27" s="22"/>
      <c r="AG27" s="211">
        <v>0.39503042596348886</v>
      </c>
      <c r="AH27" s="22"/>
      <c r="AI27" s="22"/>
      <c r="AJ27" s="22"/>
      <c r="AK27" s="22"/>
      <c r="AL27" s="211">
        <v>0.40313606474456248</v>
      </c>
      <c r="AM27" s="22"/>
      <c r="AN27" s="22"/>
      <c r="AO27" s="22"/>
      <c r="AP27" s="22"/>
      <c r="AQ27" s="211">
        <v>0.4012864918357249</v>
      </c>
      <c r="AR27" s="22"/>
      <c r="AS27" s="22"/>
      <c r="AT27" s="139"/>
      <c r="AU27" s="22"/>
      <c r="AV27" s="278"/>
      <c r="AW27" s="22"/>
      <c r="AX27" s="211">
        <v>0.3867112810707457</v>
      </c>
    </row>
    <row r="28" spans="2:50" ht="13.9" customHeight="1">
      <c r="B28" s="201" t="s">
        <v>19</v>
      </c>
      <c r="C28" s="122"/>
      <c r="D28" s="283"/>
      <c r="E28" s="283"/>
      <c r="F28" s="283"/>
      <c r="G28" s="283"/>
      <c r="H28" s="122"/>
      <c r="I28" s="283"/>
      <c r="J28" s="283"/>
      <c r="K28" s="283"/>
      <c r="L28" s="283"/>
      <c r="M28" s="122"/>
      <c r="N28" s="283"/>
      <c r="O28" s="283"/>
      <c r="P28" s="283"/>
      <c r="Q28" s="283"/>
      <c r="R28" s="122"/>
      <c r="S28" s="283"/>
      <c r="T28" s="283"/>
      <c r="U28" s="283"/>
      <c r="V28" s="283"/>
      <c r="W28" s="122"/>
      <c r="X28" s="283"/>
      <c r="Y28" s="283"/>
      <c r="Z28" s="283"/>
      <c r="AA28" s="283"/>
      <c r="AB28" s="122"/>
      <c r="AC28" s="283"/>
      <c r="AD28" s="283"/>
      <c r="AE28" s="283"/>
      <c r="AF28" s="283"/>
      <c r="AG28" s="122"/>
      <c r="AH28" s="283"/>
      <c r="AI28" s="283"/>
      <c r="AJ28" s="283"/>
      <c r="AK28" s="283"/>
      <c r="AL28" s="122"/>
      <c r="AM28" s="283"/>
      <c r="AN28" s="283"/>
      <c r="AO28" s="283"/>
      <c r="AP28" s="283"/>
      <c r="AQ28" s="122"/>
      <c r="AR28" s="283"/>
      <c r="AS28" s="283"/>
      <c r="AT28" s="283"/>
      <c r="AU28" s="283"/>
      <c r="AV28" s="283"/>
      <c r="AW28" s="283"/>
      <c r="AX28" s="122"/>
    </row>
    <row r="29" spans="2:50" ht="13.9" customHeight="1">
      <c r="B29" s="12" t="s">
        <v>163</v>
      </c>
      <c r="C29" s="210">
        <f>294+86</f>
        <v>380</v>
      </c>
      <c r="D29" s="210">
        <v>94</v>
      </c>
      <c r="E29" s="210">
        <v>99</v>
      </c>
      <c r="F29" s="210">
        <v>100</v>
      </c>
      <c r="G29" s="210">
        <f>H29-F29-E29-D29</f>
        <v>90</v>
      </c>
      <c r="H29" s="210">
        <v>383</v>
      </c>
      <c r="I29" s="210">
        <v>158</v>
      </c>
      <c r="J29" s="210">
        <v>159</v>
      </c>
      <c r="K29" s="210">
        <v>161</v>
      </c>
      <c r="L29" s="210">
        <f>M29-K29-J29-I29</f>
        <v>177</v>
      </c>
      <c r="M29" s="210">
        <v>655</v>
      </c>
      <c r="N29" s="210">
        <v>157</v>
      </c>
      <c r="O29" s="210">
        <v>156</v>
      </c>
      <c r="P29" s="210">
        <v>157</v>
      </c>
      <c r="Q29" s="210">
        <f>R29-P29-O29-N29</f>
        <v>163</v>
      </c>
      <c r="R29" s="210">
        <v>633</v>
      </c>
      <c r="S29" s="210">
        <v>150</v>
      </c>
      <c r="T29" s="210">
        <v>151</v>
      </c>
      <c r="U29" s="210">
        <v>147</v>
      </c>
      <c r="V29" s="210">
        <v>151</v>
      </c>
      <c r="W29" s="210">
        <v>599</v>
      </c>
      <c r="X29" s="210">
        <v>142</v>
      </c>
      <c r="Y29" s="210">
        <v>144</v>
      </c>
      <c r="Z29" s="210">
        <v>144</v>
      </c>
      <c r="AA29" s="210">
        <v>147</v>
      </c>
      <c r="AB29" s="210">
        <v>577</v>
      </c>
      <c r="AC29" s="19">
        <v>122</v>
      </c>
      <c r="AD29" s="19">
        <v>136</v>
      </c>
      <c r="AE29" s="19">
        <v>139</v>
      </c>
      <c r="AF29" s="19">
        <v>135</v>
      </c>
      <c r="AG29" s="210">
        <v>532</v>
      </c>
      <c r="AH29" s="19">
        <v>133</v>
      </c>
      <c r="AI29" s="19">
        <v>135</v>
      </c>
      <c r="AJ29" s="19">
        <v>143</v>
      </c>
      <c r="AK29" s="19">
        <v>138</v>
      </c>
      <c r="AL29" s="210">
        <v>549</v>
      </c>
      <c r="AM29" s="19">
        <v>138</v>
      </c>
      <c r="AN29" s="19">
        <v>134</v>
      </c>
      <c r="AO29" s="19">
        <v>135</v>
      </c>
      <c r="AP29" s="19">
        <v>145</v>
      </c>
      <c r="AQ29" s="210">
        <v>552</v>
      </c>
      <c r="AR29" s="19">
        <v>140</v>
      </c>
      <c r="AS29" s="19">
        <v>141</v>
      </c>
      <c r="AT29" s="137">
        <v>281</v>
      </c>
      <c r="AU29" s="19">
        <v>147</v>
      </c>
      <c r="AV29" s="276">
        <v>428</v>
      </c>
      <c r="AW29" s="19">
        <v>148</v>
      </c>
      <c r="AX29" s="210">
        <v>576</v>
      </c>
    </row>
    <row r="30" spans="2:50" ht="13.9" customHeight="1">
      <c r="B30" s="20" t="s">
        <v>5</v>
      </c>
      <c r="C30" s="211"/>
      <c r="D30" s="212"/>
      <c r="E30" s="212">
        <f>E29/D29-1</f>
        <v>5.3191489361702038E-2</v>
      </c>
      <c r="F30" s="212">
        <f>F29/E29-1</f>
        <v>1.0101010101010166E-2</v>
      </c>
      <c r="G30" s="212">
        <f>G29/F29-1</f>
        <v>-9.9999999999999978E-2</v>
      </c>
      <c r="H30" s="211"/>
      <c r="I30" s="212">
        <f>I29/G29-1</f>
        <v>0.75555555555555554</v>
      </c>
      <c r="J30" s="212">
        <f>J29/I29-1</f>
        <v>6.3291139240506666E-3</v>
      </c>
      <c r="K30" s="212">
        <f>K29/J29-1</f>
        <v>1.2578616352201255E-2</v>
      </c>
      <c r="L30" s="212">
        <f>L29/K29-1</f>
        <v>9.9378881987577605E-2</v>
      </c>
      <c r="M30" s="211"/>
      <c r="N30" s="212">
        <f>N29/L29-1</f>
        <v>-0.11299435028248583</v>
      </c>
      <c r="O30" s="212">
        <f>O29/N29-1</f>
        <v>-6.3694267515923553E-3</v>
      </c>
      <c r="P30" s="212">
        <f>P29/O29-1</f>
        <v>6.4102564102563875E-3</v>
      </c>
      <c r="Q30" s="212">
        <f>Q29/P29-1</f>
        <v>3.8216560509554132E-2</v>
      </c>
      <c r="R30" s="211"/>
      <c r="S30" s="212">
        <v>-7.9754601226993849E-2</v>
      </c>
      <c r="T30" s="212">
        <v>6.6666666666665986E-3</v>
      </c>
      <c r="U30" s="212">
        <v>-2.6490066225165587E-2</v>
      </c>
      <c r="V30" s="212">
        <v>2.7210884353741527E-2</v>
      </c>
      <c r="W30" s="211"/>
      <c r="X30" s="212">
        <v>-5.9602649006622488E-2</v>
      </c>
      <c r="Y30" s="212">
        <v>1.4084507042253502E-2</v>
      </c>
      <c r="Z30" s="212">
        <v>0</v>
      </c>
      <c r="AA30" s="212">
        <v>2.0833333333333259E-2</v>
      </c>
      <c r="AB30" s="211"/>
      <c r="AC30" s="21">
        <v>-0.17006802721088432</v>
      </c>
      <c r="AD30" s="21">
        <v>0.11475409836065564</v>
      </c>
      <c r="AE30" s="21">
        <v>2.2058823529411686E-2</v>
      </c>
      <c r="AF30" s="21">
        <v>-2.877697841726623E-2</v>
      </c>
      <c r="AG30" s="211"/>
      <c r="AH30" s="21">
        <v>-1.4814814814814836E-2</v>
      </c>
      <c r="AI30" s="21">
        <v>1.5037593984962516E-2</v>
      </c>
      <c r="AJ30" s="21">
        <v>5.9259259259259345E-2</v>
      </c>
      <c r="AK30" s="21">
        <v>-3.4965034965035002E-2</v>
      </c>
      <c r="AL30" s="211"/>
      <c r="AM30" s="21">
        <v>0</v>
      </c>
      <c r="AN30" s="21">
        <v>-2.8985507246376829E-2</v>
      </c>
      <c r="AO30" s="21">
        <v>7.4626865671640896E-3</v>
      </c>
      <c r="AP30" s="21">
        <v>7.4074074074074181E-2</v>
      </c>
      <c r="AQ30" s="211"/>
      <c r="AR30" s="21">
        <v>-3.4482758620689613E-2</v>
      </c>
      <c r="AS30" s="21">
        <v>7.1428571428571175E-3</v>
      </c>
      <c r="AT30" s="138"/>
      <c r="AU30" s="21">
        <v>4.2553191489361764E-2</v>
      </c>
      <c r="AV30" s="277"/>
      <c r="AW30" s="21">
        <v>6.8027210884353817E-3</v>
      </c>
      <c r="AX30" s="211"/>
    </row>
    <row r="31" spans="2:50" ht="13.9" customHeight="1">
      <c r="B31" s="20" t="s">
        <v>6</v>
      </c>
      <c r="C31" s="211"/>
      <c r="D31" s="211"/>
      <c r="E31" s="211"/>
      <c r="F31" s="211"/>
      <c r="G31" s="211"/>
      <c r="H31" s="211">
        <f t="shared" ref="H31:P31" si="4">H29/C29-1</f>
        <v>7.8947368421051767E-3</v>
      </c>
      <c r="I31" s="211">
        <f t="shared" si="4"/>
        <v>0.68085106382978733</v>
      </c>
      <c r="J31" s="211">
        <f t="shared" si="4"/>
        <v>0.60606060606060597</v>
      </c>
      <c r="K31" s="211">
        <f t="shared" si="4"/>
        <v>0.6100000000000001</v>
      </c>
      <c r="L31" s="211">
        <f t="shared" si="4"/>
        <v>0.96666666666666656</v>
      </c>
      <c r="M31" s="211">
        <f t="shared" si="4"/>
        <v>0.71018276762402088</v>
      </c>
      <c r="N31" s="211">
        <f t="shared" si="4"/>
        <v>-6.3291139240506666E-3</v>
      </c>
      <c r="O31" s="211">
        <f t="shared" si="4"/>
        <v>-1.8867924528301883E-2</v>
      </c>
      <c r="P31" s="211">
        <f t="shared" si="4"/>
        <v>-2.4844720496894457E-2</v>
      </c>
      <c r="Q31" s="211">
        <f>Q29/L29-1</f>
        <v>-7.9096045197740161E-2</v>
      </c>
      <c r="R31" s="211">
        <v>-3.3587786259541952E-2</v>
      </c>
      <c r="S31" s="211">
        <v>-4.4585987261146487E-2</v>
      </c>
      <c r="T31" s="211">
        <v>-3.2051282051282048E-2</v>
      </c>
      <c r="U31" s="211">
        <v>-6.3694267515923553E-2</v>
      </c>
      <c r="V31" s="211">
        <v>-7.361963190184051E-2</v>
      </c>
      <c r="W31" s="211">
        <v>-5.3712480252764649E-2</v>
      </c>
      <c r="X31" s="211">
        <v>-5.3333333333333344E-2</v>
      </c>
      <c r="Y31" s="211">
        <v>-4.635761589403975E-2</v>
      </c>
      <c r="Z31" s="211">
        <v>-2.0408163265306145E-2</v>
      </c>
      <c r="AA31" s="211">
        <v>-2.6490066225165587E-2</v>
      </c>
      <c r="AB31" s="211">
        <v>-3.6727879799666074E-2</v>
      </c>
      <c r="AC31" s="22">
        <v>-0.14084507042253525</v>
      </c>
      <c r="AD31" s="22">
        <v>-5.555555555555558E-2</v>
      </c>
      <c r="AE31" s="22">
        <v>-3.472222222222221E-2</v>
      </c>
      <c r="AF31" s="22">
        <v>-8.1632653061224469E-2</v>
      </c>
      <c r="AG31" s="211">
        <v>-7.7989601386481811E-2</v>
      </c>
      <c r="AH31" s="22">
        <v>9.0163934426229497E-2</v>
      </c>
      <c r="AI31" s="22">
        <v>-7.3529411764705621E-3</v>
      </c>
      <c r="AJ31" s="22">
        <v>2.877697841726623E-2</v>
      </c>
      <c r="AK31" s="22">
        <v>2.2222222222222143E-2</v>
      </c>
      <c r="AL31" s="211">
        <v>3.1954887218045069E-2</v>
      </c>
      <c r="AM31" s="22">
        <v>3.7593984962406068E-2</v>
      </c>
      <c r="AN31" s="22">
        <v>-7.4074074074074181E-3</v>
      </c>
      <c r="AO31" s="22">
        <v>-5.5944055944055937E-2</v>
      </c>
      <c r="AP31" s="22">
        <v>5.0724637681159424E-2</v>
      </c>
      <c r="AQ31" s="211">
        <v>5.464480874316946E-3</v>
      </c>
      <c r="AR31" s="22">
        <v>1.449275362318847E-2</v>
      </c>
      <c r="AS31" s="22">
        <v>5.2238805970149294E-2</v>
      </c>
      <c r="AT31" s="139"/>
      <c r="AU31" s="22">
        <v>8.8888888888888795E-2</v>
      </c>
      <c r="AV31" s="278"/>
      <c r="AW31" s="22">
        <v>2.0689655172413834E-2</v>
      </c>
      <c r="AX31" s="211">
        <v>4.3478260869565188E-2</v>
      </c>
    </row>
    <row r="32" spans="2:50" ht="13.9" customHeight="1">
      <c r="B32" s="12" t="s">
        <v>50</v>
      </c>
      <c r="C32" s="210">
        <v>378</v>
      </c>
      <c r="D32" s="210">
        <v>98</v>
      </c>
      <c r="E32" s="210">
        <v>94</v>
      </c>
      <c r="F32" s="210">
        <v>94</v>
      </c>
      <c r="G32" s="210">
        <f>H32-F32-E32-D32</f>
        <v>98</v>
      </c>
      <c r="H32" s="210">
        <v>384</v>
      </c>
      <c r="I32" s="210">
        <v>100</v>
      </c>
      <c r="J32" s="210">
        <v>95</v>
      </c>
      <c r="K32" s="210">
        <v>94</v>
      </c>
      <c r="L32" s="210">
        <f>M32-K32-J32-I32</f>
        <v>90</v>
      </c>
      <c r="M32" s="210">
        <v>379</v>
      </c>
      <c r="N32" s="210">
        <v>94</v>
      </c>
      <c r="O32" s="210">
        <v>95</v>
      </c>
      <c r="P32" s="210">
        <v>89</v>
      </c>
      <c r="Q32" s="210">
        <f>R32-P32-O32-N32</f>
        <v>95</v>
      </c>
      <c r="R32" s="210">
        <v>373</v>
      </c>
      <c r="S32" s="210">
        <v>90</v>
      </c>
      <c r="T32" s="210">
        <v>70</v>
      </c>
      <c r="U32" s="210">
        <v>79</v>
      </c>
      <c r="V32" s="210">
        <v>85</v>
      </c>
      <c r="W32" s="210">
        <v>324</v>
      </c>
      <c r="X32" s="210">
        <v>79</v>
      </c>
      <c r="Y32" s="210">
        <v>79</v>
      </c>
      <c r="Z32" s="210">
        <v>76</v>
      </c>
      <c r="AA32" s="210">
        <v>81</v>
      </c>
      <c r="AB32" s="210">
        <v>315</v>
      </c>
      <c r="AC32" s="19">
        <v>82</v>
      </c>
      <c r="AD32" s="19">
        <v>77</v>
      </c>
      <c r="AE32" s="19">
        <v>78</v>
      </c>
      <c r="AF32" s="19">
        <v>77</v>
      </c>
      <c r="AG32" s="210">
        <v>314</v>
      </c>
      <c r="AH32" s="19">
        <v>84</v>
      </c>
      <c r="AI32" s="19">
        <v>80</v>
      </c>
      <c r="AJ32" s="19">
        <v>82</v>
      </c>
      <c r="AK32" s="19">
        <v>77</v>
      </c>
      <c r="AL32" s="210">
        <v>323</v>
      </c>
      <c r="AM32" s="19">
        <v>83</v>
      </c>
      <c r="AN32" s="19">
        <v>79</v>
      </c>
      <c r="AO32" s="19">
        <v>80</v>
      </c>
      <c r="AP32" s="19">
        <v>79</v>
      </c>
      <c r="AQ32" s="210">
        <v>321</v>
      </c>
      <c r="AR32" s="19">
        <v>85</v>
      </c>
      <c r="AS32" s="19">
        <v>82</v>
      </c>
      <c r="AT32" s="137">
        <v>167</v>
      </c>
      <c r="AU32" s="19">
        <v>81</v>
      </c>
      <c r="AV32" s="276">
        <v>248</v>
      </c>
      <c r="AW32" s="19">
        <v>81</v>
      </c>
      <c r="AX32" s="210">
        <v>329</v>
      </c>
    </row>
    <row r="33" spans="2:50" ht="13.9" customHeight="1">
      <c r="B33" s="20" t="s">
        <v>5</v>
      </c>
      <c r="C33" s="211"/>
      <c r="D33" s="212"/>
      <c r="E33" s="212">
        <f>E32/D32-1</f>
        <v>-4.081632653061229E-2</v>
      </c>
      <c r="F33" s="212">
        <f>F32/E32-1</f>
        <v>0</v>
      </c>
      <c r="G33" s="212">
        <f>G32/F32-1</f>
        <v>4.2553191489361764E-2</v>
      </c>
      <c r="H33" s="211"/>
      <c r="I33" s="212">
        <f>I32/G32-1</f>
        <v>2.0408163265306145E-2</v>
      </c>
      <c r="J33" s="212">
        <f>J32/I32-1</f>
        <v>-5.0000000000000044E-2</v>
      </c>
      <c r="K33" s="212">
        <f>K32/J32-1</f>
        <v>-1.0526315789473717E-2</v>
      </c>
      <c r="L33" s="212">
        <f>L32/K32-1</f>
        <v>-4.2553191489361653E-2</v>
      </c>
      <c r="M33" s="211"/>
      <c r="N33" s="212">
        <f>N32/L32-1</f>
        <v>4.4444444444444509E-2</v>
      </c>
      <c r="O33" s="212">
        <f>O32/N32-1</f>
        <v>1.0638297872340496E-2</v>
      </c>
      <c r="P33" s="212">
        <f>P32/O32-1</f>
        <v>-6.315789473684208E-2</v>
      </c>
      <c r="Q33" s="212">
        <f>Q32/P32-1</f>
        <v>6.7415730337078594E-2</v>
      </c>
      <c r="R33" s="211"/>
      <c r="S33" s="212">
        <v>-5.2631578947368474E-2</v>
      </c>
      <c r="T33" s="212">
        <v>-0.22222222222222221</v>
      </c>
      <c r="U33" s="212">
        <v>0.12857142857142856</v>
      </c>
      <c r="V33" s="212">
        <v>7.5949367088607556E-2</v>
      </c>
      <c r="W33" s="211"/>
      <c r="X33" s="212">
        <v>-7.0588235294117618E-2</v>
      </c>
      <c r="Y33" s="212">
        <v>0</v>
      </c>
      <c r="Z33" s="212">
        <v>-3.7974683544303778E-2</v>
      </c>
      <c r="AA33" s="212">
        <v>6.578947368421062E-2</v>
      </c>
      <c r="AB33" s="211"/>
      <c r="AC33" s="21">
        <v>1.2345679012345734E-2</v>
      </c>
      <c r="AD33" s="21">
        <v>-6.0975609756097615E-2</v>
      </c>
      <c r="AE33" s="21">
        <v>1.298701298701288E-2</v>
      </c>
      <c r="AF33" s="21">
        <v>-1.2820512820512775E-2</v>
      </c>
      <c r="AG33" s="211"/>
      <c r="AH33" s="21">
        <v>9.0909090909090828E-2</v>
      </c>
      <c r="AI33" s="21">
        <v>-4.7619047619047672E-2</v>
      </c>
      <c r="AJ33" s="21">
        <v>2.4999999999999911E-2</v>
      </c>
      <c r="AK33" s="21">
        <v>-6.0975609756097615E-2</v>
      </c>
      <c r="AL33" s="211"/>
      <c r="AM33" s="21">
        <v>7.7922077922077948E-2</v>
      </c>
      <c r="AN33" s="21">
        <v>-4.8192771084337394E-2</v>
      </c>
      <c r="AO33" s="21">
        <v>1.2658227848101333E-2</v>
      </c>
      <c r="AP33" s="21">
        <v>-1.2499999999999956E-2</v>
      </c>
      <c r="AQ33" s="211"/>
      <c r="AR33" s="21">
        <v>7.5949367088607556E-2</v>
      </c>
      <c r="AS33" s="21">
        <v>-3.5294117647058809E-2</v>
      </c>
      <c r="AT33" s="138"/>
      <c r="AU33" s="21">
        <v>-1.2195121951219523E-2</v>
      </c>
      <c r="AV33" s="277"/>
      <c r="AW33" s="21">
        <v>0</v>
      </c>
      <c r="AX33" s="211"/>
    </row>
    <row r="34" spans="2:50" ht="13.9" customHeight="1">
      <c r="B34" s="20" t="s">
        <v>6</v>
      </c>
      <c r="C34" s="211"/>
      <c r="D34" s="211"/>
      <c r="E34" s="211"/>
      <c r="F34" s="211"/>
      <c r="G34" s="211"/>
      <c r="H34" s="211">
        <f t="shared" ref="H34:P34" si="5">H32/C32-1</f>
        <v>1.5873015873015817E-2</v>
      </c>
      <c r="I34" s="211">
        <f t="shared" si="5"/>
        <v>2.0408163265306145E-2</v>
      </c>
      <c r="J34" s="211">
        <f t="shared" si="5"/>
        <v>1.0638297872340496E-2</v>
      </c>
      <c r="K34" s="211">
        <f t="shared" si="5"/>
        <v>0</v>
      </c>
      <c r="L34" s="211">
        <f t="shared" si="5"/>
        <v>-8.1632653061224469E-2</v>
      </c>
      <c r="M34" s="211">
        <f t="shared" si="5"/>
        <v>-1.302083333333337E-2</v>
      </c>
      <c r="N34" s="211">
        <f t="shared" si="5"/>
        <v>-6.0000000000000053E-2</v>
      </c>
      <c r="O34" s="211">
        <f t="shared" si="5"/>
        <v>0</v>
      </c>
      <c r="P34" s="211">
        <f t="shared" si="5"/>
        <v>-5.3191489361702149E-2</v>
      </c>
      <c r="Q34" s="211">
        <f>Q32/L32-1</f>
        <v>5.555555555555558E-2</v>
      </c>
      <c r="R34" s="211">
        <v>-1.5831134564643801E-2</v>
      </c>
      <c r="S34" s="211">
        <v>-4.2553191489361653E-2</v>
      </c>
      <c r="T34" s="211">
        <v>-0.26315789473684215</v>
      </c>
      <c r="U34" s="211">
        <v>-0.11235955056179781</v>
      </c>
      <c r="V34" s="211">
        <v>-0.10526315789473684</v>
      </c>
      <c r="W34" s="211">
        <v>-0.13136729222520105</v>
      </c>
      <c r="X34" s="211">
        <v>-0.12222222222222223</v>
      </c>
      <c r="Y34" s="211">
        <v>0.12857142857142856</v>
      </c>
      <c r="Z34" s="211">
        <v>-3.7974683544303778E-2</v>
      </c>
      <c r="AA34" s="211">
        <v>-4.705882352941182E-2</v>
      </c>
      <c r="AB34" s="211">
        <v>-2.777777777777779E-2</v>
      </c>
      <c r="AC34" s="22">
        <v>3.7974683544303778E-2</v>
      </c>
      <c r="AD34" s="22">
        <v>-2.5316455696202556E-2</v>
      </c>
      <c r="AE34" s="22">
        <v>2.6315789473684292E-2</v>
      </c>
      <c r="AF34" s="22">
        <v>-4.9382716049382713E-2</v>
      </c>
      <c r="AG34" s="211">
        <v>-3.1746031746031633E-3</v>
      </c>
      <c r="AH34" s="22">
        <v>2.4390243902439046E-2</v>
      </c>
      <c r="AI34" s="22">
        <v>3.8961038961038863E-2</v>
      </c>
      <c r="AJ34" s="22">
        <v>5.1282051282051322E-2</v>
      </c>
      <c r="AK34" s="22">
        <v>0</v>
      </c>
      <c r="AL34" s="211">
        <v>2.866242038216571E-2</v>
      </c>
      <c r="AM34" s="22">
        <v>-1.1904761904761862E-2</v>
      </c>
      <c r="AN34" s="22">
        <v>-1.2499999999999956E-2</v>
      </c>
      <c r="AO34" s="22">
        <v>-2.4390243902439046E-2</v>
      </c>
      <c r="AP34" s="22">
        <v>2.5974025974025983E-2</v>
      </c>
      <c r="AQ34" s="211">
        <v>-6.1919504643962453E-3</v>
      </c>
      <c r="AR34" s="22">
        <v>2.4096385542168752E-2</v>
      </c>
      <c r="AS34" s="22">
        <v>3.7974683544303778E-2</v>
      </c>
      <c r="AT34" s="139"/>
      <c r="AU34" s="22">
        <v>1.2499999999999956E-2</v>
      </c>
      <c r="AV34" s="278"/>
      <c r="AW34" s="22">
        <v>2.5316455696202445E-2</v>
      </c>
      <c r="AX34" s="211">
        <v>2.4922118380062308E-2</v>
      </c>
    </row>
    <row r="35" spans="2:50" ht="13.9" customHeight="1">
      <c r="B35" s="12" t="s">
        <v>181</v>
      </c>
      <c r="C35" s="210">
        <v>1838</v>
      </c>
      <c r="D35" s="210">
        <v>431</v>
      </c>
      <c r="E35" s="210">
        <v>409</v>
      </c>
      <c r="F35" s="210">
        <v>419</v>
      </c>
      <c r="G35" s="210">
        <f>H35-F35-E35-D35</f>
        <v>439</v>
      </c>
      <c r="H35" s="210">
        <v>1698</v>
      </c>
      <c r="I35" s="210">
        <v>359</v>
      </c>
      <c r="J35" s="210">
        <v>345</v>
      </c>
      <c r="K35" s="210">
        <v>344</v>
      </c>
      <c r="L35" s="210">
        <f>M35-K35-J35-I35</f>
        <v>354</v>
      </c>
      <c r="M35" s="210">
        <v>1402</v>
      </c>
      <c r="N35" s="210">
        <v>337</v>
      </c>
      <c r="O35" s="210">
        <v>324</v>
      </c>
      <c r="P35" s="210">
        <v>348</v>
      </c>
      <c r="Q35" s="210">
        <f>R35-P35-O35-N35</f>
        <v>364</v>
      </c>
      <c r="R35" s="210">
        <v>1373</v>
      </c>
      <c r="S35" s="210">
        <v>345</v>
      </c>
      <c r="T35" s="210">
        <v>326</v>
      </c>
      <c r="U35" s="210">
        <v>346</v>
      </c>
      <c r="V35" s="210">
        <v>312</v>
      </c>
      <c r="W35" s="210">
        <v>1329</v>
      </c>
      <c r="X35" s="210">
        <v>352</v>
      </c>
      <c r="Y35" s="210">
        <v>341</v>
      </c>
      <c r="Z35" s="210">
        <v>299</v>
      </c>
      <c r="AA35" s="210">
        <v>354</v>
      </c>
      <c r="AB35" s="210">
        <v>1346</v>
      </c>
      <c r="AC35" s="19">
        <v>333</v>
      </c>
      <c r="AD35" s="19">
        <v>335</v>
      </c>
      <c r="AE35" s="19">
        <v>327</v>
      </c>
      <c r="AF35" s="19">
        <v>332</v>
      </c>
      <c r="AG35" s="210">
        <v>1327</v>
      </c>
      <c r="AH35" s="19">
        <v>351</v>
      </c>
      <c r="AI35" s="19">
        <v>319</v>
      </c>
      <c r="AJ35" s="19">
        <v>301</v>
      </c>
      <c r="AK35" s="19">
        <v>307</v>
      </c>
      <c r="AL35" s="210">
        <v>1278</v>
      </c>
      <c r="AM35" s="19">
        <v>316</v>
      </c>
      <c r="AN35" s="19">
        <v>293</v>
      </c>
      <c r="AO35" s="19">
        <v>277</v>
      </c>
      <c r="AP35" s="19">
        <v>292</v>
      </c>
      <c r="AQ35" s="210">
        <v>1178</v>
      </c>
      <c r="AR35" s="19">
        <v>296</v>
      </c>
      <c r="AS35" s="19">
        <v>264</v>
      </c>
      <c r="AT35" s="137">
        <v>560</v>
      </c>
      <c r="AU35" s="19">
        <v>235</v>
      </c>
      <c r="AV35" s="276">
        <v>795</v>
      </c>
      <c r="AW35" s="19">
        <v>266</v>
      </c>
      <c r="AX35" s="210">
        <v>1061</v>
      </c>
    </row>
    <row r="36" spans="2:50" ht="13.9" customHeight="1">
      <c r="B36" s="20" t="s">
        <v>5</v>
      </c>
      <c r="C36" s="211"/>
      <c r="D36" s="212"/>
      <c r="E36" s="212">
        <f>E35/D35-1</f>
        <v>-5.1044083526682105E-2</v>
      </c>
      <c r="F36" s="212">
        <f>F35/E35-1</f>
        <v>2.4449877750611249E-2</v>
      </c>
      <c r="G36" s="212">
        <f>G35/F35-1</f>
        <v>4.7732696897374804E-2</v>
      </c>
      <c r="H36" s="211"/>
      <c r="I36" s="212">
        <f>I35/G35-1</f>
        <v>-0.1822323462414579</v>
      </c>
      <c r="J36" s="212">
        <f>J35/I35-1</f>
        <v>-3.8997214484679632E-2</v>
      </c>
      <c r="K36" s="212">
        <f>K35/J35-1</f>
        <v>-2.8985507246376274E-3</v>
      </c>
      <c r="L36" s="212">
        <f>L35/K35-1</f>
        <v>2.9069767441860517E-2</v>
      </c>
      <c r="M36" s="211"/>
      <c r="N36" s="212">
        <f>N35/L35-1</f>
        <v>-4.8022598870056443E-2</v>
      </c>
      <c r="O36" s="212">
        <f>O35/N35-1</f>
        <v>-3.857566765578635E-2</v>
      </c>
      <c r="P36" s="212">
        <f>P35/O35-1</f>
        <v>7.4074074074074181E-2</v>
      </c>
      <c r="Q36" s="212">
        <f>Q35/P35-1</f>
        <v>4.5977011494252817E-2</v>
      </c>
      <c r="R36" s="211"/>
      <c r="S36" s="212">
        <v>-5.2197802197802234E-2</v>
      </c>
      <c r="T36" s="212">
        <v>-5.507246376811592E-2</v>
      </c>
      <c r="U36" s="212">
        <v>6.1349693251533832E-2</v>
      </c>
      <c r="V36" s="212">
        <v>-9.8265895953757232E-2</v>
      </c>
      <c r="W36" s="211"/>
      <c r="X36" s="212">
        <v>0.12820512820512819</v>
      </c>
      <c r="Y36" s="212">
        <v>-3.125E-2</v>
      </c>
      <c r="Z36" s="212">
        <v>-0.12316715542521994</v>
      </c>
      <c r="AA36" s="212">
        <v>0.18394648829431448</v>
      </c>
      <c r="AB36" s="211"/>
      <c r="AC36" s="21">
        <v>-5.9322033898305038E-2</v>
      </c>
      <c r="AD36" s="21">
        <v>6.0060060060060927E-3</v>
      </c>
      <c r="AE36" s="21">
        <v>-2.3880597014925398E-2</v>
      </c>
      <c r="AF36" s="21">
        <v>1.5290519877675823E-2</v>
      </c>
      <c r="AG36" s="211"/>
      <c r="AH36" s="21">
        <v>5.7228915662650648E-2</v>
      </c>
      <c r="AI36" s="21">
        <v>-9.1168091168091214E-2</v>
      </c>
      <c r="AJ36" s="21">
        <v>-5.6426332288401215E-2</v>
      </c>
      <c r="AK36" s="21">
        <v>1.9933554817275656E-2</v>
      </c>
      <c r="AL36" s="211"/>
      <c r="AM36" s="21">
        <v>2.931596091205213E-2</v>
      </c>
      <c r="AN36" s="21">
        <v>-7.2784810126582333E-2</v>
      </c>
      <c r="AO36" s="21">
        <v>-5.4607508532423243E-2</v>
      </c>
      <c r="AP36" s="21">
        <v>5.4151624548736566E-2</v>
      </c>
      <c r="AQ36" s="211"/>
      <c r="AR36" s="21">
        <v>1.3698630136986356E-2</v>
      </c>
      <c r="AS36" s="21">
        <v>-0.10810810810810811</v>
      </c>
      <c r="AT36" s="138"/>
      <c r="AU36" s="21">
        <v>-0.10984848484848486</v>
      </c>
      <c r="AV36" s="277"/>
      <c r="AW36" s="21">
        <v>0.13191489361702136</v>
      </c>
      <c r="AX36" s="211"/>
    </row>
    <row r="37" spans="2:50" ht="13.9" customHeight="1">
      <c r="B37" s="20" t="s">
        <v>6</v>
      </c>
      <c r="C37" s="211"/>
      <c r="D37" s="211"/>
      <c r="E37" s="211"/>
      <c r="F37" s="211"/>
      <c r="G37" s="211"/>
      <c r="H37" s="211">
        <f t="shared" ref="H37:P37" si="6">H35/C35-1</f>
        <v>-7.6169749727965197E-2</v>
      </c>
      <c r="I37" s="211">
        <f t="shared" si="6"/>
        <v>-0.16705336426914152</v>
      </c>
      <c r="J37" s="211">
        <f t="shared" si="6"/>
        <v>-0.15647921760391204</v>
      </c>
      <c r="K37" s="211">
        <f t="shared" si="6"/>
        <v>-0.17899761336515518</v>
      </c>
      <c r="L37" s="211">
        <f t="shared" si="6"/>
        <v>-0.193621867881549</v>
      </c>
      <c r="M37" s="211">
        <f t="shared" si="6"/>
        <v>-0.17432273262661957</v>
      </c>
      <c r="N37" s="211">
        <f t="shared" si="6"/>
        <v>-6.1281337047353723E-2</v>
      </c>
      <c r="O37" s="211">
        <f t="shared" si="6"/>
        <v>-6.0869565217391286E-2</v>
      </c>
      <c r="P37" s="211">
        <f t="shared" si="6"/>
        <v>1.1627906976744207E-2</v>
      </c>
      <c r="Q37" s="211">
        <f>Q35/L35-1</f>
        <v>2.8248587570621542E-2</v>
      </c>
      <c r="R37" s="211">
        <v>-2.0684736091298173E-2</v>
      </c>
      <c r="S37" s="211">
        <v>2.3738872403560762E-2</v>
      </c>
      <c r="T37" s="211">
        <v>6.1728395061728669E-3</v>
      </c>
      <c r="U37" s="211">
        <v>-5.7471264367816577E-3</v>
      </c>
      <c r="V37" s="211">
        <v>-0.1428571428571429</v>
      </c>
      <c r="W37" s="211">
        <v>-3.2046613255644618E-2</v>
      </c>
      <c r="X37" s="211">
        <v>2.0289855072463725E-2</v>
      </c>
      <c r="Y37" s="211">
        <v>4.6012269938650263E-2</v>
      </c>
      <c r="Z37" s="211">
        <v>-0.13583815028901736</v>
      </c>
      <c r="AA37" s="211">
        <v>0.13461538461538458</v>
      </c>
      <c r="AB37" s="211">
        <v>1.2791572610985735E-2</v>
      </c>
      <c r="AC37" s="22">
        <v>-5.3977272727272707E-2</v>
      </c>
      <c r="AD37" s="22">
        <v>-1.7595307917888547E-2</v>
      </c>
      <c r="AE37" s="22">
        <v>9.3645484949832714E-2</v>
      </c>
      <c r="AF37" s="22">
        <v>-6.2146892655367214E-2</v>
      </c>
      <c r="AG37" s="211">
        <v>-1.4115898959881079E-2</v>
      </c>
      <c r="AH37" s="22">
        <v>5.4054054054053946E-2</v>
      </c>
      <c r="AI37" s="22">
        <v>-4.7761194029850795E-2</v>
      </c>
      <c r="AJ37" s="22">
        <v>-7.9510703363914415E-2</v>
      </c>
      <c r="AK37" s="22">
        <v>-7.5301204819277157E-2</v>
      </c>
      <c r="AL37" s="211">
        <v>-3.6925395629238911E-2</v>
      </c>
      <c r="AM37" s="22">
        <v>-9.9715099715099731E-2</v>
      </c>
      <c r="AN37" s="22">
        <v>-8.1504702194357348E-2</v>
      </c>
      <c r="AO37" s="22">
        <v>-7.9734219269102957E-2</v>
      </c>
      <c r="AP37" s="22">
        <v>-4.8859934853420217E-2</v>
      </c>
      <c r="AQ37" s="211">
        <v>-7.8247261345852914E-2</v>
      </c>
      <c r="AR37" s="22">
        <v>-6.3291139240506333E-2</v>
      </c>
      <c r="AS37" s="22">
        <v>-9.8976109215017094E-2</v>
      </c>
      <c r="AT37" s="139"/>
      <c r="AU37" s="22">
        <v>-0.15162454873646214</v>
      </c>
      <c r="AV37" s="278"/>
      <c r="AW37" s="22">
        <v>-8.9041095890410982E-2</v>
      </c>
      <c r="AX37" s="211">
        <v>-9.9320882852292014E-2</v>
      </c>
    </row>
    <row r="38" spans="2:50" ht="13.9" customHeight="1">
      <c r="B38" s="20"/>
      <c r="C38" s="211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2"/>
      <c r="AD38" s="22"/>
      <c r="AE38" s="22"/>
      <c r="AF38" s="22"/>
      <c r="AG38" s="211"/>
      <c r="AH38" s="22"/>
      <c r="AI38" s="22"/>
      <c r="AJ38" s="22"/>
      <c r="AK38" s="22"/>
      <c r="AL38" s="211"/>
      <c r="AM38" s="22"/>
      <c r="AN38" s="22"/>
      <c r="AO38" s="22"/>
      <c r="AP38" s="22"/>
      <c r="AQ38" s="211"/>
      <c r="AR38" s="22"/>
      <c r="AS38" s="22"/>
      <c r="AT38" s="139"/>
      <c r="AU38" s="22"/>
      <c r="AV38" s="278"/>
      <c r="AW38" s="22"/>
      <c r="AX38" s="211"/>
    </row>
    <row r="39" spans="2:50" ht="13.9" customHeight="1">
      <c r="B39" s="12" t="s">
        <v>53</v>
      </c>
      <c r="C39" s="210">
        <v>2</v>
      </c>
      <c r="D39" s="210">
        <v>0</v>
      </c>
      <c r="E39" s="210">
        <v>0</v>
      </c>
      <c r="F39" s="210">
        <v>0</v>
      </c>
      <c r="G39" s="214">
        <v>9</v>
      </c>
      <c r="H39" s="215">
        <v>9</v>
      </c>
      <c r="I39" s="210">
        <v>0</v>
      </c>
      <c r="J39" s="214">
        <v>1</v>
      </c>
      <c r="K39" s="214">
        <v>7</v>
      </c>
      <c r="L39" s="214">
        <f>M39-K39-J39</f>
        <v>1</v>
      </c>
      <c r="M39" s="215">
        <v>9</v>
      </c>
      <c r="N39" s="210">
        <v>0</v>
      </c>
      <c r="O39" s="214">
        <v>3</v>
      </c>
      <c r="P39" s="214">
        <v>2</v>
      </c>
      <c r="Q39" s="214">
        <f>R39-P39-O39</f>
        <v>77</v>
      </c>
      <c r="R39" s="215">
        <v>82</v>
      </c>
      <c r="S39" s="214">
        <v>1</v>
      </c>
      <c r="T39" s="214">
        <v>-4</v>
      </c>
      <c r="U39" s="210">
        <v>0</v>
      </c>
      <c r="V39" s="214">
        <v>21</v>
      </c>
      <c r="W39" s="215">
        <v>18</v>
      </c>
      <c r="X39" s="210">
        <v>0</v>
      </c>
      <c r="Y39" s="214">
        <v>-3</v>
      </c>
      <c r="Z39" s="210">
        <v>0</v>
      </c>
      <c r="AA39" s="214">
        <v>12</v>
      </c>
      <c r="AB39" s="215">
        <v>9</v>
      </c>
      <c r="AC39" s="61">
        <v>-1</v>
      </c>
      <c r="AD39" s="61">
        <v>-1</v>
      </c>
      <c r="AE39" s="19">
        <v>4</v>
      </c>
      <c r="AF39" s="61">
        <v>31</v>
      </c>
      <c r="AG39" s="215">
        <v>33</v>
      </c>
      <c r="AH39" s="61">
        <v>-3</v>
      </c>
      <c r="AI39" s="61">
        <v>2</v>
      </c>
      <c r="AJ39" s="24">
        <v>0</v>
      </c>
      <c r="AK39" s="19">
        <v>3</v>
      </c>
      <c r="AL39" s="215">
        <v>2</v>
      </c>
      <c r="AM39" s="61">
        <v>6</v>
      </c>
      <c r="AN39" s="24">
        <v>0</v>
      </c>
      <c r="AO39" s="24">
        <v>3</v>
      </c>
      <c r="AP39" s="19">
        <v>5</v>
      </c>
      <c r="AQ39" s="215">
        <v>14</v>
      </c>
      <c r="AR39" s="61">
        <v>1</v>
      </c>
      <c r="AS39" s="24">
        <v>0</v>
      </c>
      <c r="AT39" s="140">
        <v>1</v>
      </c>
      <c r="AU39" s="61">
        <v>-2</v>
      </c>
      <c r="AV39" s="279">
        <v>-1</v>
      </c>
      <c r="AW39" s="19">
        <v>16</v>
      </c>
      <c r="AX39" s="215">
        <v>15</v>
      </c>
    </row>
    <row r="40" spans="2:50" ht="6.75" customHeight="1">
      <c r="B40" s="201"/>
      <c r="C40" s="283"/>
      <c r="D40" s="283"/>
      <c r="E40" s="283"/>
      <c r="F40" s="283"/>
      <c r="G40" s="122"/>
      <c r="H40" s="283"/>
      <c r="I40" s="283"/>
      <c r="J40" s="283"/>
      <c r="K40" s="283"/>
      <c r="L40" s="122"/>
      <c r="M40" s="283"/>
      <c r="N40" s="283"/>
      <c r="O40" s="283"/>
      <c r="P40" s="283"/>
      <c r="Q40" s="122"/>
      <c r="R40" s="283"/>
      <c r="S40" s="283"/>
      <c r="T40" s="283"/>
      <c r="U40" s="283"/>
      <c r="V40" s="122"/>
      <c r="W40" s="283"/>
      <c r="X40" s="283"/>
      <c r="Y40" s="283"/>
      <c r="Z40" s="283"/>
      <c r="AA40" s="122"/>
      <c r="AB40" s="283"/>
      <c r="AC40" s="283"/>
      <c r="AD40" s="283"/>
      <c r="AE40" s="283"/>
      <c r="AF40" s="122"/>
      <c r="AG40" s="283"/>
      <c r="AH40" s="283"/>
      <c r="AI40" s="283"/>
      <c r="AJ40" s="283"/>
      <c r="AK40" s="122"/>
      <c r="AL40" s="283"/>
      <c r="AM40" s="283"/>
      <c r="AN40" s="283"/>
      <c r="AO40" s="283"/>
      <c r="AP40" s="122"/>
      <c r="AQ40" s="283"/>
      <c r="AR40" s="283"/>
      <c r="AS40" s="283"/>
      <c r="AT40" s="283"/>
      <c r="AU40" s="283"/>
      <c r="AV40" s="283"/>
      <c r="AW40" s="122"/>
      <c r="AX40" s="283"/>
    </row>
    <row r="41" spans="2:50" ht="13.9" customHeight="1">
      <c r="B41" s="12" t="s">
        <v>164</v>
      </c>
      <c r="C41" s="210">
        <v>32</v>
      </c>
      <c r="D41" s="210">
        <v>5</v>
      </c>
      <c r="E41" s="210">
        <v>30</v>
      </c>
      <c r="F41" s="210">
        <v>22</v>
      </c>
      <c r="G41" s="210">
        <f>H41-F41-E41-D41</f>
        <v>15</v>
      </c>
      <c r="H41" s="213">
        <f>H8-H29-H32-H35-H39</f>
        <v>72</v>
      </c>
      <c r="I41" s="210">
        <v>2</v>
      </c>
      <c r="J41" s="210">
        <v>2</v>
      </c>
      <c r="K41" s="214">
        <v>-2</v>
      </c>
      <c r="L41" s="214">
        <f>M41-K41-J41-I41</f>
        <v>-4</v>
      </c>
      <c r="M41" s="213">
        <f>M8-M29-M32-M35-M39</f>
        <v>-2</v>
      </c>
      <c r="N41" s="214">
        <f>N8-N29-N32-N35-N39</f>
        <v>-10</v>
      </c>
      <c r="O41" s="214">
        <f>O8-O29-O32-O35-O39</f>
        <v>-8</v>
      </c>
      <c r="P41" s="214">
        <f>P8-P29-P32-P35-P39</f>
        <v>16</v>
      </c>
      <c r="Q41" s="214">
        <f>R41-P41-O41-N41</f>
        <v>-97</v>
      </c>
      <c r="R41" s="213">
        <v>-99</v>
      </c>
      <c r="S41" s="214">
        <v>-13</v>
      </c>
      <c r="T41" s="214">
        <v>-8</v>
      </c>
      <c r="U41" s="214">
        <v>-27</v>
      </c>
      <c r="V41" s="214">
        <v>-36</v>
      </c>
      <c r="W41" s="213">
        <v>-84</v>
      </c>
      <c r="X41" s="214">
        <v>-3</v>
      </c>
      <c r="Y41" s="214">
        <v>15</v>
      </c>
      <c r="Z41" s="214">
        <v>22</v>
      </c>
      <c r="AA41" s="214">
        <v>8</v>
      </c>
      <c r="AB41" s="213">
        <v>42</v>
      </c>
      <c r="AC41" s="61">
        <v>64</v>
      </c>
      <c r="AD41" s="61">
        <v>52</v>
      </c>
      <c r="AE41" s="61">
        <v>60</v>
      </c>
      <c r="AF41" s="61">
        <v>17</v>
      </c>
      <c r="AG41" s="213">
        <v>193</v>
      </c>
      <c r="AH41" s="61">
        <v>51</v>
      </c>
      <c r="AI41" s="61">
        <v>49</v>
      </c>
      <c r="AJ41" s="61">
        <v>59</v>
      </c>
      <c r="AK41" s="19">
        <v>37</v>
      </c>
      <c r="AL41" s="213">
        <v>196</v>
      </c>
      <c r="AM41" s="61">
        <v>40</v>
      </c>
      <c r="AN41" s="61">
        <v>55</v>
      </c>
      <c r="AO41" s="61">
        <v>52</v>
      </c>
      <c r="AP41" s="19">
        <v>42</v>
      </c>
      <c r="AQ41" s="213">
        <v>189</v>
      </c>
      <c r="AR41" s="61">
        <v>44</v>
      </c>
      <c r="AS41" s="61">
        <v>43</v>
      </c>
      <c r="AT41" s="137">
        <v>87</v>
      </c>
      <c r="AU41" s="61">
        <v>56</v>
      </c>
      <c r="AV41" s="276">
        <v>143</v>
      </c>
      <c r="AW41" s="19">
        <v>43</v>
      </c>
      <c r="AX41" s="213">
        <v>186</v>
      </c>
    </row>
    <row r="42" spans="2:50" ht="13.9" customHeight="1">
      <c r="B42" s="20" t="s">
        <v>5</v>
      </c>
      <c r="C42" s="211"/>
      <c r="D42" s="212"/>
      <c r="E42" s="212">
        <f>E41/D41-1</f>
        <v>5</v>
      </c>
      <c r="F42" s="212">
        <f>F41/E41-1</f>
        <v>-0.26666666666666672</v>
      </c>
      <c r="G42" s="212">
        <f>G41/F41-1</f>
        <v>-0.31818181818181823</v>
      </c>
      <c r="H42" s="211"/>
      <c r="I42" s="212">
        <f>I41/G41-1</f>
        <v>-0.8666666666666667</v>
      </c>
      <c r="J42" s="212">
        <f>J41/I41-1</f>
        <v>0</v>
      </c>
      <c r="K42" s="216" t="s">
        <v>23</v>
      </c>
      <c r="L42" s="212">
        <f>L41/K41-1</f>
        <v>1</v>
      </c>
      <c r="M42" s="211"/>
      <c r="N42" s="212">
        <f>N41/L41-1</f>
        <v>1.5</v>
      </c>
      <c r="O42" s="212">
        <f>O41/N41-1</f>
        <v>-0.19999999999999996</v>
      </c>
      <c r="P42" s="216" t="s">
        <v>23</v>
      </c>
      <c r="Q42" s="216" t="s">
        <v>23</v>
      </c>
      <c r="R42" s="211"/>
      <c r="S42" s="212">
        <v>-0.865979381443299</v>
      </c>
      <c r="T42" s="212">
        <v>-0.38461538461538458</v>
      </c>
      <c r="U42" s="212">
        <v>2.375</v>
      </c>
      <c r="V42" s="212">
        <v>0.33333333333333326</v>
      </c>
      <c r="W42" s="211"/>
      <c r="X42" s="212">
        <v>-0.91666666666666663</v>
      </c>
      <c r="Y42" s="216" t="s">
        <v>23</v>
      </c>
      <c r="Z42" s="212">
        <v>0.46666666666666656</v>
      </c>
      <c r="AA42" s="212">
        <v>-0.63636363636363635</v>
      </c>
      <c r="AB42" s="211"/>
      <c r="AC42" s="21">
        <v>7</v>
      </c>
      <c r="AD42" s="21">
        <v>-0.1875</v>
      </c>
      <c r="AE42" s="21">
        <v>0.15384615384615374</v>
      </c>
      <c r="AF42" s="21">
        <v>-0.71666666666666667</v>
      </c>
      <c r="AG42" s="211"/>
      <c r="AH42" s="21">
        <v>2</v>
      </c>
      <c r="AI42" s="21">
        <v>-3.9215686274509776E-2</v>
      </c>
      <c r="AJ42" s="21">
        <v>0.20408163265306123</v>
      </c>
      <c r="AK42" s="21">
        <v>-0.3728813559322034</v>
      </c>
      <c r="AL42" s="211"/>
      <c r="AM42" s="21">
        <v>8.1081081081081141E-2</v>
      </c>
      <c r="AN42" s="21">
        <v>0.375</v>
      </c>
      <c r="AO42" s="21">
        <v>-5.4545454545454564E-2</v>
      </c>
      <c r="AP42" s="21">
        <v>-0.19230769230769229</v>
      </c>
      <c r="AQ42" s="211"/>
      <c r="AR42" s="21">
        <v>4.7619047619047672E-2</v>
      </c>
      <c r="AS42" s="21">
        <v>-2.2727272727272707E-2</v>
      </c>
      <c r="AT42" s="138"/>
      <c r="AU42" s="21">
        <v>0.30232558139534893</v>
      </c>
      <c r="AV42" s="308"/>
      <c r="AW42" s="21">
        <v>-0.2321428571428571</v>
      </c>
      <c r="AX42" s="211"/>
    </row>
    <row r="43" spans="2:50" ht="13.9" customHeight="1">
      <c r="B43" s="20" t="s">
        <v>6</v>
      </c>
      <c r="C43" s="211"/>
      <c r="D43" s="211"/>
      <c r="E43" s="211"/>
      <c r="F43" s="211"/>
      <c r="G43" s="211"/>
      <c r="H43" s="211">
        <f>H41/C41-1</f>
        <v>1.25</v>
      </c>
      <c r="I43" s="211">
        <f>I41/D41-1</f>
        <v>-0.6</v>
      </c>
      <c r="J43" s="211">
        <f>J41/E41-1</f>
        <v>-0.93333333333333335</v>
      </c>
      <c r="K43" s="211">
        <f>K41/F41-1</f>
        <v>-1.0909090909090908</v>
      </c>
      <c r="L43" s="216" t="s">
        <v>23</v>
      </c>
      <c r="M43" s="217" t="s">
        <v>23</v>
      </c>
      <c r="N43" s="216" t="s">
        <v>23</v>
      </c>
      <c r="O43" s="216" t="s">
        <v>23</v>
      </c>
      <c r="P43" s="216" t="s">
        <v>23</v>
      </c>
      <c r="Q43" s="211">
        <f>Q41/L41-1</f>
        <v>23.25</v>
      </c>
      <c r="R43" s="217">
        <v>48.5</v>
      </c>
      <c r="S43" s="211">
        <v>0.30000000000000004</v>
      </c>
      <c r="T43" s="211">
        <v>0</v>
      </c>
      <c r="U43" s="216" t="s">
        <v>23</v>
      </c>
      <c r="V43" s="211">
        <v>-0.62886597938144329</v>
      </c>
      <c r="W43" s="217">
        <v>-0.15151515151515149</v>
      </c>
      <c r="X43" s="211">
        <v>-0.76923076923076916</v>
      </c>
      <c r="Y43" s="216" t="s">
        <v>23</v>
      </c>
      <c r="Z43" s="216" t="s">
        <v>23</v>
      </c>
      <c r="AA43" s="216" t="s">
        <v>23</v>
      </c>
      <c r="AB43" s="217" t="s">
        <v>23</v>
      </c>
      <c r="AC43" s="31" t="s">
        <v>23</v>
      </c>
      <c r="AD43" s="22">
        <v>2.4666666666666668</v>
      </c>
      <c r="AE43" s="22">
        <v>1.7272727272727271</v>
      </c>
      <c r="AF43" s="22">
        <v>1.125</v>
      </c>
      <c r="AG43" s="211">
        <v>3.5952380952380949</v>
      </c>
      <c r="AH43" s="22">
        <v>-0.203125</v>
      </c>
      <c r="AI43" s="22">
        <v>-5.7692307692307709E-2</v>
      </c>
      <c r="AJ43" s="22">
        <v>-1.6666666666666718E-2</v>
      </c>
      <c r="AK43" s="22">
        <v>1.1764705882352939</v>
      </c>
      <c r="AL43" s="211">
        <v>1.5544041450777257E-2</v>
      </c>
      <c r="AM43" s="22">
        <v>-0.21568627450980393</v>
      </c>
      <c r="AN43" s="22">
        <v>0.12244897959183665</v>
      </c>
      <c r="AO43" s="22">
        <v>-0.11864406779661019</v>
      </c>
      <c r="AP43" s="22">
        <v>0.13513513513513509</v>
      </c>
      <c r="AQ43" s="211">
        <v>-3.5714285714285698E-2</v>
      </c>
      <c r="AR43" s="22">
        <v>0.10000000000000009</v>
      </c>
      <c r="AS43" s="22">
        <v>-0.21818181818181814</v>
      </c>
      <c r="AT43" s="139"/>
      <c r="AU43" s="22">
        <v>7.6923076923076872E-2</v>
      </c>
      <c r="AV43" s="278"/>
      <c r="AW43" s="22">
        <v>2.3809523809523725E-2</v>
      </c>
      <c r="AX43" s="211">
        <v>-1.5873015873015928E-2</v>
      </c>
    </row>
    <row r="44" spans="2:50" ht="13.9" customHeight="1">
      <c r="B44" s="12" t="s">
        <v>7</v>
      </c>
      <c r="C44" s="210">
        <f>C29+C41</f>
        <v>412</v>
      </c>
      <c r="D44" s="218">
        <f>D41+D29</f>
        <v>99</v>
      </c>
      <c r="E44" s="218">
        <f>E41+E29</f>
        <v>129</v>
      </c>
      <c r="F44" s="218">
        <f>F41+F29</f>
        <v>122</v>
      </c>
      <c r="G44" s="210">
        <f>H44-F44-E44-D44</f>
        <v>105</v>
      </c>
      <c r="H44" s="210">
        <f>H29+H41</f>
        <v>455</v>
      </c>
      <c r="I44" s="218">
        <f>I41+I29</f>
        <v>160</v>
      </c>
      <c r="J44" s="218">
        <f>J41+J29</f>
        <v>161</v>
      </c>
      <c r="K44" s="218">
        <f>K41+K29</f>
        <v>159</v>
      </c>
      <c r="L44" s="210">
        <f>M44-K44-J44-I44</f>
        <v>173</v>
      </c>
      <c r="M44" s="210">
        <f>M29+M41</f>
        <v>653</v>
      </c>
      <c r="N44" s="218">
        <f>N41+N29</f>
        <v>147</v>
      </c>
      <c r="O44" s="218">
        <f>O41+O29</f>
        <v>148</v>
      </c>
      <c r="P44" s="218">
        <f>P41+P29</f>
        <v>173</v>
      </c>
      <c r="Q44" s="210">
        <f>R44-P44-O44-N44</f>
        <v>66</v>
      </c>
      <c r="R44" s="210">
        <v>534</v>
      </c>
      <c r="S44" s="218">
        <v>137</v>
      </c>
      <c r="T44" s="218">
        <v>143</v>
      </c>
      <c r="U44" s="218">
        <v>120</v>
      </c>
      <c r="V44" s="210">
        <v>115</v>
      </c>
      <c r="W44" s="210">
        <v>515</v>
      </c>
      <c r="X44" s="218">
        <v>139</v>
      </c>
      <c r="Y44" s="218">
        <v>159</v>
      </c>
      <c r="Z44" s="218">
        <v>166</v>
      </c>
      <c r="AA44" s="210">
        <v>155</v>
      </c>
      <c r="AB44" s="210">
        <v>619</v>
      </c>
      <c r="AC44" s="61">
        <v>186</v>
      </c>
      <c r="AD44" s="25">
        <v>188</v>
      </c>
      <c r="AE44" s="25">
        <v>199</v>
      </c>
      <c r="AF44" s="59">
        <v>152</v>
      </c>
      <c r="AG44" s="210">
        <v>725</v>
      </c>
      <c r="AH44" s="61">
        <v>184</v>
      </c>
      <c r="AI44" s="25">
        <v>184</v>
      </c>
      <c r="AJ44" s="25">
        <v>202</v>
      </c>
      <c r="AK44" s="19">
        <v>175</v>
      </c>
      <c r="AL44" s="210">
        <v>745</v>
      </c>
      <c r="AM44" s="61">
        <v>178</v>
      </c>
      <c r="AN44" s="61">
        <v>189</v>
      </c>
      <c r="AO44" s="25">
        <v>187</v>
      </c>
      <c r="AP44" s="19">
        <v>187</v>
      </c>
      <c r="AQ44" s="210">
        <v>741</v>
      </c>
      <c r="AR44" s="61">
        <v>184</v>
      </c>
      <c r="AS44" s="61">
        <v>184</v>
      </c>
      <c r="AT44" s="137">
        <v>368</v>
      </c>
      <c r="AU44" s="61">
        <v>203</v>
      </c>
      <c r="AV44" s="276">
        <v>571</v>
      </c>
      <c r="AW44" s="19">
        <v>191</v>
      </c>
      <c r="AX44" s="210">
        <v>762</v>
      </c>
    </row>
    <row r="45" spans="2:50" ht="13.9" customHeight="1">
      <c r="B45" s="20" t="s">
        <v>5</v>
      </c>
      <c r="C45" s="211"/>
      <c r="D45" s="212"/>
      <c r="E45" s="212">
        <f>E44/D44-1</f>
        <v>0.30303030303030298</v>
      </c>
      <c r="F45" s="212">
        <f>F44/E44-1</f>
        <v>-5.4263565891472854E-2</v>
      </c>
      <c r="G45" s="212">
        <f>G44/F44-1</f>
        <v>-0.13934426229508201</v>
      </c>
      <c r="H45" s="211"/>
      <c r="I45" s="212">
        <f>I44/G44-1</f>
        <v>0.52380952380952372</v>
      </c>
      <c r="J45" s="212">
        <f>J44/I44-1</f>
        <v>6.2500000000000888E-3</v>
      </c>
      <c r="K45" s="212">
        <f>K44/J44-1</f>
        <v>-1.2422360248447228E-2</v>
      </c>
      <c r="L45" s="212">
        <f>L44/K44-1</f>
        <v>8.8050314465408785E-2</v>
      </c>
      <c r="M45" s="211"/>
      <c r="N45" s="212">
        <f>N44/L44-1</f>
        <v>-0.1502890173410405</v>
      </c>
      <c r="O45" s="212">
        <f>O44/N44-1</f>
        <v>6.8027210884353817E-3</v>
      </c>
      <c r="P45" s="212">
        <f>P44/O44-1</f>
        <v>0.16891891891891886</v>
      </c>
      <c r="Q45" s="212">
        <f>Q44/P44-1</f>
        <v>-0.61849710982658967</v>
      </c>
      <c r="R45" s="211"/>
      <c r="S45" s="212">
        <v>1.0757575757575757</v>
      </c>
      <c r="T45" s="212">
        <v>4.3795620437956151E-2</v>
      </c>
      <c r="U45" s="212">
        <v>-0.16083916083916083</v>
      </c>
      <c r="V45" s="212">
        <v>-4.166666666666663E-2</v>
      </c>
      <c r="W45" s="211"/>
      <c r="X45" s="212">
        <v>0.20869565217391295</v>
      </c>
      <c r="Y45" s="212">
        <v>0.14388489208633093</v>
      </c>
      <c r="Z45" s="212">
        <v>4.4025157232704393E-2</v>
      </c>
      <c r="AA45" s="212">
        <v>-6.6265060240963902E-2</v>
      </c>
      <c r="AB45" s="211"/>
      <c r="AC45" s="21">
        <v>0.19999999999999996</v>
      </c>
      <c r="AD45" s="21">
        <v>1.0752688172043001E-2</v>
      </c>
      <c r="AE45" s="21">
        <v>5.8510638297872397E-2</v>
      </c>
      <c r="AF45" s="21">
        <v>-0.23618090452261309</v>
      </c>
      <c r="AG45" s="211"/>
      <c r="AH45" s="21">
        <v>0.21052631578947367</v>
      </c>
      <c r="AI45" s="21">
        <v>0</v>
      </c>
      <c r="AJ45" s="21">
        <v>9.7826086956521729E-2</v>
      </c>
      <c r="AK45" s="21">
        <v>-0.13366336633663367</v>
      </c>
      <c r="AL45" s="211"/>
      <c r="AM45" s="21">
        <v>1.7142857142857126E-2</v>
      </c>
      <c r="AN45" s="21">
        <v>6.1797752808988804E-2</v>
      </c>
      <c r="AO45" s="21">
        <v>-1.0582010582010581E-2</v>
      </c>
      <c r="AP45" s="21">
        <v>0</v>
      </c>
      <c r="AQ45" s="211"/>
      <c r="AR45" s="21">
        <v>-1.6042780748663055E-2</v>
      </c>
      <c r="AS45" s="21">
        <v>0</v>
      </c>
      <c r="AT45" s="138"/>
      <c r="AU45" s="21">
        <v>0.10326086956521729</v>
      </c>
      <c r="AV45" s="277"/>
      <c r="AW45" s="21">
        <v>-5.9113300492610876E-2</v>
      </c>
      <c r="AX45" s="211"/>
    </row>
    <row r="46" spans="2:50" ht="13.9" customHeight="1">
      <c r="B46" s="20" t="s">
        <v>6</v>
      </c>
      <c r="C46" s="211"/>
      <c r="D46" s="211"/>
      <c r="E46" s="211"/>
      <c r="F46" s="211"/>
      <c r="G46" s="211"/>
      <c r="H46" s="211">
        <f t="shared" ref="H46:P46" si="7">H44/C44-1</f>
        <v>0.10436893203883502</v>
      </c>
      <c r="I46" s="211">
        <f t="shared" si="7"/>
        <v>0.61616161616161613</v>
      </c>
      <c r="J46" s="211">
        <f t="shared" si="7"/>
        <v>0.24806201550387597</v>
      </c>
      <c r="K46" s="211">
        <f t="shared" si="7"/>
        <v>0.30327868852459017</v>
      </c>
      <c r="L46" s="211">
        <f t="shared" si="7"/>
        <v>0.64761904761904754</v>
      </c>
      <c r="M46" s="211">
        <f t="shared" si="7"/>
        <v>0.43516483516483517</v>
      </c>
      <c r="N46" s="211">
        <f t="shared" si="7"/>
        <v>-8.1250000000000044E-2</v>
      </c>
      <c r="O46" s="211">
        <f t="shared" si="7"/>
        <v>-8.0745341614906874E-2</v>
      </c>
      <c r="P46" s="211">
        <f t="shared" si="7"/>
        <v>8.8050314465408785E-2</v>
      </c>
      <c r="Q46" s="211">
        <f>Q44/L44-1</f>
        <v>-0.61849710982658967</v>
      </c>
      <c r="R46" s="211">
        <v>-0.18223583460949466</v>
      </c>
      <c r="S46" s="211">
        <v>-6.8027210884353706E-2</v>
      </c>
      <c r="T46" s="211">
        <v>-3.3783783783783772E-2</v>
      </c>
      <c r="U46" s="211">
        <v>-0.30635838150289019</v>
      </c>
      <c r="V46" s="211">
        <v>0.74242424242424243</v>
      </c>
      <c r="W46" s="211">
        <v>-3.5580524344569264E-2</v>
      </c>
      <c r="X46" s="211">
        <v>1.4598540145985384E-2</v>
      </c>
      <c r="Y46" s="211">
        <v>0.11188811188811187</v>
      </c>
      <c r="Z46" s="211">
        <v>0.3833333333333333</v>
      </c>
      <c r="AA46" s="211">
        <v>0.34782608695652173</v>
      </c>
      <c r="AB46" s="211">
        <v>0.20194174757281558</v>
      </c>
      <c r="AC46" s="22">
        <v>0.33812949640287759</v>
      </c>
      <c r="AD46" s="22">
        <v>0.1823899371069182</v>
      </c>
      <c r="AE46" s="22">
        <v>0.1987951807228916</v>
      </c>
      <c r="AF46" s="22">
        <v>-1.9354838709677469E-2</v>
      </c>
      <c r="AG46" s="211">
        <v>0.17124394184168024</v>
      </c>
      <c r="AH46" s="22">
        <v>-1.0752688172043001E-2</v>
      </c>
      <c r="AI46" s="22">
        <v>-2.1276595744680882E-2</v>
      </c>
      <c r="AJ46" s="22">
        <v>1.5075376884422065E-2</v>
      </c>
      <c r="AK46" s="22">
        <v>0.15131578947368429</v>
      </c>
      <c r="AL46" s="211">
        <v>2.7586206896551779E-2</v>
      </c>
      <c r="AM46" s="22">
        <v>-3.2608695652173947E-2</v>
      </c>
      <c r="AN46" s="22">
        <v>2.7173913043478271E-2</v>
      </c>
      <c r="AO46" s="22">
        <v>-7.4257425742574212E-2</v>
      </c>
      <c r="AP46" s="22">
        <v>6.8571428571428505E-2</v>
      </c>
      <c r="AQ46" s="211">
        <v>-5.3691275167785379E-3</v>
      </c>
      <c r="AR46" s="22">
        <v>3.3707865168539408E-2</v>
      </c>
      <c r="AS46" s="22">
        <v>-2.6455026455026509E-2</v>
      </c>
      <c r="AT46" s="139"/>
      <c r="AU46" s="22">
        <v>8.5561497326203106E-2</v>
      </c>
      <c r="AV46" s="278"/>
      <c r="AW46" s="22">
        <v>2.1390374331550888E-2</v>
      </c>
      <c r="AX46" s="211">
        <v>2.8340080971659853E-2</v>
      </c>
    </row>
    <row r="47" spans="2:50" ht="13.9" customHeight="1">
      <c r="B47" s="34" t="s">
        <v>237</v>
      </c>
      <c r="C47" s="210">
        <f t="shared" ref="C47:Q47" si="8">C44+C39</f>
        <v>414</v>
      </c>
      <c r="D47" s="218">
        <f t="shared" si="8"/>
        <v>99</v>
      </c>
      <c r="E47" s="218">
        <f t="shared" si="8"/>
        <v>129</v>
      </c>
      <c r="F47" s="218">
        <f t="shared" si="8"/>
        <v>122</v>
      </c>
      <c r="G47" s="218">
        <f t="shared" si="8"/>
        <v>114</v>
      </c>
      <c r="H47" s="210">
        <f t="shared" si="8"/>
        <v>464</v>
      </c>
      <c r="I47" s="218">
        <f t="shared" si="8"/>
        <v>160</v>
      </c>
      <c r="J47" s="218">
        <f t="shared" si="8"/>
        <v>162</v>
      </c>
      <c r="K47" s="218">
        <f t="shared" si="8"/>
        <v>166</v>
      </c>
      <c r="L47" s="218">
        <f t="shared" si="8"/>
        <v>174</v>
      </c>
      <c r="M47" s="210">
        <f t="shared" si="8"/>
        <v>662</v>
      </c>
      <c r="N47" s="218">
        <f t="shared" si="8"/>
        <v>147</v>
      </c>
      <c r="O47" s="218">
        <f t="shared" si="8"/>
        <v>151</v>
      </c>
      <c r="P47" s="218">
        <f t="shared" si="8"/>
        <v>175</v>
      </c>
      <c r="Q47" s="218">
        <f t="shared" si="8"/>
        <v>143</v>
      </c>
      <c r="R47" s="210">
        <v>616</v>
      </c>
      <c r="S47" s="218">
        <v>138</v>
      </c>
      <c r="T47" s="218">
        <v>139</v>
      </c>
      <c r="U47" s="218">
        <v>120</v>
      </c>
      <c r="V47" s="218">
        <v>136</v>
      </c>
      <c r="W47" s="210">
        <v>533</v>
      </c>
      <c r="X47" s="214">
        <v>140</v>
      </c>
      <c r="Y47" s="214">
        <v>158</v>
      </c>
      <c r="Z47" s="214">
        <v>167</v>
      </c>
      <c r="AA47" s="214">
        <v>168</v>
      </c>
      <c r="AB47" s="215">
        <v>633</v>
      </c>
      <c r="AC47" s="61">
        <v>185</v>
      </c>
      <c r="AD47" s="61">
        <v>187</v>
      </c>
      <c r="AE47" s="61">
        <v>205</v>
      </c>
      <c r="AF47" s="61">
        <v>184</v>
      </c>
      <c r="AG47" s="215">
        <v>761</v>
      </c>
      <c r="AH47" s="61">
        <v>182</v>
      </c>
      <c r="AI47" s="61">
        <v>187</v>
      </c>
      <c r="AJ47" s="61">
        <v>203</v>
      </c>
      <c r="AK47" s="61">
        <v>178</v>
      </c>
      <c r="AL47" s="215">
        <v>750</v>
      </c>
      <c r="AM47" s="61">
        <v>185</v>
      </c>
      <c r="AN47" s="61">
        <v>191</v>
      </c>
      <c r="AO47" s="61">
        <v>191</v>
      </c>
      <c r="AP47" s="19">
        <v>193</v>
      </c>
      <c r="AQ47" s="215">
        <v>760</v>
      </c>
      <c r="AR47" s="61">
        <v>186</v>
      </c>
      <c r="AS47" s="61">
        <v>186</v>
      </c>
      <c r="AT47" s="137">
        <v>372</v>
      </c>
      <c r="AU47" s="61">
        <v>202</v>
      </c>
      <c r="AV47" s="276">
        <v>574</v>
      </c>
      <c r="AW47" s="19">
        <v>208</v>
      </c>
      <c r="AX47" s="215">
        <v>782</v>
      </c>
    </row>
    <row r="48" spans="2:50" ht="13.9" customHeight="1">
      <c r="B48" s="20" t="s">
        <v>5</v>
      </c>
      <c r="C48" s="211"/>
      <c r="D48" s="212"/>
      <c r="E48" s="212">
        <f>E47/D47-1</f>
        <v>0.30303030303030298</v>
      </c>
      <c r="F48" s="212">
        <f>F47/E47-1</f>
        <v>-5.4263565891472854E-2</v>
      </c>
      <c r="G48" s="212">
        <f>G47/F47-1</f>
        <v>-6.557377049180324E-2</v>
      </c>
      <c r="H48" s="211"/>
      <c r="I48" s="212">
        <f>I47/G47-1</f>
        <v>0.40350877192982448</v>
      </c>
      <c r="J48" s="212">
        <f>J47/I47-1</f>
        <v>1.2499999999999956E-2</v>
      </c>
      <c r="K48" s="212">
        <f>K47/J47-1</f>
        <v>2.4691358024691468E-2</v>
      </c>
      <c r="L48" s="212">
        <f>L47/K47-1</f>
        <v>4.8192771084337283E-2</v>
      </c>
      <c r="M48" s="211"/>
      <c r="N48" s="212">
        <f>N47/L47-1</f>
        <v>-0.15517241379310343</v>
      </c>
      <c r="O48" s="212">
        <f>O47/N47-1</f>
        <v>2.7210884353741527E-2</v>
      </c>
      <c r="P48" s="212">
        <f>P47/O47-1</f>
        <v>0.1589403973509933</v>
      </c>
      <c r="Q48" s="212">
        <f>Q47/P47-1</f>
        <v>-0.18285714285714283</v>
      </c>
      <c r="R48" s="211"/>
      <c r="S48" s="212">
        <v>-3.4965034965035002E-2</v>
      </c>
      <c r="T48" s="212">
        <v>7.2463768115942351E-3</v>
      </c>
      <c r="U48" s="212">
        <v>-0.13669064748201443</v>
      </c>
      <c r="V48" s="212">
        <v>0.1333333333333333</v>
      </c>
      <c r="W48" s="211"/>
      <c r="X48" s="212">
        <v>2.9411764705882248E-2</v>
      </c>
      <c r="Y48" s="212">
        <v>0.12857142857142856</v>
      </c>
      <c r="Z48" s="212">
        <v>5.6962025316455778E-2</v>
      </c>
      <c r="AA48" s="212">
        <v>5.9880239520957446E-3</v>
      </c>
      <c r="AB48" s="211"/>
      <c r="AC48" s="21">
        <v>0.10119047619047628</v>
      </c>
      <c r="AD48" s="21">
        <v>1.08108108108107E-2</v>
      </c>
      <c r="AE48" s="21">
        <v>9.625668449197855E-2</v>
      </c>
      <c r="AF48" s="21">
        <v>-0.10243902439024388</v>
      </c>
      <c r="AG48" s="211"/>
      <c r="AH48" s="21">
        <v>-1.0869565217391353E-2</v>
      </c>
      <c r="AI48" s="21">
        <v>2.7472527472527375E-2</v>
      </c>
      <c r="AJ48" s="21">
        <v>8.5561497326203106E-2</v>
      </c>
      <c r="AK48" s="21">
        <v>-0.12315270935960587</v>
      </c>
      <c r="AL48" s="211"/>
      <c r="AM48" s="21">
        <v>3.9325842696629199E-2</v>
      </c>
      <c r="AN48" s="21">
        <v>3.2432432432432323E-2</v>
      </c>
      <c r="AO48" s="21">
        <v>0</v>
      </c>
      <c r="AP48" s="21">
        <v>1.0471204188481575E-2</v>
      </c>
      <c r="AQ48" s="211"/>
      <c r="AR48" s="21">
        <v>-3.6269430051813489E-2</v>
      </c>
      <c r="AS48" s="21">
        <v>0</v>
      </c>
      <c r="AT48" s="138"/>
      <c r="AU48" s="21">
        <v>8.602150537634401E-2</v>
      </c>
      <c r="AV48" s="277"/>
      <c r="AW48" s="21">
        <v>2.9702970297029729E-2</v>
      </c>
      <c r="AX48" s="211"/>
    </row>
    <row r="49" spans="2:50" ht="13.9" customHeight="1">
      <c r="B49" s="20" t="s">
        <v>6</v>
      </c>
      <c r="C49" s="211"/>
      <c r="D49" s="211"/>
      <c r="E49" s="211"/>
      <c r="F49" s="211"/>
      <c r="G49" s="211"/>
      <c r="H49" s="211">
        <f t="shared" ref="H49:Q49" si="9">H47/C47-1</f>
        <v>0.12077294685990347</v>
      </c>
      <c r="I49" s="211">
        <f t="shared" si="9"/>
        <v>0.61616161616161613</v>
      </c>
      <c r="J49" s="211">
        <f t="shared" si="9"/>
        <v>0.2558139534883721</v>
      </c>
      <c r="K49" s="211">
        <f t="shared" si="9"/>
        <v>0.36065573770491799</v>
      </c>
      <c r="L49" s="211">
        <f t="shared" si="9"/>
        <v>0.52631578947368429</v>
      </c>
      <c r="M49" s="211">
        <f t="shared" si="9"/>
        <v>0.42672413793103448</v>
      </c>
      <c r="N49" s="211">
        <f t="shared" si="9"/>
        <v>-8.1250000000000044E-2</v>
      </c>
      <c r="O49" s="211">
        <f t="shared" si="9"/>
        <v>-6.7901234567901203E-2</v>
      </c>
      <c r="P49" s="211">
        <f t="shared" si="9"/>
        <v>5.4216867469879526E-2</v>
      </c>
      <c r="Q49" s="211">
        <f t="shared" si="9"/>
        <v>-0.17816091954022983</v>
      </c>
      <c r="R49" s="211">
        <v>-6.9486404833836835E-2</v>
      </c>
      <c r="S49" s="211">
        <v>-6.1224489795918324E-2</v>
      </c>
      <c r="T49" s="211">
        <v>-7.9470198675496651E-2</v>
      </c>
      <c r="U49" s="211">
        <v>-0.31428571428571428</v>
      </c>
      <c r="V49" s="211">
        <v>-4.8951048951048959E-2</v>
      </c>
      <c r="W49" s="211">
        <v>-0.13474025974025972</v>
      </c>
      <c r="X49" s="211">
        <v>1.449275362318847E-2</v>
      </c>
      <c r="Y49" s="211">
        <v>0.13669064748201443</v>
      </c>
      <c r="Z49" s="211">
        <v>0.39166666666666661</v>
      </c>
      <c r="AA49" s="211">
        <v>0.23529411764705888</v>
      </c>
      <c r="AB49" s="211">
        <v>0.18761726078799246</v>
      </c>
      <c r="AC49" s="22">
        <v>0.3214285714285714</v>
      </c>
      <c r="AD49" s="22">
        <v>0.18354430379746844</v>
      </c>
      <c r="AE49" s="22">
        <v>0.22754491017964074</v>
      </c>
      <c r="AF49" s="22">
        <v>9.5238095238095344E-2</v>
      </c>
      <c r="AG49" s="211">
        <v>0.20221169036334907</v>
      </c>
      <c r="AH49" s="22">
        <v>-1.6216216216216162E-2</v>
      </c>
      <c r="AI49" s="22">
        <v>0</v>
      </c>
      <c r="AJ49" s="22">
        <v>-9.7560975609756184E-3</v>
      </c>
      <c r="AK49" s="22">
        <v>-3.2608695652173947E-2</v>
      </c>
      <c r="AL49" s="211">
        <v>-1.4454664914586024E-2</v>
      </c>
      <c r="AM49" s="22">
        <v>1.6483516483516425E-2</v>
      </c>
      <c r="AN49" s="22">
        <v>2.1390374331550888E-2</v>
      </c>
      <c r="AO49" s="22">
        <v>-5.9113300492610876E-2</v>
      </c>
      <c r="AP49" s="22">
        <v>8.4269662921348409E-2</v>
      </c>
      <c r="AQ49" s="211">
        <v>1.3333333333333419E-2</v>
      </c>
      <c r="AR49" s="22">
        <v>5.4054054054053502E-3</v>
      </c>
      <c r="AS49" s="22">
        <v>-2.6178010471204161E-2</v>
      </c>
      <c r="AT49" s="139"/>
      <c r="AU49" s="22">
        <v>5.7591623036649109E-2</v>
      </c>
      <c r="AV49" s="278"/>
      <c r="AW49" s="22">
        <v>7.7720207253886064E-2</v>
      </c>
      <c r="AX49" s="211">
        <v>2.8947368421052611E-2</v>
      </c>
    </row>
    <row r="50" spans="2:50" ht="13.9" customHeight="1">
      <c r="B50" s="12" t="s">
        <v>272</v>
      </c>
      <c r="C50" s="219">
        <f t="shared" ref="C50:Q50" si="10">C47/C8</f>
        <v>0.15741444866920151</v>
      </c>
      <c r="D50" s="219">
        <f t="shared" si="10"/>
        <v>0.15764331210191082</v>
      </c>
      <c r="E50" s="219">
        <f t="shared" si="10"/>
        <v>0.20411392405063292</v>
      </c>
      <c r="F50" s="219">
        <f t="shared" si="10"/>
        <v>0.1921259842519685</v>
      </c>
      <c r="G50" s="219">
        <f t="shared" si="10"/>
        <v>0.17511520737327188</v>
      </c>
      <c r="H50" s="219">
        <f t="shared" si="10"/>
        <v>0.18224666142969365</v>
      </c>
      <c r="I50" s="219">
        <f t="shared" si="10"/>
        <v>0.25848142164781907</v>
      </c>
      <c r="J50" s="219">
        <f t="shared" si="10"/>
        <v>0.26910299003322258</v>
      </c>
      <c r="K50" s="219">
        <f t="shared" si="10"/>
        <v>0.27483443708609273</v>
      </c>
      <c r="L50" s="219">
        <f t="shared" si="10"/>
        <v>0.28155339805825241</v>
      </c>
      <c r="M50" s="219">
        <f t="shared" si="10"/>
        <v>0.27097830536225953</v>
      </c>
      <c r="N50" s="219">
        <f t="shared" si="10"/>
        <v>0.25432525951557095</v>
      </c>
      <c r="O50" s="219">
        <f t="shared" si="10"/>
        <v>0.26491228070175438</v>
      </c>
      <c r="P50" s="219">
        <f t="shared" si="10"/>
        <v>0.28594771241830064</v>
      </c>
      <c r="Q50" s="219">
        <f t="shared" si="10"/>
        <v>0.23754152823920266</v>
      </c>
      <c r="R50" s="219">
        <v>0.26079593564775616</v>
      </c>
      <c r="S50" s="219">
        <v>0.24083769633507854</v>
      </c>
      <c r="T50" s="219">
        <v>0.25981308411214954</v>
      </c>
      <c r="U50" s="219">
        <v>0.22018348623853212</v>
      </c>
      <c r="V50" s="219">
        <v>0.25515947467166977</v>
      </c>
      <c r="W50" s="219">
        <v>0.24382433668801465</v>
      </c>
      <c r="X50" s="219">
        <v>0.24561403508771928</v>
      </c>
      <c r="Y50" s="219">
        <v>0.27430555555555558</v>
      </c>
      <c r="Z50" s="219">
        <v>0.30868761552680224</v>
      </c>
      <c r="AA50" s="219">
        <v>0.27906976744186046</v>
      </c>
      <c r="AB50" s="219">
        <v>0.27653997378768019</v>
      </c>
      <c r="AC50" s="155">
        <v>0.30833333333333335</v>
      </c>
      <c r="AD50" s="155">
        <v>0.31218697829716191</v>
      </c>
      <c r="AE50" s="155">
        <v>0.33717105263157893</v>
      </c>
      <c r="AF50" s="155">
        <v>0.3108108108108108</v>
      </c>
      <c r="AG50" s="219">
        <v>0.31721550646102542</v>
      </c>
      <c r="AH50" s="155">
        <v>0.29545454545454547</v>
      </c>
      <c r="AI50" s="164">
        <v>0.31965811965811963</v>
      </c>
      <c r="AJ50" s="165">
        <v>0.347008547008547</v>
      </c>
      <c r="AK50" s="155">
        <v>0.31672597864768681</v>
      </c>
      <c r="AL50" s="219">
        <v>0.3194207836456559</v>
      </c>
      <c r="AM50" s="155">
        <v>0.31732418524871353</v>
      </c>
      <c r="AN50" s="164">
        <v>0.34046345811051693</v>
      </c>
      <c r="AO50" s="165">
        <v>0.34917733089579522</v>
      </c>
      <c r="AP50" s="155">
        <v>0.34280639431616339</v>
      </c>
      <c r="AQ50" s="219">
        <v>0.33717834960070986</v>
      </c>
      <c r="AR50" s="155">
        <v>0.32862190812720848</v>
      </c>
      <c r="AS50" s="164">
        <v>0.35094339622641507</v>
      </c>
      <c r="AT50" s="156">
        <v>0.33941605839416056</v>
      </c>
      <c r="AU50" s="165">
        <v>0.390715667311412</v>
      </c>
      <c r="AV50" s="309">
        <v>0.35585864848109111</v>
      </c>
      <c r="AW50" s="155">
        <v>0.37545126353790614</v>
      </c>
      <c r="AX50" s="219">
        <v>0.36086755883710198</v>
      </c>
    </row>
    <row r="51" spans="2:50" ht="13.9" customHeight="1">
      <c r="B51" s="12" t="s">
        <v>397</v>
      </c>
      <c r="C51" s="239"/>
      <c r="D51" s="239"/>
      <c r="E51" s="239"/>
      <c r="F51" s="239"/>
      <c r="G51" s="239"/>
      <c r="H51" s="239"/>
      <c r="I51" s="239"/>
      <c r="J51" s="239"/>
      <c r="K51" s="239"/>
      <c r="L51" s="240"/>
      <c r="M51" s="241"/>
      <c r="N51" s="240"/>
      <c r="O51" s="240"/>
      <c r="P51" s="240"/>
      <c r="Q51" s="239"/>
      <c r="R51" s="241"/>
      <c r="S51" s="239"/>
      <c r="T51" s="239"/>
      <c r="U51" s="240"/>
      <c r="V51" s="239"/>
      <c r="W51" s="241"/>
      <c r="X51" s="239"/>
      <c r="Y51" s="240"/>
      <c r="Z51" s="240"/>
      <c r="AA51" s="240"/>
      <c r="AB51" s="241"/>
      <c r="AC51" s="166">
        <v>0.37987679671457908</v>
      </c>
      <c r="AD51" s="166">
        <v>0.37931034482758619</v>
      </c>
      <c r="AE51" s="166">
        <v>0.40836653386454186</v>
      </c>
      <c r="AF51" s="166">
        <v>0.37551020408163266</v>
      </c>
      <c r="AG51" s="242">
        <v>0.38590263691683568</v>
      </c>
      <c r="AH51" s="166">
        <v>0.36039603960396038</v>
      </c>
      <c r="AI51" s="166">
        <v>0.38716356107660455</v>
      </c>
      <c r="AJ51" s="166">
        <v>0.40118577075098816</v>
      </c>
      <c r="AK51" s="166">
        <v>0.36853002070393376</v>
      </c>
      <c r="AL51" s="242">
        <v>0.37936267071320184</v>
      </c>
      <c r="AM51" s="166">
        <v>0.36852589641434264</v>
      </c>
      <c r="AN51" s="166">
        <v>0.39059304703476483</v>
      </c>
      <c r="AO51" s="166">
        <v>0.37747035573122528</v>
      </c>
      <c r="AP51" s="166">
        <v>0.36832061068702288</v>
      </c>
      <c r="AQ51" s="242">
        <v>0.37605145967342901</v>
      </c>
      <c r="AR51" s="166">
        <v>0.35428571428571426</v>
      </c>
      <c r="AS51" s="166">
        <v>0.375</v>
      </c>
      <c r="AT51" s="158">
        <v>0.36434867776689522</v>
      </c>
      <c r="AU51" s="166">
        <v>0.390715667311412</v>
      </c>
      <c r="AV51" s="309">
        <v>0.37321196358907671</v>
      </c>
      <c r="AW51" s="166">
        <v>0.37545126353790614</v>
      </c>
      <c r="AX51" s="242">
        <v>0.37380497131931167</v>
      </c>
    </row>
    <row r="52" spans="2:50" ht="13.9" customHeight="1">
      <c r="B52" s="12"/>
      <c r="C52" s="239"/>
      <c r="D52" s="239"/>
      <c r="E52" s="239"/>
      <c r="F52" s="239"/>
      <c r="G52" s="239"/>
      <c r="H52" s="239"/>
      <c r="I52" s="239"/>
      <c r="J52" s="239"/>
      <c r="K52" s="239"/>
      <c r="L52" s="240"/>
      <c r="M52" s="241"/>
      <c r="N52" s="240"/>
      <c r="O52" s="240"/>
      <c r="P52" s="240"/>
      <c r="Q52" s="239"/>
      <c r="R52" s="241"/>
      <c r="S52" s="239"/>
      <c r="T52" s="239"/>
      <c r="U52" s="240"/>
      <c r="V52" s="239"/>
      <c r="W52" s="241"/>
      <c r="X52" s="239"/>
      <c r="Y52" s="240"/>
      <c r="Z52" s="240"/>
      <c r="AA52" s="240"/>
      <c r="AB52" s="241"/>
      <c r="AC52" s="166"/>
      <c r="AD52" s="166"/>
      <c r="AE52" s="166"/>
      <c r="AF52" s="166"/>
      <c r="AG52" s="242"/>
      <c r="AH52" s="166"/>
      <c r="AI52" s="166"/>
      <c r="AJ52" s="166"/>
      <c r="AK52" s="166"/>
      <c r="AL52" s="242"/>
      <c r="AM52" s="166"/>
      <c r="AN52" s="166"/>
      <c r="AO52" s="166"/>
      <c r="AP52" s="166"/>
      <c r="AQ52" s="242"/>
      <c r="AR52" s="166"/>
      <c r="AS52" s="166"/>
      <c r="AT52" s="167"/>
      <c r="AU52" s="166"/>
      <c r="AV52" s="309"/>
      <c r="AW52" s="166"/>
      <c r="AX52" s="242"/>
    </row>
    <row r="53" spans="2:50" ht="13.9" customHeight="1">
      <c r="B53" s="12" t="s">
        <v>353</v>
      </c>
      <c r="C53" s="210">
        <v>61</v>
      </c>
      <c r="D53" s="210">
        <v>16</v>
      </c>
      <c r="E53" s="210">
        <v>34</v>
      </c>
      <c r="F53" s="210">
        <v>24</v>
      </c>
      <c r="G53" s="210">
        <f>H53-F53-E53-D53</f>
        <v>21</v>
      </c>
      <c r="H53" s="210">
        <v>95</v>
      </c>
      <c r="I53" s="210">
        <v>9</v>
      </c>
      <c r="J53" s="210">
        <v>7</v>
      </c>
      <c r="K53" s="210">
        <v>6</v>
      </c>
      <c r="L53" s="210">
        <f>M53-K53-J53-I53</f>
        <v>2</v>
      </c>
      <c r="M53" s="210">
        <v>24</v>
      </c>
      <c r="N53" s="210">
        <v>2</v>
      </c>
      <c r="O53" s="210">
        <v>2</v>
      </c>
      <c r="P53" s="210">
        <v>18</v>
      </c>
      <c r="Q53" s="214">
        <f>R53-P53-O53-N53</f>
        <v>-69</v>
      </c>
      <c r="R53" s="213">
        <v>-47</v>
      </c>
      <c r="S53" s="214">
        <v>-2</v>
      </c>
      <c r="T53" s="210">
        <v>1</v>
      </c>
      <c r="U53" s="214">
        <v>-12</v>
      </c>
      <c r="V53" s="214">
        <v>-12</v>
      </c>
      <c r="W53" s="213">
        <v>-25</v>
      </c>
      <c r="X53" s="214">
        <v>8</v>
      </c>
      <c r="Y53" s="210">
        <v>20</v>
      </c>
      <c r="Z53" s="214">
        <v>23</v>
      </c>
      <c r="AA53" s="214">
        <v>13</v>
      </c>
      <c r="AB53" s="213">
        <v>64</v>
      </c>
      <c r="AC53" s="61">
        <v>56</v>
      </c>
      <c r="AD53" s="19">
        <v>46</v>
      </c>
      <c r="AE53" s="61">
        <v>50</v>
      </c>
      <c r="AF53" s="61">
        <v>13</v>
      </c>
      <c r="AG53" s="213">
        <v>165</v>
      </c>
      <c r="AH53" s="61">
        <v>44</v>
      </c>
      <c r="AI53" s="61">
        <v>41</v>
      </c>
      <c r="AJ53" s="61">
        <v>48</v>
      </c>
      <c r="AK53" s="19">
        <v>26</v>
      </c>
      <c r="AL53" s="213">
        <v>159</v>
      </c>
      <c r="AM53" s="61">
        <v>30</v>
      </c>
      <c r="AN53" s="61">
        <v>39</v>
      </c>
      <c r="AO53" s="61">
        <v>38</v>
      </c>
      <c r="AP53" s="19">
        <v>31</v>
      </c>
      <c r="AQ53" s="213">
        <v>138</v>
      </c>
      <c r="AR53" s="61">
        <v>31</v>
      </c>
      <c r="AS53" s="61">
        <v>30</v>
      </c>
      <c r="AT53" s="137">
        <v>61</v>
      </c>
      <c r="AU53" s="61">
        <v>38</v>
      </c>
      <c r="AV53" s="276">
        <v>99</v>
      </c>
      <c r="AW53" s="19">
        <v>47</v>
      </c>
      <c r="AX53" s="213">
        <v>146</v>
      </c>
    </row>
    <row r="54" spans="2:50" ht="13.9" customHeight="1">
      <c r="B54" s="20" t="s">
        <v>5</v>
      </c>
      <c r="C54" s="211"/>
      <c r="D54" s="212"/>
      <c r="E54" s="212">
        <f>E53/D53-1</f>
        <v>1.125</v>
      </c>
      <c r="F54" s="212">
        <f>F53/E53-1</f>
        <v>-0.29411764705882348</v>
      </c>
      <c r="G54" s="212">
        <f>G53/F53-1</f>
        <v>-0.125</v>
      </c>
      <c r="H54" s="211"/>
      <c r="I54" s="212">
        <f>I53/G53-1</f>
        <v>-0.5714285714285714</v>
      </c>
      <c r="J54" s="212">
        <f>J53/I53-1</f>
        <v>-0.22222222222222221</v>
      </c>
      <c r="K54" s="212">
        <f>K53/J53-1</f>
        <v>-0.1428571428571429</v>
      </c>
      <c r="L54" s="212">
        <f>L53/K53-1</f>
        <v>-0.66666666666666674</v>
      </c>
      <c r="M54" s="211"/>
      <c r="N54" s="212">
        <f>N53/L53-1</f>
        <v>0</v>
      </c>
      <c r="O54" s="212">
        <f>O53/N53-1</f>
        <v>0</v>
      </c>
      <c r="P54" s="212">
        <f>P53/O53-1</f>
        <v>8</v>
      </c>
      <c r="Q54" s="216" t="s">
        <v>23</v>
      </c>
      <c r="R54" s="211"/>
      <c r="S54" s="212">
        <v>-0.97101449275362317</v>
      </c>
      <c r="T54" s="216" t="s">
        <v>23</v>
      </c>
      <c r="U54" s="216" t="s">
        <v>23</v>
      </c>
      <c r="V54" s="212">
        <v>0</v>
      </c>
      <c r="W54" s="211"/>
      <c r="X54" s="216" t="s">
        <v>23</v>
      </c>
      <c r="Y54" s="212">
        <v>1.5</v>
      </c>
      <c r="Z54" s="212">
        <v>0.14999999999999991</v>
      </c>
      <c r="AA54" s="212">
        <v>-0.43478260869565222</v>
      </c>
      <c r="AB54" s="211"/>
      <c r="AC54" s="21">
        <v>3.3076923076923075</v>
      </c>
      <c r="AD54" s="21">
        <v>-0.1785714285714286</v>
      </c>
      <c r="AE54" s="21">
        <v>8.6956521739130377E-2</v>
      </c>
      <c r="AF54" s="21">
        <v>-0.74</v>
      </c>
      <c r="AG54" s="211"/>
      <c r="AH54" s="21">
        <v>2.3846153846153846</v>
      </c>
      <c r="AI54" s="21">
        <v>-6.8181818181818232E-2</v>
      </c>
      <c r="AJ54" s="21">
        <v>0.1707317073170731</v>
      </c>
      <c r="AK54" s="21">
        <v>-0.45833333333333337</v>
      </c>
      <c r="AL54" s="211"/>
      <c r="AM54" s="21">
        <v>0.15384615384615374</v>
      </c>
      <c r="AN54" s="21">
        <v>0.30000000000000004</v>
      </c>
      <c r="AO54" s="21">
        <v>-2.5641025641025661E-2</v>
      </c>
      <c r="AP54" s="21">
        <v>-0.18421052631578949</v>
      </c>
      <c r="AQ54" s="211"/>
      <c r="AR54" s="21">
        <v>0</v>
      </c>
      <c r="AS54" s="21">
        <v>-3.2258064516129004E-2</v>
      </c>
      <c r="AT54" s="138"/>
      <c r="AU54" s="21">
        <v>0.26666666666666661</v>
      </c>
      <c r="AV54" s="277"/>
      <c r="AW54" s="21">
        <v>0.23684210526315796</v>
      </c>
      <c r="AX54" s="211"/>
    </row>
    <row r="55" spans="2:50" ht="13.9" customHeight="1">
      <c r="B55" s="20" t="s">
        <v>6</v>
      </c>
      <c r="C55" s="211"/>
      <c r="D55" s="211"/>
      <c r="E55" s="211"/>
      <c r="F55" s="211"/>
      <c r="G55" s="211"/>
      <c r="H55" s="211">
        <f t="shared" ref="H55:P55" si="11">H53/C53-1</f>
        <v>0.55737704918032782</v>
      </c>
      <c r="I55" s="211">
        <f t="shared" si="11"/>
        <v>-0.4375</v>
      </c>
      <c r="J55" s="211">
        <f t="shared" si="11"/>
        <v>-0.79411764705882359</v>
      </c>
      <c r="K55" s="211">
        <f t="shared" si="11"/>
        <v>-0.75</v>
      </c>
      <c r="L55" s="211">
        <f t="shared" si="11"/>
        <v>-0.90476190476190477</v>
      </c>
      <c r="M55" s="211">
        <f t="shared" si="11"/>
        <v>-0.74736842105263157</v>
      </c>
      <c r="N55" s="211">
        <f t="shared" si="11"/>
        <v>-0.77777777777777779</v>
      </c>
      <c r="O55" s="211">
        <f t="shared" si="11"/>
        <v>-0.7142857142857143</v>
      </c>
      <c r="P55" s="211">
        <f t="shared" si="11"/>
        <v>2</v>
      </c>
      <c r="Q55" s="216" t="s">
        <v>23</v>
      </c>
      <c r="R55" s="211">
        <v>-2.958333333333333</v>
      </c>
      <c r="S55" s="216" t="s">
        <v>23</v>
      </c>
      <c r="T55" s="211">
        <v>-0.5</v>
      </c>
      <c r="U55" s="211">
        <v>-1.6666666666666665</v>
      </c>
      <c r="V55" s="211">
        <v>-0.82608695652173914</v>
      </c>
      <c r="W55" s="211">
        <v>-0.46808510638297873</v>
      </c>
      <c r="X55" s="216" t="s">
        <v>23</v>
      </c>
      <c r="Y55" s="211">
        <v>19</v>
      </c>
      <c r="Z55" s="216" t="s">
        <v>23</v>
      </c>
      <c r="AA55" s="216" t="s">
        <v>23</v>
      </c>
      <c r="AB55" s="217" t="s">
        <v>23</v>
      </c>
      <c r="AC55" s="22">
        <v>6</v>
      </c>
      <c r="AD55" s="22">
        <v>1.2999999999999998</v>
      </c>
      <c r="AE55" s="22">
        <v>1.1739130434782608</v>
      </c>
      <c r="AF55" s="22">
        <v>0</v>
      </c>
      <c r="AG55" s="211">
        <v>1.578125</v>
      </c>
      <c r="AH55" s="22">
        <v>-0.2142857142857143</v>
      </c>
      <c r="AI55" s="22">
        <v>-0.10869565217391308</v>
      </c>
      <c r="AJ55" s="22">
        <v>-4.0000000000000036E-2</v>
      </c>
      <c r="AK55" s="22">
        <v>1</v>
      </c>
      <c r="AL55" s="211">
        <v>-3.6363636363636376E-2</v>
      </c>
      <c r="AM55" s="22">
        <v>-0.31818181818181823</v>
      </c>
      <c r="AN55" s="22">
        <v>-4.8780487804878092E-2</v>
      </c>
      <c r="AO55" s="22">
        <v>-0.20833333333333337</v>
      </c>
      <c r="AP55" s="22">
        <v>0.19230769230769229</v>
      </c>
      <c r="AQ55" s="211">
        <v>-0.13207547169811318</v>
      </c>
      <c r="AR55" s="22">
        <v>3.3333333333333437E-2</v>
      </c>
      <c r="AS55" s="22">
        <v>-0.23076923076923073</v>
      </c>
      <c r="AT55" s="139"/>
      <c r="AU55" s="22">
        <v>0</v>
      </c>
      <c r="AV55" s="278"/>
      <c r="AW55" s="22">
        <v>0.5161290322580645</v>
      </c>
      <c r="AX55" s="211">
        <v>5.7971014492753659E-2</v>
      </c>
    </row>
    <row r="56" spans="2:50" ht="13.9" customHeight="1">
      <c r="B56" s="34" t="s">
        <v>273</v>
      </c>
      <c r="C56" s="213">
        <f>C53+(C39*0.77)</f>
        <v>62.54</v>
      </c>
      <c r="D56" s="214">
        <f>D53+(D39*0.77)</f>
        <v>16</v>
      </c>
      <c r="E56" s="214">
        <f>E53+(E39*0.77)</f>
        <v>34</v>
      </c>
      <c r="F56" s="214">
        <f>F53+(F39*0.77)</f>
        <v>24</v>
      </c>
      <c r="G56" s="210">
        <f>H56-F56-E56-D56</f>
        <v>27.930000000000007</v>
      </c>
      <c r="H56" s="213">
        <f>H53+(H39*0.77)</f>
        <v>101.93</v>
      </c>
      <c r="I56" s="214">
        <f>I53+(I39*0.77)</f>
        <v>9</v>
      </c>
      <c r="J56" s="214">
        <f>J53+(J39*0.77)</f>
        <v>7.77</v>
      </c>
      <c r="K56" s="214">
        <f>K53+(K39*0.77)</f>
        <v>11.39</v>
      </c>
      <c r="L56" s="214">
        <f>M56-K56-J56-I56</f>
        <v>2.7699999999999996</v>
      </c>
      <c r="M56" s="213">
        <f>M53+(M39*0.77)</f>
        <v>30.93</v>
      </c>
      <c r="N56" s="214">
        <f>N53+(N39*0.77)</f>
        <v>2</v>
      </c>
      <c r="O56" s="214">
        <f>O53+(O39*0.77)</f>
        <v>4.3100000000000005</v>
      </c>
      <c r="P56" s="214">
        <f>P53+(P39*0.77)</f>
        <v>19.54</v>
      </c>
      <c r="Q56" s="214">
        <f>R56-P56-O56-N56</f>
        <v>-9.7099999999999991</v>
      </c>
      <c r="R56" s="213">
        <v>16.14</v>
      </c>
      <c r="S56" s="214">
        <v>-1.23</v>
      </c>
      <c r="T56" s="214">
        <v>-2.08</v>
      </c>
      <c r="U56" s="214">
        <v>-12</v>
      </c>
      <c r="V56" s="214">
        <v>4.17</v>
      </c>
      <c r="W56" s="213">
        <v>-11.14</v>
      </c>
      <c r="X56" s="214">
        <v>9</v>
      </c>
      <c r="Y56" s="214">
        <v>19.690000000000001</v>
      </c>
      <c r="Z56" s="214">
        <v>24</v>
      </c>
      <c r="AA56" s="214">
        <v>23</v>
      </c>
      <c r="AB56" s="213">
        <v>75.930000000000007</v>
      </c>
      <c r="AC56" s="61">
        <v>55</v>
      </c>
      <c r="AD56" s="61">
        <v>45</v>
      </c>
      <c r="AE56" s="61">
        <v>55</v>
      </c>
      <c r="AF56" s="61">
        <v>38</v>
      </c>
      <c r="AG56" s="213">
        <v>193</v>
      </c>
      <c r="AH56" s="61">
        <v>43</v>
      </c>
      <c r="AI56" s="61">
        <v>44</v>
      </c>
      <c r="AJ56" s="61">
        <v>49</v>
      </c>
      <c r="AK56" s="61">
        <v>28</v>
      </c>
      <c r="AL56" s="213">
        <v>164</v>
      </c>
      <c r="AM56" s="61">
        <v>36</v>
      </c>
      <c r="AN56" s="61">
        <v>41</v>
      </c>
      <c r="AO56" s="61">
        <v>41</v>
      </c>
      <c r="AP56" s="19">
        <v>36</v>
      </c>
      <c r="AQ56" s="213">
        <v>154</v>
      </c>
      <c r="AR56" s="61">
        <v>33</v>
      </c>
      <c r="AS56" s="61">
        <v>32</v>
      </c>
      <c r="AT56" s="137">
        <v>65</v>
      </c>
      <c r="AU56" s="61">
        <v>37</v>
      </c>
      <c r="AV56" s="276">
        <v>102</v>
      </c>
      <c r="AW56" s="19">
        <v>61</v>
      </c>
      <c r="AX56" s="213">
        <v>163</v>
      </c>
    </row>
    <row r="57" spans="2:50" ht="13.9" customHeight="1">
      <c r="B57" s="20" t="s">
        <v>5</v>
      </c>
      <c r="C57" s="211"/>
      <c r="D57" s="211"/>
      <c r="E57" s="211"/>
      <c r="F57" s="211"/>
      <c r="G57" s="211"/>
      <c r="H57" s="211"/>
      <c r="I57" s="212"/>
      <c r="J57" s="212">
        <f>J56/I56-1</f>
        <v>-0.13666666666666671</v>
      </c>
      <c r="K57" s="212">
        <f>K56/J56-1</f>
        <v>0.46589446589446615</v>
      </c>
      <c r="L57" s="212">
        <f>L56/K56-1</f>
        <v>-0.7568042142230027</v>
      </c>
      <c r="M57" s="211"/>
      <c r="N57" s="212">
        <f>N56/L56-1</f>
        <v>-0.27797833935018035</v>
      </c>
      <c r="O57" s="212">
        <f>O56/N56-1</f>
        <v>1.1550000000000002</v>
      </c>
      <c r="P57" s="212">
        <f>P56/O56-1</f>
        <v>3.5336426914153121</v>
      </c>
      <c r="Q57" s="216" t="s">
        <v>23</v>
      </c>
      <c r="R57" s="211"/>
      <c r="S57" s="212">
        <v>-0.87332646755921728</v>
      </c>
      <c r="T57" s="212">
        <v>0.69105691056910579</v>
      </c>
      <c r="U57" s="212">
        <v>4.7692307692307692</v>
      </c>
      <c r="V57" s="216" t="s">
        <v>23</v>
      </c>
      <c r="W57" s="211"/>
      <c r="X57" s="212">
        <v>1.1582733812949639</v>
      </c>
      <c r="Y57" s="212">
        <v>1.1877777777777778</v>
      </c>
      <c r="Z57" s="212">
        <v>0.21889283900457079</v>
      </c>
      <c r="AA57" s="212">
        <v>0</v>
      </c>
      <c r="AB57" s="211"/>
      <c r="AC57" s="21">
        <v>1.3913043478260869</v>
      </c>
      <c r="AD57" s="21">
        <v>-0.18181818181818177</v>
      </c>
      <c r="AE57" s="21">
        <v>0.22222222222222232</v>
      </c>
      <c r="AF57" s="21">
        <v>-0.30909090909090908</v>
      </c>
      <c r="AG57" s="211"/>
      <c r="AH57" s="21">
        <v>0.13157894736842102</v>
      </c>
      <c r="AI57" s="21">
        <v>2.3255813953488413E-2</v>
      </c>
      <c r="AJ57" s="21">
        <v>0.11363636363636354</v>
      </c>
      <c r="AK57" s="21">
        <v>-0.4285714285714286</v>
      </c>
      <c r="AL57" s="211"/>
      <c r="AM57" s="21">
        <v>0.28571428571428581</v>
      </c>
      <c r="AN57" s="21">
        <v>0.13888888888888884</v>
      </c>
      <c r="AO57" s="21">
        <v>0</v>
      </c>
      <c r="AP57" s="21">
        <v>-0.12195121951219512</v>
      </c>
      <c r="AQ57" s="211"/>
      <c r="AR57" s="21">
        <v>-8.333333333333337E-2</v>
      </c>
      <c r="AS57" s="21">
        <v>-3.0303030303030276E-2</v>
      </c>
      <c r="AT57" s="138"/>
      <c r="AU57" s="21">
        <v>0.15625</v>
      </c>
      <c r="AV57" s="277"/>
      <c r="AW57" s="21">
        <v>0.64864864864864868</v>
      </c>
      <c r="AX57" s="211"/>
    </row>
    <row r="58" spans="2:50" ht="13.9" customHeight="1">
      <c r="B58" s="20" t="s">
        <v>6</v>
      </c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>
        <f>M56/H56-1</f>
        <v>-0.69655646031590313</v>
      </c>
      <c r="N58" s="211">
        <f>N56/I56-1</f>
        <v>-0.77777777777777779</v>
      </c>
      <c r="O58" s="211">
        <f>O56/J56-1</f>
        <v>-0.44530244530244523</v>
      </c>
      <c r="P58" s="211">
        <f>P56/K56-1</f>
        <v>0.71553994732221238</v>
      </c>
      <c r="Q58" s="216" t="s">
        <v>23</v>
      </c>
      <c r="R58" s="211">
        <v>-0.47817652764306495</v>
      </c>
      <c r="S58" s="211">
        <v>-1.615</v>
      </c>
      <c r="T58" s="216" t="s">
        <v>23</v>
      </c>
      <c r="U58" s="211">
        <v>-1.6141248720573182</v>
      </c>
      <c r="V58" s="216" t="s">
        <v>23</v>
      </c>
      <c r="W58" s="211">
        <v>-1.6902106567534076</v>
      </c>
      <c r="X58" s="211">
        <v>-8.3170731707317067</v>
      </c>
      <c r="Y58" s="216" t="s">
        <v>23</v>
      </c>
      <c r="Z58" s="216" t="s">
        <v>23</v>
      </c>
      <c r="AA58" s="211">
        <v>4.5155875299760195</v>
      </c>
      <c r="AB58" s="217" t="s">
        <v>23</v>
      </c>
      <c r="AC58" s="22">
        <v>5.1109999999999998</v>
      </c>
      <c r="AD58" s="22">
        <v>1.2854240731335702</v>
      </c>
      <c r="AE58" s="22">
        <v>1.2916666666666665</v>
      </c>
      <c r="AF58" s="22">
        <v>0.65217391304347827</v>
      </c>
      <c r="AG58" s="211">
        <v>1.5418148294481759</v>
      </c>
      <c r="AH58" s="22">
        <v>-0.21818181818181814</v>
      </c>
      <c r="AI58" s="22">
        <v>-2.2222222222222254E-2</v>
      </c>
      <c r="AJ58" s="22">
        <v>-0.10909090909090913</v>
      </c>
      <c r="AK58" s="22">
        <v>-0.26315789473684215</v>
      </c>
      <c r="AL58" s="211">
        <v>-0.15025906735751293</v>
      </c>
      <c r="AM58" s="22">
        <v>-0.16279069767441856</v>
      </c>
      <c r="AN58" s="22">
        <v>-6.8181818181818232E-2</v>
      </c>
      <c r="AO58" s="22">
        <v>-0.16326530612244894</v>
      </c>
      <c r="AP58" s="22">
        <v>0.28571428571428581</v>
      </c>
      <c r="AQ58" s="211">
        <v>-6.0975609756097615E-2</v>
      </c>
      <c r="AR58" s="22">
        <v>-8.333333333333337E-2</v>
      </c>
      <c r="AS58" s="22">
        <v>-0.21951219512195119</v>
      </c>
      <c r="AT58" s="139"/>
      <c r="AU58" s="22">
        <v>-9.7560975609756073E-2</v>
      </c>
      <c r="AV58" s="278"/>
      <c r="AW58" s="22">
        <v>0.69444444444444442</v>
      </c>
      <c r="AX58" s="211">
        <v>5.8441558441558517E-2</v>
      </c>
    </row>
    <row r="59" spans="2:50" ht="13.9" customHeight="1">
      <c r="B59" s="12" t="s">
        <v>390</v>
      </c>
      <c r="C59" s="219">
        <f t="shared" ref="C59:Q59" si="12">C56/C8</f>
        <v>2.3779467680608363E-2</v>
      </c>
      <c r="D59" s="219">
        <f t="shared" si="12"/>
        <v>2.5477707006369428E-2</v>
      </c>
      <c r="E59" s="219">
        <f t="shared" si="12"/>
        <v>5.3797468354430382E-2</v>
      </c>
      <c r="F59" s="219">
        <f t="shared" si="12"/>
        <v>3.7795275590551181E-2</v>
      </c>
      <c r="G59" s="219">
        <f t="shared" si="12"/>
        <v>4.2903225806451624E-2</v>
      </c>
      <c r="H59" s="219">
        <f t="shared" si="12"/>
        <v>4.0035349567949727E-2</v>
      </c>
      <c r="I59" s="219">
        <f t="shared" si="12"/>
        <v>1.4539579967689823E-2</v>
      </c>
      <c r="J59" s="219">
        <f t="shared" si="12"/>
        <v>1.2906976744186045E-2</v>
      </c>
      <c r="K59" s="219">
        <f t="shared" si="12"/>
        <v>1.8857615894039736E-2</v>
      </c>
      <c r="L59" s="219">
        <f t="shared" si="12"/>
        <v>4.4822006472491904E-3</v>
      </c>
      <c r="M59" s="219">
        <f t="shared" si="12"/>
        <v>1.2660663119115841E-2</v>
      </c>
      <c r="N59" s="219">
        <f t="shared" si="12"/>
        <v>3.4602076124567475E-3</v>
      </c>
      <c r="O59" s="219">
        <f t="shared" si="12"/>
        <v>7.5614035087719304E-3</v>
      </c>
      <c r="P59" s="219">
        <f t="shared" si="12"/>
        <v>3.1928104575163395E-2</v>
      </c>
      <c r="Q59" s="219">
        <f t="shared" si="12"/>
        <v>-1.6129568106312289E-2</v>
      </c>
      <c r="R59" s="242">
        <v>6.8331922099915329E-3</v>
      </c>
      <c r="S59" s="242">
        <v>-2.1465968586387436E-3</v>
      </c>
      <c r="T59" s="242">
        <v>-3.8878504672897199E-3</v>
      </c>
      <c r="U59" s="242">
        <v>-2.2018348623853212E-2</v>
      </c>
      <c r="V59" s="242">
        <v>7.8236397748592864E-3</v>
      </c>
      <c r="W59" s="242">
        <v>-5.0960658737419949E-3</v>
      </c>
      <c r="X59" s="242">
        <v>1.5789473684210527E-2</v>
      </c>
      <c r="Y59" s="242">
        <v>3.4184027777777778E-2</v>
      </c>
      <c r="Z59" s="242">
        <v>4.4362292051756007E-2</v>
      </c>
      <c r="AA59" s="242">
        <v>3.8205980066445183E-2</v>
      </c>
      <c r="AB59" s="242">
        <v>3.3171690694626478E-2</v>
      </c>
      <c r="AC59" s="160">
        <v>9.166666666666666E-2</v>
      </c>
      <c r="AD59" s="160">
        <v>7.512520868113523E-2</v>
      </c>
      <c r="AE59" s="160">
        <v>9.0460526315789477E-2</v>
      </c>
      <c r="AF59" s="160">
        <v>6.4189189189189186E-2</v>
      </c>
      <c r="AG59" s="242">
        <v>8.045018757815757E-2</v>
      </c>
      <c r="AH59" s="160">
        <v>6.9805194805194801E-2</v>
      </c>
      <c r="AI59" s="160">
        <v>7.521367521367521E-2</v>
      </c>
      <c r="AJ59" s="160">
        <v>8.3760683760683755E-2</v>
      </c>
      <c r="AK59" s="160">
        <v>4.9822064056939501E-2</v>
      </c>
      <c r="AL59" s="242">
        <v>6.9846678023850084E-2</v>
      </c>
      <c r="AM59" s="160">
        <v>6.1749571183533448E-2</v>
      </c>
      <c r="AN59" s="160">
        <v>7.3083778966131913E-2</v>
      </c>
      <c r="AO59" s="160">
        <v>7.4954296160877509E-2</v>
      </c>
      <c r="AP59" s="160">
        <v>6.3943161634103018E-2</v>
      </c>
      <c r="AQ59" s="242">
        <v>6.8322981366459631E-2</v>
      </c>
      <c r="AR59" s="160">
        <v>5.8303886925795051E-2</v>
      </c>
      <c r="AS59" s="160">
        <v>6.0377358490566038E-2</v>
      </c>
      <c r="AT59" s="158">
        <v>5.930656934306569E-2</v>
      </c>
      <c r="AU59" s="160">
        <v>7.1566731141199227E-2</v>
      </c>
      <c r="AV59" s="309">
        <v>6.3236205827650341E-2</v>
      </c>
      <c r="AW59" s="160">
        <v>0.11010830324909747</v>
      </c>
      <c r="AX59" s="242">
        <v>7.5219197046608219E-2</v>
      </c>
    </row>
    <row r="60" spans="2:50" ht="3.75" customHeight="1"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</row>
    <row r="61" spans="2:50" ht="13.9" customHeight="1">
      <c r="B61" s="12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0"/>
      <c r="AU61" s="160"/>
      <c r="AV61" s="309"/>
      <c r="AW61" s="160"/>
      <c r="AX61" s="160"/>
    </row>
    <row r="62" spans="2:50" ht="4.1500000000000004" customHeight="1">
      <c r="B62" s="180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</row>
    <row r="63" spans="2:50" ht="25.35" customHeight="1">
      <c r="B63" s="177" t="s">
        <v>3</v>
      </c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</row>
    <row r="64" spans="2:50" ht="13.9" customHeight="1">
      <c r="B64" s="201" t="s">
        <v>17</v>
      </c>
      <c r="C64" s="122"/>
      <c r="D64" s="209"/>
      <c r="E64" s="209"/>
      <c r="F64" s="209"/>
      <c r="G64" s="209"/>
      <c r="H64" s="122"/>
      <c r="I64" s="209"/>
      <c r="J64" s="209"/>
      <c r="K64" s="209"/>
      <c r="L64" s="209"/>
      <c r="M64" s="122"/>
      <c r="N64" s="209"/>
      <c r="O64" s="209"/>
      <c r="P64" s="209"/>
      <c r="Q64" s="209"/>
      <c r="R64" s="122"/>
      <c r="S64" s="209"/>
      <c r="T64" s="209"/>
      <c r="U64" s="209"/>
      <c r="V64" s="209"/>
      <c r="W64" s="122"/>
      <c r="X64" s="209"/>
      <c r="Y64" s="209"/>
      <c r="Z64" s="209"/>
      <c r="AA64" s="209"/>
      <c r="AB64" s="122"/>
      <c r="AC64" s="209"/>
      <c r="AD64" s="209"/>
      <c r="AE64" s="209"/>
      <c r="AF64" s="209"/>
      <c r="AG64" s="122"/>
      <c r="AH64" s="209"/>
      <c r="AI64" s="209"/>
      <c r="AJ64" s="209"/>
      <c r="AK64" s="209"/>
      <c r="AL64" s="122"/>
      <c r="AM64" s="209"/>
      <c r="AN64" s="209"/>
      <c r="AO64" s="209"/>
      <c r="AP64" s="209"/>
      <c r="AQ64" s="122"/>
      <c r="AR64" s="209"/>
      <c r="AS64" s="209"/>
      <c r="AT64" s="209"/>
      <c r="AU64" s="209"/>
      <c r="AV64" s="209"/>
      <c r="AW64" s="209"/>
      <c r="AX64" s="122"/>
    </row>
    <row r="65" spans="2:50" ht="13.9" customHeight="1">
      <c r="B65" s="12" t="s">
        <v>9</v>
      </c>
      <c r="C65" s="210">
        <v>582</v>
      </c>
      <c r="D65" s="210">
        <v>117</v>
      </c>
      <c r="E65" s="210">
        <v>193</v>
      </c>
      <c r="F65" s="210">
        <v>209</v>
      </c>
      <c r="G65" s="210">
        <f>H65-F65-E65-D65</f>
        <v>86</v>
      </c>
      <c r="H65" s="210">
        <v>605</v>
      </c>
      <c r="I65" s="210">
        <v>239</v>
      </c>
      <c r="J65" s="210">
        <v>181</v>
      </c>
      <c r="K65" s="210">
        <v>194</v>
      </c>
      <c r="L65" s="210">
        <f>M65-K65-J65-I65</f>
        <v>156</v>
      </c>
      <c r="M65" s="210">
        <v>770</v>
      </c>
      <c r="N65" s="210">
        <v>195</v>
      </c>
      <c r="O65" s="210">
        <v>136</v>
      </c>
      <c r="P65" s="210">
        <v>200</v>
      </c>
      <c r="Q65" s="210">
        <f>R65-P65-O65-N65</f>
        <v>146</v>
      </c>
      <c r="R65" s="210">
        <v>677</v>
      </c>
      <c r="S65" s="210">
        <v>164</v>
      </c>
      <c r="T65" s="210">
        <v>149</v>
      </c>
      <c r="U65" s="210">
        <v>143</v>
      </c>
      <c r="V65" s="210">
        <v>241</v>
      </c>
      <c r="W65" s="210">
        <v>697</v>
      </c>
      <c r="X65" s="210">
        <v>72</v>
      </c>
      <c r="Y65" s="210">
        <v>149</v>
      </c>
      <c r="Z65" s="210">
        <v>185</v>
      </c>
      <c r="AA65" s="210">
        <v>19</v>
      </c>
      <c r="AB65" s="210">
        <v>425</v>
      </c>
      <c r="AC65" s="19">
        <v>278</v>
      </c>
      <c r="AD65" s="19">
        <v>244</v>
      </c>
      <c r="AE65" s="19">
        <v>203</v>
      </c>
      <c r="AF65" s="19">
        <v>149</v>
      </c>
      <c r="AG65" s="210">
        <v>874</v>
      </c>
      <c r="AH65" s="19">
        <v>133</v>
      </c>
      <c r="AI65" s="19">
        <v>98</v>
      </c>
      <c r="AJ65" s="19">
        <v>242</v>
      </c>
      <c r="AK65" s="19">
        <v>240</v>
      </c>
      <c r="AL65" s="210">
        <v>713</v>
      </c>
      <c r="AM65" s="19">
        <v>122</v>
      </c>
      <c r="AN65" s="19">
        <v>161</v>
      </c>
      <c r="AO65" s="19">
        <v>212</v>
      </c>
      <c r="AP65" s="19">
        <v>153</v>
      </c>
      <c r="AQ65" s="210">
        <v>648</v>
      </c>
      <c r="AR65" s="19">
        <v>175</v>
      </c>
      <c r="AS65" s="19">
        <v>187</v>
      </c>
      <c r="AT65" s="137">
        <v>362</v>
      </c>
      <c r="AU65" s="19">
        <v>216</v>
      </c>
      <c r="AV65" s="276">
        <v>578</v>
      </c>
      <c r="AW65" s="19">
        <v>186</v>
      </c>
      <c r="AX65" s="210">
        <v>764</v>
      </c>
    </row>
    <row r="66" spans="2:50" ht="13.9" customHeight="1">
      <c r="B66" s="20" t="s">
        <v>5</v>
      </c>
      <c r="C66" s="211"/>
      <c r="D66" s="212"/>
      <c r="E66" s="212">
        <f>E65/D65-1</f>
        <v>0.64957264957264949</v>
      </c>
      <c r="F66" s="212">
        <f>F65/E65-1</f>
        <v>8.290155440414515E-2</v>
      </c>
      <c r="G66" s="212">
        <f>G65/F65-1</f>
        <v>-0.58851674641148333</v>
      </c>
      <c r="H66" s="211"/>
      <c r="I66" s="212">
        <f>I65/G65-1</f>
        <v>1.7790697674418605</v>
      </c>
      <c r="J66" s="212">
        <f>J65/I65-1</f>
        <v>-0.24267782426778239</v>
      </c>
      <c r="K66" s="212">
        <f>K65/J65-1</f>
        <v>7.182320441988943E-2</v>
      </c>
      <c r="L66" s="212">
        <f>L65/K65-1</f>
        <v>-0.19587628865979378</v>
      </c>
      <c r="M66" s="211"/>
      <c r="N66" s="212">
        <f>N65/L65-1</f>
        <v>0.25</v>
      </c>
      <c r="O66" s="212">
        <f>O65/N65-1</f>
        <v>-0.3025641025641026</v>
      </c>
      <c r="P66" s="212">
        <f>P65/O65-1</f>
        <v>0.47058823529411775</v>
      </c>
      <c r="Q66" s="212">
        <f>Q65/P65-1</f>
        <v>-0.27</v>
      </c>
      <c r="R66" s="211"/>
      <c r="S66" s="212">
        <v>0.12328767123287676</v>
      </c>
      <c r="T66" s="212">
        <v>-9.1463414634146312E-2</v>
      </c>
      <c r="U66" s="212">
        <v>-4.0268456375838979E-2</v>
      </c>
      <c r="V66" s="212">
        <v>0.68531468531468542</v>
      </c>
      <c r="W66" s="211"/>
      <c r="X66" s="212">
        <v>-0.70124481327800825</v>
      </c>
      <c r="Y66" s="212">
        <v>1.0694444444444446</v>
      </c>
      <c r="Z66" s="212">
        <v>0.24161073825503365</v>
      </c>
      <c r="AA66" s="212">
        <v>-0.89729729729729724</v>
      </c>
      <c r="AB66" s="211"/>
      <c r="AC66" s="21">
        <v>13.631578947368421</v>
      </c>
      <c r="AD66" s="21">
        <v>-0.12230215827338131</v>
      </c>
      <c r="AE66" s="21">
        <v>-0.16803278688524592</v>
      </c>
      <c r="AF66" s="21">
        <v>-0.26600985221674878</v>
      </c>
      <c r="AG66" s="211"/>
      <c r="AH66" s="21">
        <v>-0.10738255033557043</v>
      </c>
      <c r="AI66" s="21">
        <v>-0.26315789473684215</v>
      </c>
      <c r="AJ66" s="21">
        <v>1.4693877551020407</v>
      </c>
      <c r="AK66" s="21">
        <v>-8.2644628099173278E-3</v>
      </c>
      <c r="AL66" s="211"/>
      <c r="AM66" s="21">
        <v>-0.4916666666666667</v>
      </c>
      <c r="AN66" s="21">
        <v>0.31967213114754101</v>
      </c>
      <c r="AO66" s="21">
        <v>0.31677018633540377</v>
      </c>
      <c r="AP66" s="21">
        <v>-0.27830188679245282</v>
      </c>
      <c r="AQ66" s="211"/>
      <c r="AR66" s="21">
        <v>0.14379084967320255</v>
      </c>
      <c r="AS66" s="21">
        <v>6.8571428571428505E-2</v>
      </c>
      <c r="AT66" s="138"/>
      <c r="AU66" s="21">
        <v>0.15508021390374327</v>
      </c>
      <c r="AV66" s="277"/>
      <c r="AW66" s="21">
        <v>-0.13888888888888884</v>
      </c>
      <c r="AX66" s="211"/>
    </row>
    <row r="67" spans="2:50" ht="13.9" customHeight="1">
      <c r="B67" s="20" t="s">
        <v>6</v>
      </c>
      <c r="C67" s="211"/>
      <c r="D67" s="211"/>
      <c r="E67" s="211"/>
      <c r="F67" s="211"/>
      <c r="G67" s="211"/>
      <c r="H67" s="211">
        <f t="shared" ref="H67:P67" si="13">H65/C65-1</f>
        <v>3.9518900343642693E-2</v>
      </c>
      <c r="I67" s="211">
        <f t="shared" si="13"/>
        <v>1.0427350427350426</v>
      </c>
      <c r="J67" s="211">
        <f t="shared" si="13"/>
        <v>-6.2176165803108807E-2</v>
      </c>
      <c r="K67" s="211">
        <f t="shared" si="13"/>
        <v>-7.1770334928229707E-2</v>
      </c>
      <c r="L67" s="211">
        <f t="shared" si="13"/>
        <v>0.81395348837209291</v>
      </c>
      <c r="M67" s="211">
        <f t="shared" si="13"/>
        <v>0.27272727272727271</v>
      </c>
      <c r="N67" s="211">
        <f t="shared" si="13"/>
        <v>-0.18410041841004188</v>
      </c>
      <c r="O67" s="211">
        <f t="shared" si="13"/>
        <v>-0.24861878453038677</v>
      </c>
      <c r="P67" s="211">
        <f t="shared" si="13"/>
        <v>3.0927835051546282E-2</v>
      </c>
      <c r="Q67" s="211">
        <f>Q65/L65-1</f>
        <v>-6.4102564102564097E-2</v>
      </c>
      <c r="R67" s="211">
        <v>-0.12077922077922076</v>
      </c>
      <c r="S67" s="211">
        <v>-0.15897435897435896</v>
      </c>
      <c r="T67" s="211">
        <v>9.5588235294117752E-2</v>
      </c>
      <c r="U67" s="211">
        <v>-0.28500000000000003</v>
      </c>
      <c r="V67" s="211">
        <v>0.65068493150684925</v>
      </c>
      <c r="W67" s="211">
        <v>2.9542097488921781E-2</v>
      </c>
      <c r="X67" s="211">
        <v>-0.56097560975609762</v>
      </c>
      <c r="Y67" s="211">
        <v>0</v>
      </c>
      <c r="Z67" s="211">
        <v>0.29370629370629375</v>
      </c>
      <c r="AA67" s="211">
        <v>-0.92116182572614114</v>
      </c>
      <c r="AB67" s="211">
        <v>-0.3902439024390244</v>
      </c>
      <c r="AC67" s="22">
        <v>2.8611111111111112</v>
      </c>
      <c r="AD67" s="22">
        <v>0.63758389261744974</v>
      </c>
      <c r="AE67" s="22">
        <v>9.7297297297297192E-2</v>
      </c>
      <c r="AF67" s="22">
        <v>6.8421052631578947</v>
      </c>
      <c r="AG67" s="211">
        <v>1.0564705882352943</v>
      </c>
      <c r="AH67" s="22">
        <v>-0.52158273381294962</v>
      </c>
      <c r="AI67" s="22">
        <v>-0.59836065573770492</v>
      </c>
      <c r="AJ67" s="22">
        <v>0.19211822660098532</v>
      </c>
      <c r="AK67" s="22">
        <v>0.61073825503355694</v>
      </c>
      <c r="AL67" s="211">
        <v>-0.18421052631578949</v>
      </c>
      <c r="AM67" s="22">
        <v>-8.2706766917293284E-2</v>
      </c>
      <c r="AN67" s="22">
        <v>0.64285714285714279</v>
      </c>
      <c r="AO67" s="22">
        <v>-0.12396694214876036</v>
      </c>
      <c r="AP67" s="22">
        <v>-0.36250000000000004</v>
      </c>
      <c r="AQ67" s="211">
        <v>-9.1164095371669029E-2</v>
      </c>
      <c r="AR67" s="22">
        <v>0.43442622950819665</v>
      </c>
      <c r="AS67" s="22">
        <v>0.16149068322981375</v>
      </c>
      <c r="AT67" s="139"/>
      <c r="AU67" s="22">
        <v>1.8867924528301883E-2</v>
      </c>
      <c r="AV67" s="278"/>
      <c r="AW67" s="22">
        <v>0.21568627450980382</v>
      </c>
      <c r="AX67" s="211">
        <v>0.17901234567901225</v>
      </c>
    </row>
    <row r="68" spans="2:50" ht="13.9" customHeight="1">
      <c r="B68" s="12" t="s">
        <v>243</v>
      </c>
      <c r="C68" s="218">
        <f>208+35</f>
        <v>243</v>
      </c>
      <c r="D68" s="210">
        <v>73</v>
      </c>
      <c r="E68" s="210">
        <f>48+11+23</f>
        <v>82</v>
      </c>
      <c r="F68" s="210">
        <v>78</v>
      </c>
      <c r="G68" s="210">
        <f>H68-F68-E68-D68</f>
        <v>77</v>
      </c>
      <c r="H68" s="218">
        <v>310</v>
      </c>
      <c r="I68" s="210">
        <v>69</v>
      </c>
      <c r="J68" s="210">
        <f>56+11+23</f>
        <v>90</v>
      </c>
      <c r="K68" s="210">
        <f>39+11+23</f>
        <v>73</v>
      </c>
      <c r="L68" s="210">
        <f>M68-K68-J68-I68</f>
        <v>78</v>
      </c>
      <c r="M68" s="218">
        <f>184+38+88</f>
        <v>310</v>
      </c>
      <c r="N68" s="210">
        <v>63</v>
      </c>
      <c r="O68" s="210">
        <v>83</v>
      </c>
      <c r="P68" s="210">
        <f>41+12+19</f>
        <v>72</v>
      </c>
      <c r="Q68" s="210">
        <f>R68-P68-O68-N68</f>
        <v>75</v>
      </c>
      <c r="R68" s="218">
        <v>293</v>
      </c>
      <c r="S68" s="210">
        <v>65</v>
      </c>
      <c r="T68" s="210">
        <v>73</v>
      </c>
      <c r="U68" s="210">
        <v>100</v>
      </c>
      <c r="V68" s="210">
        <v>81</v>
      </c>
      <c r="W68" s="218">
        <v>319</v>
      </c>
      <c r="X68" s="210">
        <v>71</v>
      </c>
      <c r="Y68" s="210">
        <v>60</v>
      </c>
      <c r="Z68" s="210">
        <v>68</v>
      </c>
      <c r="AA68" s="210">
        <v>55</v>
      </c>
      <c r="AB68" s="218">
        <v>254</v>
      </c>
      <c r="AC68" s="19">
        <v>72</v>
      </c>
      <c r="AD68" s="19">
        <v>66</v>
      </c>
      <c r="AE68" s="19">
        <v>157</v>
      </c>
      <c r="AF68" s="19">
        <v>0</v>
      </c>
      <c r="AG68" s="218">
        <v>295</v>
      </c>
      <c r="AH68" s="19">
        <v>57</v>
      </c>
      <c r="AI68" s="19">
        <v>83</v>
      </c>
      <c r="AJ68" s="19">
        <v>81</v>
      </c>
      <c r="AK68" s="19">
        <v>90</v>
      </c>
      <c r="AL68" s="218">
        <v>311</v>
      </c>
      <c r="AM68" s="19">
        <v>82</v>
      </c>
      <c r="AN68" s="19">
        <v>82</v>
      </c>
      <c r="AO68" s="19">
        <v>65</v>
      </c>
      <c r="AP68" s="19">
        <v>76</v>
      </c>
      <c r="AQ68" s="218">
        <v>305</v>
      </c>
      <c r="AR68" s="19">
        <v>84</v>
      </c>
      <c r="AS68" s="19">
        <v>91</v>
      </c>
      <c r="AT68" s="137">
        <v>175</v>
      </c>
      <c r="AU68" s="19">
        <v>88</v>
      </c>
      <c r="AV68" s="276">
        <v>263</v>
      </c>
      <c r="AW68" s="19">
        <v>91</v>
      </c>
      <c r="AX68" s="218">
        <v>354</v>
      </c>
    </row>
    <row r="69" spans="2:50" ht="13.9" customHeight="1">
      <c r="B69" s="20" t="s">
        <v>5</v>
      </c>
      <c r="C69" s="211"/>
      <c r="D69" s="212"/>
      <c r="E69" s="212">
        <f>E68/D68-1</f>
        <v>0.12328767123287676</v>
      </c>
      <c r="F69" s="212">
        <f>F68/E68-1</f>
        <v>-4.8780487804878092E-2</v>
      </c>
      <c r="G69" s="212">
        <f>G68/F68-1</f>
        <v>-1.2820512820512775E-2</v>
      </c>
      <c r="H69" s="211"/>
      <c r="I69" s="212">
        <f>I68/G68-1</f>
        <v>-0.10389610389610393</v>
      </c>
      <c r="J69" s="212">
        <f>J68/I68-1</f>
        <v>0.30434782608695654</v>
      </c>
      <c r="K69" s="212">
        <f>K68/J68-1</f>
        <v>-0.18888888888888888</v>
      </c>
      <c r="L69" s="212">
        <f>L68/K68-1</f>
        <v>6.8493150684931559E-2</v>
      </c>
      <c r="M69" s="211"/>
      <c r="N69" s="212">
        <f>N68/L68-1</f>
        <v>-0.19230769230769229</v>
      </c>
      <c r="O69" s="212">
        <f>O68/N68-1</f>
        <v>0.31746031746031744</v>
      </c>
      <c r="P69" s="212">
        <f>P68/O68-1</f>
        <v>-0.13253012048192769</v>
      </c>
      <c r="Q69" s="212">
        <f>Q68/P68-1</f>
        <v>4.1666666666666741E-2</v>
      </c>
      <c r="R69" s="211"/>
      <c r="S69" s="212">
        <v>-0.1333333333333333</v>
      </c>
      <c r="T69" s="212">
        <v>0.12307692307692308</v>
      </c>
      <c r="U69" s="212">
        <v>0.36986301369863006</v>
      </c>
      <c r="V69" s="212">
        <v>-0.18999999999999995</v>
      </c>
      <c r="W69" s="211"/>
      <c r="X69" s="212">
        <v>-0.12345679012345678</v>
      </c>
      <c r="Y69" s="212">
        <v>-0.15492957746478875</v>
      </c>
      <c r="Z69" s="212">
        <v>0.1333333333333333</v>
      </c>
      <c r="AA69" s="212">
        <v>-0.19117647058823528</v>
      </c>
      <c r="AB69" s="211"/>
      <c r="AC69" s="21">
        <v>0.30909090909090908</v>
      </c>
      <c r="AD69" s="21">
        <v>-8.333333333333337E-2</v>
      </c>
      <c r="AE69" s="21">
        <v>1.3787878787878789</v>
      </c>
      <c r="AF69" s="31" t="s">
        <v>23</v>
      </c>
      <c r="AG69" s="211"/>
      <c r="AH69" s="31" t="s">
        <v>23</v>
      </c>
      <c r="AI69" s="21">
        <v>0.45614035087719307</v>
      </c>
      <c r="AJ69" s="21">
        <v>-2.4096385542168641E-2</v>
      </c>
      <c r="AK69" s="21">
        <v>0.11111111111111116</v>
      </c>
      <c r="AL69" s="211"/>
      <c r="AM69" s="21">
        <v>-8.8888888888888906E-2</v>
      </c>
      <c r="AN69" s="21">
        <v>0</v>
      </c>
      <c r="AO69" s="21">
        <v>-0.20731707317073167</v>
      </c>
      <c r="AP69" s="21">
        <v>0.1692307692307693</v>
      </c>
      <c r="AQ69" s="211"/>
      <c r="AR69" s="21">
        <v>0.10526315789473695</v>
      </c>
      <c r="AS69" s="21">
        <v>8.3333333333333259E-2</v>
      </c>
      <c r="AT69" s="138"/>
      <c r="AU69" s="21">
        <v>-3.2967032967032961E-2</v>
      </c>
      <c r="AV69" s="277"/>
      <c r="AW69" s="21">
        <v>3.4090909090909172E-2</v>
      </c>
      <c r="AX69" s="211"/>
    </row>
    <row r="70" spans="2:50" ht="13.9" customHeight="1">
      <c r="B70" s="20" t="s">
        <v>6</v>
      </c>
      <c r="C70" s="211"/>
      <c r="D70" s="211"/>
      <c r="E70" s="211"/>
      <c r="F70" s="211"/>
      <c r="G70" s="211"/>
      <c r="H70" s="211">
        <f t="shared" ref="H70:P70" si="14">H68/C68-1</f>
        <v>0.27572016460905346</v>
      </c>
      <c r="I70" s="211">
        <f t="shared" si="14"/>
        <v>-5.4794520547945202E-2</v>
      </c>
      <c r="J70" s="211">
        <f t="shared" si="14"/>
        <v>9.7560975609756184E-2</v>
      </c>
      <c r="K70" s="211">
        <f t="shared" si="14"/>
        <v>-6.4102564102564097E-2</v>
      </c>
      <c r="L70" s="211">
        <f t="shared" si="14"/>
        <v>1.298701298701288E-2</v>
      </c>
      <c r="M70" s="211">
        <f t="shared" si="14"/>
        <v>0</v>
      </c>
      <c r="N70" s="211">
        <f t="shared" si="14"/>
        <v>-8.6956521739130488E-2</v>
      </c>
      <c r="O70" s="211">
        <f t="shared" si="14"/>
        <v>-7.7777777777777724E-2</v>
      </c>
      <c r="P70" s="211">
        <f t="shared" si="14"/>
        <v>-1.3698630136986356E-2</v>
      </c>
      <c r="Q70" s="211">
        <f>Q68/L68-1</f>
        <v>-3.8461538461538436E-2</v>
      </c>
      <c r="R70" s="211">
        <v>-5.4838709677419328E-2</v>
      </c>
      <c r="S70" s="211">
        <v>3.1746031746031855E-2</v>
      </c>
      <c r="T70" s="211">
        <v>-0.12048192771084343</v>
      </c>
      <c r="U70" s="211">
        <v>0.38888888888888884</v>
      </c>
      <c r="V70" s="211">
        <v>8.0000000000000071E-2</v>
      </c>
      <c r="W70" s="211">
        <v>8.8737201365187701E-2</v>
      </c>
      <c r="X70" s="211">
        <v>9.2307692307692202E-2</v>
      </c>
      <c r="Y70" s="211">
        <v>-0.17808219178082196</v>
      </c>
      <c r="Z70" s="211">
        <v>-0.31999999999999995</v>
      </c>
      <c r="AA70" s="211">
        <v>-0.32098765432098764</v>
      </c>
      <c r="AB70" s="211">
        <v>-0.20376175548589337</v>
      </c>
      <c r="AC70" s="22">
        <v>1.4084507042253502E-2</v>
      </c>
      <c r="AD70" s="22">
        <v>0.10000000000000009</v>
      </c>
      <c r="AE70" s="22">
        <v>1.3088235294117645</v>
      </c>
      <c r="AF70" s="31" t="s">
        <v>23</v>
      </c>
      <c r="AG70" s="211">
        <v>0.1614173228346456</v>
      </c>
      <c r="AH70" s="22">
        <v>-0.20833333333333337</v>
      </c>
      <c r="AI70" s="22">
        <v>0.25757575757575757</v>
      </c>
      <c r="AJ70" s="22">
        <v>-0.48407643312101911</v>
      </c>
      <c r="AK70" s="31" t="s">
        <v>23</v>
      </c>
      <c r="AL70" s="211">
        <v>5.4237288135593253E-2</v>
      </c>
      <c r="AM70" s="22">
        <v>0.43859649122807021</v>
      </c>
      <c r="AN70" s="22">
        <v>-1.2048192771084376E-2</v>
      </c>
      <c r="AO70" s="22">
        <v>-0.19753086419753085</v>
      </c>
      <c r="AP70" s="22">
        <v>-0.15555555555555556</v>
      </c>
      <c r="AQ70" s="211">
        <v>-1.9292604501607746E-2</v>
      </c>
      <c r="AR70" s="22">
        <v>2.4390243902439046E-2</v>
      </c>
      <c r="AS70" s="22">
        <v>0.10975609756097571</v>
      </c>
      <c r="AT70" s="139"/>
      <c r="AU70" s="22">
        <v>0.35384615384615392</v>
      </c>
      <c r="AV70" s="278"/>
      <c r="AW70" s="22">
        <v>0.19736842105263164</v>
      </c>
      <c r="AX70" s="211">
        <v>0.16065573770491803</v>
      </c>
    </row>
    <row r="71" spans="2:50" ht="13.9" customHeight="1">
      <c r="B71" s="12" t="s">
        <v>15</v>
      </c>
      <c r="C71" s="219">
        <f t="shared" ref="C71:Q71" si="15">C68/C8</f>
        <v>9.2395437262357411E-2</v>
      </c>
      <c r="D71" s="219">
        <f t="shared" si="15"/>
        <v>0.11624203821656051</v>
      </c>
      <c r="E71" s="219">
        <f t="shared" si="15"/>
        <v>0.12974683544303797</v>
      </c>
      <c r="F71" s="219">
        <f t="shared" si="15"/>
        <v>0.12283464566929134</v>
      </c>
      <c r="G71" s="219">
        <f t="shared" si="15"/>
        <v>0.11827956989247312</v>
      </c>
      <c r="H71" s="219">
        <f t="shared" si="15"/>
        <v>0.12175962293794187</v>
      </c>
      <c r="I71" s="219">
        <f t="shared" si="15"/>
        <v>0.11147011308562198</v>
      </c>
      <c r="J71" s="219">
        <f t="shared" si="15"/>
        <v>0.14950166112956811</v>
      </c>
      <c r="K71" s="219">
        <f t="shared" si="15"/>
        <v>0.12086092715231789</v>
      </c>
      <c r="L71" s="219">
        <f t="shared" si="15"/>
        <v>0.12621359223300971</v>
      </c>
      <c r="M71" s="219">
        <f t="shared" si="15"/>
        <v>0.12689316414244781</v>
      </c>
      <c r="N71" s="219">
        <f t="shared" si="15"/>
        <v>0.10899653979238755</v>
      </c>
      <c r="O71" s="219">
        <f t="shared" si="15"/>
        <v>0.14561403508771931</v>
      </c>
      <c r="P71" s="219">
        <f t="shared" si="15"/>
        <v>0.11764705882352941</v>
      </c>
      <c r="Q71" s="219">
        <f t="shared" si="15"/>
        <v>0.12458471760797342</v>
      </c>
      <c r="R71" s="219">
        <v>0.12404741744284505</v>
      </c>
      <c r="S71" s="219">
        <v>0.11343804537521815</v>
      </c>
      <c r="T71" s="219">
        <v>0.13644859813084112</v>
      </c>
      <c r="U71" s="219">
        <v>0.1834862385321101</v>
      </c>
      <c r="V71" s="219">
        <v>0.15196998123827393</v>
      </c>
      <c r="W71" s="219">
        <v>0.14592863677950596</v>
      </c>
      <c r="X71" s="219">
        <v>0.12456140350877193</v>
      </c>
      <c r="Y71" s="219">
        <v>0.10416666666666667</v>
      </c>
      <c r="Z71" s="219">
        <v>0.1256931608133087</v>
      </c>
      <c r="AA71" s="219">
        <v>9.1362126245847178E-2</v>
      </c>
      <c r="AB71" s="219">
        <v>0.11096548711227611</v>
      </c>
      <c r="AC71" s="155">
        <v>0.12</v>
      </c>
      <c r="AD71" s="155">
        <v>0.11018363939899833</v>
      </c>
      <c r="AE71" s="155">
        <v>0.25822368421052633</v>
      </c>
      <c r="AF71" s="155">
        <v>0</v>
      </c>
      <c r="AG71" s="219">
        <v>0.12296790329303876</v>
      </c>
      <c r="AH71" s="155">
        <v>9.2532467532467536E-2</v>
      </c>
      <c r="AI71" s="155">
        <v>0.14188034188034188</v>
      </c>
      <c r="AJ71" s="155">
        <v>0.13846153846153847</v>
      </c>
      <c r="AK71" s="155">
        <v>0.16014234875444841</v>
      </c>
      <c r="AL71" s="219">
        <v>0.13245315161839863</v>
      </c>
      <c r="AM71" s="155">
        <v>0.14065180102915953</v>
      </c>
      <c r="AN71" s="155">
        <v>0.14616755793226383</v>
      </c>
      <c r="AO71" s="155">
        <v>0.11882998171846434</v>
      </c>
      <c r="AP71" s="155">
        <v>0.13499111900532859</v>
      </c>
      <c r="AQ71" s="219">
        <v>0.13531499556344276</v>
      </c>
      <c r="AR71" s="155">
        <v>0.14840989399293286</v>
      </c>
      <c r="AS71" s="155">
        <v>0.17169811320754716</v>
      </c>
      <c r="AT71" s="156">
        <v>0.15967153284671534</v>
      </c>
      <c r="AU71" s="155">
        <v>0.1702127659574468</v>
      </c>
      <c r="AV71" s="280">
        <v>0.16305021698698077</v>
      </c>
      <c r="AW71" s="155">
        <v>0.16425992779783394</v>
      </c>
      <c r="AX71" s="219">
        <v>0.16335948315643747</v>
      </c>
    </row>
    <row r="72" spans="2:50" ht="13.9" customHeight="1">
      <c r="B72" s="12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155"/>
      <c r="AD72" s="155"/>
      <c r="AE72" s="155"/>
      <c r="AF72" s="155"/>
      <c r="AG72" s="219"/>
      <c r="AH72" s="155"/>
      <c r="AI72" s="155"/>
      <c r="AJ72" s="155"/>
      <c r="AK72" s="155"/>
      <c r="AL72" s="219"/>
      <c r="AM72" s="155"/>
      <c r="AN72" s="155"/>
      <c r="AO72" s="155"/>
      <c r="AP72" s="155"/>
      <c r="AQ72" s="219"/>
      <c r="AR72" s="155"/>
      <c r="AS72" s="155"/>
      <c r="AT72" s="156"/>
      <c r="AU72" s="155"/>
      <c r="AV72" s="280"/>
      <c r="AW72" s="155"/>
      <c r="AX72" s="219"/>
    </row>
    <row r="73" spans="2:50" ht="13.9" customHeight="1">
      <c r="B73" s="12" t="s">
        <v>244</v>
      </c>
      <c r="C73" s="218">
        <f>C68-2</f>
        <v>241</v>
      </c>
      <c r="D73" s="210">
        <f>D68</f>
        <v>73</v>
      </c>
      <c r="E73" s="210">
        <f>E68</f>
        <v>82</v>
      </c>
      <c r="F73" s="210">
        <f>F68</f>
        <v>78</v>
      </c>
      <c r="G73" s="210">
        <f>H73-F73-E73-D73</f>
        <v>76</v>
      </c>
      <c r="H73" s="218">
        <f>H68-1</f>
        <v>309</v>
      </c>
      <c r="I73" s="210">
        <f>I68</f>
        <v>69</v>
      </c>
      <c r="J73" s="210">
        <f>J68</f>
        <v>90</v>
      </c>
      <c r="K73" s="210">
        <f>K68-4</f>
        <v>69</v>
      </c>
      <c r="L73" s="210">
        <f>M73-K73-J73-I73</f>
        <v>78</v>
      </c>
      <c r="M73" s="218">
        <f>M68-4</f>
        <v>306</v>
      </c>
      <c r="N73" s="210">
        <f>N68</f>
        <v>63</v>
      </c>
      <c r="O73" s="210">
        <f>O68-1</f>
        <v>82</v>
      </c>
      <c r="P73" s="210">
        <f>P68</f>
        <v>72</v>
      </c>
      <c r="Q73" s="210">
        <f>R73-P73-O73-N73</f>
        <v>75</v>
      </c>
      <c r="R73" s="218">
        <v>292</v>
      </c>
      <c r="S73" s="210">
        <v>65</v>
      </c>
      <c r="T73" s="210">
        <v>73</v>
      </c>
      <c r="U73" s="210">
        <v>100</v>
      </c>
      <c r="V73" s="210">
        <v>80</v>
      </c>
      <c r="W73" s="218">
        <v>318</v>
      </c>
      <c r="X73" s="210">
        <v>71</v>
      </c>
      <c r="Y73" s="210">
        <v>60</v>
      </c>
      <c r="Z73" s="210">
        <v>68</v>
      </c>
      <c r="AA73" s="210">
        <v>54</v>
      </c>
      <c r="AB73" s="218">
        <v>253</v>
      </c>
      <c r="AC73" s="19">
        <v>72</v>
      </c>
      <c r="AD73" s="19">
        <v>66</v>
      </c>
      <c r="AE73" s="19">
        <v>157</v>
      </c>
      <c r="AF73" s="19">
        <v>0</v>
      </c>
      <c r="AG73" s="218">
        <v>295</v>
      </c>
      <c r="AH73" s="19">
        <v>57</v>
      </c>
      <c r="AI73" s="19">
        <v>82</v>
      </c>
      <c r="AJ73" s="19">
        <v>81</v>
      </c>
      <c r="AK73" s="19">
        <v>90</v>
      </c>
      <c r="AL73" s="218">
        <v>310</v>
      </c>
      <c r="AM73" s="19">
        <v>82</v>
      </c>
      <c r="AN73" s="19">
        <v>82</v>
      </c>
      <c r="AO73" s="19">
        <v>65</v>
      </c>
      <c r="AP73" s="19">
        <v>76</v>
      </c>
      <c r="AQ73" s="218">
        <v>305</v>
      </c>
      <c r="AR73" s="19">
        <v>84</v>
      </c>
      <c r="AS73" s="19">
        <v>91</v>
      </c>
      <c r="AT73" s="137">
        <v>175</v>
      </c>
      <c r="AU73" s="19">
        <v>88</v>
      </c>
      <c r="AV73" s="276">
        <v>263</v>
      </c>
      <c r="AW73" s="19">
        <v>91</v>
      </c>
      <c r="AX73" s="218">
        <v>354</v>
      </c>
    </row>
    <row r="74" spans="2:50" ht="13.9" customHeight="1">
      <c r="B74" s="20" t="s">
        <v>5</v>
      </c>
      <c r="C74" s="211"/>
      <c r="D74" s="212"/>
      <c r="E74" s="212">
        <f>E73/D73-1</f>
        <v>0.12328767123287676</v>
      </c>
      <c r="F74" s="212">
        <f>F73/E73-1</f>
        <v>-4.8780487804878092E-2</v>
      </c>
      <c r="G74" s="212">
        <f>G73/F73-1</f>
        <v>-2.5641025641025661E-2</v>
      </c>
      <c r="H74" s="211"/>
      <c r="I74" s="212">
        <f>I73/G73-1</f>
        <v>-9.210526315789469E-2</v>
      </c>
      <c r="J74" s="212">
        <f>J73/I73-1</f>
        <v>0.30434782608695654</v>
      </c>
      <c r="K74" s="212">
        <f>K73/J73-1</f>
        <v>-0.23333333333333328</v>
      </c>
      <c r="L74" s="212">
        <f>L73/K73-1</f>
        <v>0.13043478260869557</v>
      </c>
      <c r="M74" s="211"/>
      <c r="N74" s="212">
        <f>N73/L73-1</f>
        <v>-0.19230769230769229</v>
      </c>
      <c r="O74" s="212">
        <f>O73/N73-1</f>
        <v>0.30158730158730163</v>
      </c>
      <c r="P74" s="212">
        <f>P73/O73-1</f>
        <v>-0.12195121951219512</v>
      </c>
      <c r="Q74" s="212">
        <f>Q73/P73-1</f>
        <v>4.1666666666666741E-2</v>
      </c>
      <c r="R74" s="211"/>
      <c r="S74" s="212">
        <v>-0.1333333333333333</v>
      </c>
      <c r="T74" s="212">
        <v>0.12307692307692308</v>
      </c>
      <c r="U74" s="212">
        <v>0.36986301369863006</v>
      </c>
      <c r="V74" s="212">
        <v>-0.19999999999999996</v>
      </c>
      <c r="W74" s="211"/>
      <c r="X74" s="212">
        <v>-0.11250000000000004</v>
      </c>
      <c r="Y74" s="212">
        <v>-0.15492957746478875</v>
      </c>
      <c r="Z74" s="212">
        <v>0.1333333333333333</v>
      </c>
      <c r="AA74" s="212">
        <v>-0.20588235294117652</v>
      </c>
      <c r="AB74" s="211"/>
      <c r="AC74" s="21">
        <v>0.33333333333333326</v>
      </c>
      <c r="AD74" s="21">
        <v>-8.333333333333337E-2</v>
      </c>
      <c r="AE74" s="21">
        <v>1.3787878787878789</v>
      </c>
      <c r="AF74" s="31" t="s">
        <v>23</v>
      </c>
      <c r="AG74" s="211"/>
      <c r="AH74" s="31" t="s">
        <v>23</v>
      </c>
      <c r="AI74" s="21">
        <v>0.43859649122807021</v>
      </c>
      <c r="AJ74" s="21">
        <v>-1.2195121951219523E-2</v>
      </c>
      <c r="AK74" s="21">
        <v>0.11111111111111116</v>
      </c>
      <c r="AL74" s="211"/>
      <c r="AM74" s="21">
        <v>-8.8888888888888906E-2</v>
      </c>
      <c r="AN74" s="21">
        <v>0</v>
      </c>
      <c r="AO74" s="21">
        <v>-0.20731707317073167</v>
      </c>
      <c r="AP74" s="21">
        <v>0.1692307692307693</v>
      </c>
      <c r="AQ74" s="211"/>
      <c r="AR74" s="21">
        <v>0.10526315789473695</v>
      </c>
      <c r="AS74" s="21">
        <v>8.3333333333333259E-2</v>
      </c>
      <c r="AT74" s="138"/>
      <c r="AU74" s="21">
        <v>-3.2967032967032961E-2</v>
      </c>
      <c r="AV74" s="277"/>
      <c r="AW74" s="21">
        <v>3.4090909090909172E-2</v>
      </c>
      <c r="AX74" s="211"/>
    </row>
    <row r="75" spans="2:50" ht="13.9" customHeight="1">
      <c r="B75" s="20" t="s">
        <v>6</v>
      </c>
      <c r="C75" s="211"/>
      <c r="D75" s="211"/>
      <c r="E75" s="211"/>
      <c r="F75" s="211"/>
      <c r="G75" s="211"/>
      <c r="H75" s="211">
        <f t="shared" ref="H75:P75" si="16">H73/C73-1</f>
        <v>0.28215767634854783</v>
      </c>
      <c r="I75" s="211">
        <f t="shared" si="16"/>
        <v>-5.4794520547945202E-2</v>
      </c>
      <c r="J75" s="211">
        <f t="shared" si="16"/>
        <v>9.7560975609756184E-2</v>
      </c>
      <c r="K75" s="211">
        <f t="shared" si="16"/>
        <v>-0.11538461538461542</v>
      </c>
      <c r="L75" s="211">
        <f t="shared" si="16"/>
        <v>2.6315789473684292E-2</v>
      </c>
      <c r="M75" s="211">
        <f t="shared" si="16"/>
        <v>-9.7087378640776656E-3</v>
      </c>
      <c r="N75" s="211">
        <f t="shared" si="16"/>
        <v>-8.6956521739130488E-2</v>
      </c>
      <c r="O75" s="211">
        <f t="shared" si="16"/>
        <v>-8.8888888888888906E-2</v>
      </c>
      <c r="P75" s="211">
        <f t="shared" si="16"/>
        <v>4.3478260869565188E-2</v>
      </c>
      <c r="Q75" s="211">
        <f>Q73/L73-1</f>
        <v>-3.8461538461538436E-2</v>
      </c>
      <c r="R75" s="211">
        <v>-4.5751633986928053E-2</v>
      </c>
      <c r="S75" s="211">
        <v>3.1746031746031855E-2</v>
      </c>
      <c r="T75" s="211">
        <v>-0.1097560975609756</v>
      </c>
      <c r="U75" s="211">
        <v>0.38888888888888884</v>
      </c>
      <c r="V75" s="211">
        <v>6.6666666666666652E-2</v>
      </c>
      <c r="W75" s="211">
        <v>8.9041095890410871E-2</v>
      </c>
      <c r="X75" s="211">
        <v>9.2307692307692202E-2</v>
      </c>
      <c r="Y75" s="211">
        <v>-0.17808219178082196</v>
      </c>
      <c r="Z75" s="211">
        <v>-0.31999999999999995</v>
      </c>
      <c r="AA75" s="211">
        <v>-0.32499999999999996</v>
      </c>
      <c r="AB75" s="211">
        <v>-0.20440251572327039</v>
      </c>
      <c r="AC75" s="22">
        <v>1.4084507042253502E-2</v>
      </c>
      <c r="AD75" s="22">
        <v>0.10000000000000009</v>
      </c>
      <c r="AE75" s="22">
        <v>1.3088235294117645</v>
      </c>
      <c r="AF75" s="31" t="s">
        <v>23</v>
      </c>
      <c r="AG75" s="211">
        <v>0.16600790513833985</v>
      </c>
      <c r="AH75" s="22">
        <v>-0.20833333333333337</v>
      </c>
      <c r="AI75" s="22">
        <v>0.24242424242424243</v>
      </c>
      <c r="AJ75" s="22">
        <v>-0.48407643312101911</v>
      </c>
      <c r="AK75" s="31" t="s">
        <v>23</v>
      </c>
      <c r="AL75" s="211">
        <v>5.0847457627118731E-2</v>
      </c>
      <c r="AM75" s="22">
        <v>0.43859649122807021</v>
      </c>
      <c r="AN75" s="22">
        <v>0</v>
      </c>
      <c r="AO75" s="22">
        <v>-0.19753086419753085</v>
      </c>
      <c r="AP75" s="22">
        <v>-0.15555555555555556</v>
      </c>
      <c r="AQ75" s="211">
        <v>-1.6129032258064502E-2</v>
      </c>
      <c r="AR75" s="22">
        <v>2.4390243902439046E-2</v>
      </c>
      <c r="AS75" s="22">
        <v>0.10975609756097571</v>
      </c>
      <c r="AT75" s="139"/>
      <c r="AU75" s="22">
        <v>0.35384615384615392</v>
      </c>
      <c r="AV75" s="278"/>
      <c r="AW75" s="22">
        <v>0.19736842105263164</v>
      </c>
      <c r="AX75" s="211">
        <v>0.16065573770491803</v>
      </c>
    </row>
    <row r="76" spans="2:50" ht="13.9" customHeight="1">
      <c r="B76" s="12" t="s">
        <v>160</v>
      </c>
      <c r="C76" s="215" t="s">
        <v>92</v>
      </c>
      <c r="D76" s="210">
        <v>0</v>
      </c>
      <c r="E76" s="210">
        <v>0</v>
      </c>
      <c r="F76" s="210">
        <v>0</v>
      </c>
      <c r="G76" s="210">
        <v>0</v>
      </c>
      <c r="H76" s="215" t="s">
        <v>92</v>
      </c>
      <c r="I76" s="210">
        <v>75</v>
      </c>
      <c r="J76" s="210">
        <v>50</v>
      </c>
      <c r="K76" s="210">
        <v>64</v>
      </c>
      <c r="L76" s="210">
        <f>M76-K76-J76-I76</f>
        <v>70</v>
      </c>
      <c r="M76" s="218">
        <v>259</v>
      </c>
      <c r="N76" s="210">
        <v>69</v>
      </c>
      <c r="O76" s="210">
        <v>46</v>
      </c>
      <c r="P76" s="210">
        <v>76</v>
      </c>
      <c r="Q76" s="210">
        <f>R76-P76-O76-N76</f>
        <v>51</v>
      </c>
      <c r="R76" s="218">
        <v>242</v>
      </c>
      <c r="S76" s="210">
        <v>67</v>
      </c>
      <c r="T76" s="210">
        <v>48</v>
      </c>
      <c r="U76" s="210">
        <v>67</v>
      </c>
      <c r="V76" s="210">
        <v>48</v>
      </c>
      <c r="W76" s="218">
        <v>230</v>
      </c>
      <c r="X76" s="210">
        <v>60</v>
      </c>
      <c r="Y76" s="210">
        <v>53</v>
      </c>
      <c r="Z76" s="210">
        <v>52</v>
      </c>
      <c r="AA76" s="210">
        <v>54</v>
      </c>
      <c r="AB76" s="218">
        <v>219</v>
      </c>
      <c r="AC76" s="19">
        <v>61</v>
      </c>
      <c r="AD76" s="19">
        <v>47</v>
      </c>
      <c r="AE76" s="19">
        <v>58</v>
      </c>
      <c r="AF76" s="19">
        <v>62</v>
      </c>
      <c r="AG76" s="218">
        <v>228</v>
      </c>
      <c r="AH76" s="19">
        <v>70</v>
      </c>
      <c r="AI76" s="19">
        <v>49</v>
      </c>
      <c r="AJ76" s="19">
        <v>57</v>
      </c>
      <c r="AK76" s="19">
        <v>94</v>
      </c>
      <c r="AL76" s="218">
        <v>270</v>
      </c>
      <c r="AM76" s="19">
        <v>79</v>
      </c>
      <c r="AN76" s="19">
        <v>52</v>
      </c>
      <c r="AO76" s="19">
        <v>58</v>
      </c>
      <c r="AP76" s="19">
        <v>55</v>
      </c>
      <c r="AQ76" s="218">
        <v>244</v>
      </c>
      <c r="AR76" s="19">
        <v>96</v>
      </c>
      <c r="AS76" s="19">
        <v>53</v>
      </c>
      <c r="AT76" s="137">
        <v>149</v>
      </c>
      <c r="AU76" s="19">
        <v>64</v>
      </c>
      <c r="AV76" s="276">
        <v>213</v>
      </c>
      <c r="AW76" s="19">
        <v>54</v>
      </c>
      <c r="AX76" s="218">
        <v>267</v>
      </c>
    </row>
    <row r="77" spans="2:50" ht="13.9" customHeight="1">
      <c r="B77" s="12"/>
      <c r="C77" s="215"/>
      <c r="D77" s="210"/>
      <c r="E77" s="210"/>
      <c r="F77" s="210"/>
      <c r="G77" s="210"/>
      <c r="H77" s="215"/>
      <c r="I77" s="210"/>
      <c r="J77" s="210"/>
      <c r="K77" s="210"/>
      <c r="L77" s="210"/>
      <c r="M77" s="218"/>
      <c r="N77" s="210"/>
      <c r="O77" s="210"/>
      <c r="P77" s="210"/>
      <c r="Q77" s="210"/>
      <c r="R77" s="218"/>
      <c r="S77" s="210"/>
      <c r="T77" s="210"/>
      <c r="U77" s="210"/>
      <c r="V77" s="210"/>
      <c r="W77" s="218"/>
      <c r="X77" s="210"/>
      <c r="Y77" s="210"/>
      <c r="Z77" s="210"/>
      <c r="AA77" s="210"/>
      <c r="AB77" s="218"/>
      <c r="AC77" s="19"/>
      <c r="AD77" s="19"/>
      <c r="AE77" s="19"/>
      <c r="AF77" s="19"/>
      <c r="AG77" s="218"/>
      <c r="AH77" s="19"/>
      <c r="AI77" s="19"/>
      <c r="AJ77" s="19"/>
      <c r="AK77" s="19"/>
      <c r="AL77" s="218"/>
      <c r="AM77" s="19"/>
      <c r="AN77" s="19"/>
      <c r="AO77" s="19"/>
      <c r="AP77" s="19"/>
      <c r="AQ77" s="218"/>
      <c r="AR77" s="19"/>
      <c r="AS77" s="19"/>
      <c r="AT77" s="137"/>
      <c r="AU77" s="19"/>
      <c r="AV77" s="276"/>
      <c r="AW77" s="19"/>
      <c r="AX77" s="218"/>
    </row>
    <row r="78" spans="2:50" ht="13.9" customHeight="1">
      <c r="B78" s="12" t="s">
        <v>318</v>
      </c>
      <c r="C78" s="218">
        <f>C65-C73</f>
        <v>341</v>
      </c>
      <c r="D78" s="218">
        <f>D65-D73</f>
        <v>44</v>
      </c>
      <c r="E78" s="218">
        <f>E65-E73</f>
        <v>111</v>
      </c>
      <c r="F78" s="218">
        <f>F65-F73</f>
        <v>131</v>
      </c>
      <c r="G78" s="210">
        <f>H78-F78-E78-D78</f>
        <v>10</v>
      </c>
      <c r="H78" s="218">
        <f>H65-H73</f>
        <v>296</v>
      </c>
      <c r="I78" s="218">
        <f>I65-I73-I76</f>
        <v>95</v>
      </c>
      <c r="J78" s="218">
        <f>J65-J73-J76</f>
        <v>41</v>
      </c>
      <c r="K78" s="218">
        <f>K65-K73-K76</f>
        <v>61</v>
      </c>
      <c r="L78" s="210">
        <f>M78-K78-J78-I78</f>
        <v>8</v>
      </c>
      <c r="M78" s="218">
        <f>M65-M73-M76</f>
        <v>205</v>
      </c>
      <c r="N78" s="218">
        <f>N65-N73-N76</f>
        <v>63</v>
      </c>
      <c r="O78" s="218">
        <f>O65-O73-O76</f>
        <v>8</v>
      </c>
      <c r="P78" s="218">
        <f>P65-P73-P76</f>
        <v>52</v>
      </c>
      <c r="Q78" s="210">
        <f>R78-P78-O78-N78</f>
        <v>20</v>
      </c>
      <c r="R78" s="218">
        <v>143</v>
      </c>
      <c r="S78" s="218">
        <v>32</v>
      </c>
      <c r="T78" s="218">
        <v>28</v>
      </c>
      <c r="U78" s="214">
        <v>-24</v>
      </c>
      <c r="V78" s="210">
        <v>113</v>
      </c>
      <c r="W78" s="218">
        <v>149</v>
      </c>
      <c r="X78" s="214">
        <v>-59</v>
      </c>
      <c r="Y78" s="218">
        <v>36</v>
      </c>
      <c r="Z78" s="214">
        <v>65</v>
      </c>
      <c r="AA78" s="214">
        <v>-89</v>
      </c>
      <c r="AB78" s="213">
        <v>-47</v>
      </c>
      <c r="AC78" s="19">
        <v>145</v>
      </c>
      <c r="AD78" s="25">
        <v>131</v>
      </c>
      <c r="AE78" s="61">
        <v>-12</v>
      </c>
      <c r="AF78" s="61">
        <v>87</v>
      </c>
      <c r="AG78" s="218">
        <v>351</v>
      </c>
      <c r="AH78" s="19">
        <v>6</v>
      </c>
      <c r="AI78" s="61">
        <v>-33</v>
      </c>
      <c r="AJ78" s="61">
        <v>104</v>
      </c>
      <c r="AK78" s="19">
        <v>56</v>
      </c>
      <c r="AL78" s="218">
        <v>133</v>
      </c>
      <c r="AM78" s="61">
        <v>-39</v>
      </c>
      <c r="AN78" s="61">
        <v>27</v>
      </c>
      <c r="AO78" s="61">
        <v>89</v>
      </c>
      <c r="AP78" s="19">
        <v>22</v>
      </c>
      <c r="AQ78" s="218">
        <v>99</v>
      </c>
      <c r="AR78" s="61">
        <v>-5</v>
      </c>
      <c r="AS78" s="19">
        <v>43</v>
      </c>
      <c r="AT78" s="137">
        <v>38</v>
      </c>
      <c r="AU78" s="19">
        <v>64</v>
      </c>
      <c r="AV78" s="276">
        <v>102</v>
      </c>
      <c r="AW78" s="19">
        <v>41</v>
      </c>
      <c r="AX78" s="218">
        <v>143</v>
      </c>
    </row>
    <row r="79" spans="2:50" ht="13.9" customHeight="1">
      <c r="B79" s="20" t="s">
        <v>5</v>
      </c>
      <c r="C79" s="211"/>
      <c r="D79" s="212"/>
      <c r="E79" s="212">
        <f>E78/D78-1</f>
        <v>1.5227272727272729</v>
      </c>
      <c r="F79" s="212">
        <f>F78/E78-1</f>
        <v>0.18018018018018012</v>
      </c>
      <c r="G79" s="212">
        <f>G78/F78-1</f>
        <v>-0.92366412213740456</v>
      </c>
      <c r="H79" s="211"/>
      <c r="I79" s="212">
        <f>I78/G78-1</f>
        <v>8.5</v>
      </c>
      <c r="J79" s="212">
        <f>J78/I78-1</f>
        <v>-0.56842105263157894</v>
      </c>
      <c r="K79" s="212">
        <f>K78/J78-1</f>
        <v>0.48780487804878048</v>
      </c>
      <c r="L79" s="212">
        <f>L78/K78-1</f>
        <v>-0.86885245901639341</v>
      </c>
      <c r="M79" s="211"/>
      <c r="N79" s="212">
        <f>N78/L78-1</f>
        <v>6.875</v>
      </c>
      <c r="O79" s="212">
        <f>O78/N78-1</f>
        <v>-0.87301587301587302</v>
      </c>
      <c r="P79" s="212">
        <f>P78/O78-1</f>
        <v>5.5</v>
      </c>
      <c r="Q79" s="212">
        <f>Q78/P78-1</f>
        <v>-0.61538461538461542</v>
      </c>
      <c r="R79" s="211"/>
      <c r="S79" s="212">
        <v>0.60000000000000009</v>
      </c>
      <c r="T79" s="212">
        <v>-0.125</v>
      </c>
      <c r="U79" s="216" t="s">
        <v>23</v>
      </c>
      <c r="V79" s="216" t="s">
        <v>23</v>
      </c>
      <c r="W79" s="211"/>
      <c r="X79" s="216" t="s">
        <v>23</v>
      </c>
      <c r="Y79" s="216" t="s">
        <v>23</v>
      </c>
      <c r="Z79" s="212">
        <v>0.80555555555555558</v>
      </c>
      <c r="AA79" s="216" t="s">
        <v>23</v>
      </c>
      <c r="AB79" s="211"/>
      <c r="AC79" s="31" t="s">
        <v>23</v>
      </c>
      <c r="AD79" s="21">
        <v>-9.6551724137931005E-2</v>
      </c>
      <c r="AE79" s="31" t="s">
        <v>23</v>
      </c>
      <c r="AF79" s="31" t="s">
        <v>23</v>
      </c>
      <c r="AG79" s="211"/>
      <c r="AH79" s="21">
        <v>-0.93103448275862066</v>
      </c>
      <c r="AI79" s="31" t="s">
        <v>23</v>
      </c>
      <c r="AJ79" s="31" t="s">
        <v>23</v>
      </c>
      <c r="AK79" s="21">
        <v>-0.46153846153846156</v>
      </c>
      <c r="AL79" s="211"/>
      <c r="AM79" s="31" t="s">
        <v>23</v>
      </c>
      <c r="AN79" s="31" t="s">
        <v>23</v>
      </c>
      <c r="AO79" s="21">
        <v>2.2962962962962963</v>
      </c>
      <c r="AP79" s="21">
        <v>-0.75280898876404501</v>
      </c>
      <c r="AQ79" s="211"/>
      <c r="AR79" s="31" t="s">
        <v>23</v>
      </c>
      <c r="AS79" s="31" t="s">
        <v>23</v>
      </c>
      <c r="AT79" s="138"/>
      <c r="AU79" s="21">
        <v>0.48837209302325579</v>
      </c>
      <c r="AV79" s="277"/>
      <c r="AW79" s="21">
        <v>-0.359375</v>
      </c>
      <c r="AX79" s="211"/>
    </row>
    <row r="80" spans="2:50" ht="13.9" customHeight="1">
      <c r="B80" s="20" t="s">
        <v>6</v>
      </c>
      <c r="C80" s="211"/>
      <c r="D80" s="211"/>
      <c r="E80" s="211"/>
      <c r="F80" s="211"/>
      <c r="G80" s="211"/>
      <c r="H80" s="211">
        <f t="shared" ref="H80:P80" si="17">H78/C78-1</f>
        <v>-0.13196480938416422</v>
      </c>
      <c r="I80" s="211">
        <f t="shared" si="17"/>
        <v>1.1590909090909092</v>
      </c>
      <c r="J80" s="211">
        <f t="shared" si="17"/>
        <v>-0.63063063063063063</v>
      </c>
      <c r="K80" s="211">
        <f t="shared" si="17"/>
        <v>-0.53435114503816794</v>
      </c>
      <c r="L80" s="211">
        <f t="shared" si="17"/>
        <v>-0.19999999999999996</v>
      </c>
      <c r="M80" s="211">
        <f t="shared" si="17"/>
        <v>-0.30743243243243246</v>
      </c>
      <c r="N80" s="211">
        <f t="shared" si="17"/>
        <v>-0.33684210526315794</v>
      </c>
      <c r="O80" s="211">
        <f t="shared" si="17"/>
        <v>-0.80487804878048785</v>
      </c>
      <c r="P80" s="211">
        <f t="shared" si="17"/>
        <v>-0.14754098360655743</v>
      </c>
      <c r="Q80" s="211">
        <f>Q78/L78-1</f>
        <v>1.5</v>
      </c>
      <c r="R80" s="211">
        <v>-0.30243902439024395</v>
      </c>
      <c r="S80" s="211">
        <v>-0.49206349206349209</v>
      </c>
      <c r="T80" s="211">
        <v>2.5</v>
      </c>
      <c r="U80" s="216" t="s">
        <v>23</v>
      </c>
      <c r="V80" s="211">
        <v>4.6500000000000004</v>
      </c>
      <c r="W80" s="211">
        <v>4.195804195804187E-2</v>
      </c>
      <c r="X80" s="216" t="s">
        <v>23</v>
      </c>
      <c r="Y80" s="211">
        <v>0.28571428571428581</v>
      </c>
      <c r="Z80" s="216" t="s">
        <v>23</v>
      </c>
      <c r="AA80" s="216" t="s">
        <v>23</v>
      </c>
      <c r="AB80" s="217" t="s">
        <v>23</v>
      </c>
      <c r="AC80" s="31" t="s">
        <v>23</v>
      </c>
      <c r="AD80" s="22">
        <v>2.6388888888888888</v>
      </c>
      <c r="AE80" s="31" t="s">
        <v>23</v>
      </c>
      <c r="AF80" s="31" t="s">
        <v>23</v>
      </c>
      <c r="AG80" s="217" t="s">
        <v>23</v>
      </c>
      <c r="AH80" s="22">
        <v>-0.95862068965517244</v>
      </c>
      <c r="AI80" s="31" t="s">
        <v>23</v>
      </c>
      <c r="AJ80" s="31" t="s">
        <v>23</v>
      </c>
      <c r="AK80" s="22">
        <v>-0.35632183908045978</v>
      </c>
      <c r="AL80" s="211">
        <v>-0.62108262108262102</v>
      </c>
      <c r="AM80" s="31" t="s">
        <v>23</v>
      </c>
      <c r="AN80" s="31" t="s">
        <v>23</v>
      </c>
      <c r="AO80" s="22">
        <v>-0.14423076923076927</v>
      </c>
      <c r="AP80" s="22">
        <v>-0.60714285714285721</v>
      </c>
      <c r="AQ80" s="211">
        <v>-0.25563909774436089</v>
      </c>
      <c r="AR80" s="22">
        <v>-0.87179487179487181</v>
      </c>
      <c r="AS80" s="22">
        <v>0.59259259259259256</v>
      </c>
      <c r="AT80" s="159"/>
      <c r="AU80" s="22">
        <v>-0.2808988764044944</v>
      </c>
      <c r="AV80" s="278"/>
      <c r="AW80" s="22">
        <v>0.86363636363636354</v>
      </c>
      <c r="AX80" s="211">
        <v>0.44444444444444442</v>
      </c>
    </row>
    <row r="81" spans="2:50" ht="3.75" customHeight="1">
      <c r="B81" s="186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</row>
  </sheetData>
  <pageMargins left="0.39370078740157483" right="0.39370078740157483" top="0.39370078740157483" bottom="0.19685039370078741" header="0.31496062992125984" footer="0.31496062992125984"/>
  <pageSetup paperSize="9" scale="68" orientation="landscape" r:id="rId1"/>
  <headerFooter>
    <oddHeader>&amp;CBezeq - The Israeli Telecommunications Corp., Ltd.</oddHeader>
    <oddFooter>&amp;R&amp;P of &amp;N
Pelephone
 financial metrics</oddFooter>
  </headerFooter>
  <rowBreaks count="1" manualBreakCount="1">
    <brk id="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30</vt:i4>
      </vt:variant>
    </vt:vector>
  </HeadingPairs>
  <TitlesOfParts>
    <vt:vector size="48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Shareholder Remuneration</vt:lpstr>
      <vt:lpstr>Glossary </vt:lpstr>
      <vt:lpstr>KPIs!_ftn1</vt:lpstr>
      <vt:lpstr>'Group BS'!_Hlk182751718</vt:lpstr>
      <vt:lpstr>' Segments'!WPrint_Area_W</vt:lpstr>
      <vt:lpstr>'B. Intl'!WPrint_Area_W</vt:lpstr>
      <vt:lpstr>'Debt Repayments'!WPrint_Area_W</vt:lpstr>
      <vt:lpstr>'Debt Terms'!WPrint_Area_W</vt:lpstr>
      <vt:lpstr>'Fixed-Line'!WPrint_Area_W</vt:lpstr>
      <vt:lpstr>'Glossary '!WPrint_Area_W</vt:lpstr>
      <vt:lpstr>'Group BS'!WPrint_Area_W</vt:lpstr>
      <vt:lpstr>'Group CF'!WPrint_Area_W</vt:lpstr>
      <vt:lpstr>'Group Guidance'!WPrint_Area_W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'Shareholder Remuneration'!WPrint_Area_W</vt:lpstr>
      <vt:lpstr>'Subs-Adj #s'!WPrint_Area_W</vt:lpstr>
      <vt:lpstr>yes!WPrint_Area_W</vt:lpstr>
      <vt:lpstr>'B. Intl'!WPrint_TitlesW</vt:lpstr>
      <vt:lpstr>'Debt Repayments'!WPrint_TitlesW</vt:lpstr>
      <vt:lpstr>'Fixed-Line'!WPrint_TitlesW</vt:lpstr>
      <vt:lpstr>'Group P&amp;L'!WPrint_TitlesW</vt:lpstr>
      <vt:lpstr>'Group-Other'!WPrint_TitlesW</vt:lpstr>
      <vt:lpstr>KPIs!WPrint_TitlesW</vt:lpstr>
      <vt:lpstr>Pelephone!WPrint_TitlesW</vt:lpstr>
      <vt:lpstr>'Shareholder Remuneration'!WPrint_TitlesW</vt:lpstr>
      <vt:lpstr>'Subs-Adj #s'!WPrint_TitlesW</vt:lpstr>
      <vt:lpstr>yes!WPrint_TitlesW</vt:lpstr>
    </vt:vector>
  </TitlesOfParts>
  <Manager/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bezeq</dc:creator>
  <cp:keywords/>
  <dc:description/>
  <cp:lastModifiedBy>נפתלי שטרנליכט - חטיבת כספים - Naftali Shternlicht</cp:lastModifiedBy>
  <cp:lastPrinted>2026-03-08T14:43:36Z</cp:lastPrinted>
  <dcterms:created xsi:type="dcterms:W3CDTF">1999-09-09T08:56:33Z</dcterms:created>
  <dcterms:modified xsi:type="dcterms:W3CDTF">2026-03-08T19:24:29Z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