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P:\merkaz\azrieli\planning_corp\נפתלי שטרנליכט\IR\Materials\2020\Q1 2020\Metrics\Metrics -Q1 2020- without formulas\"/>
    </mc:Choice>
  </mc:AlternateContent>
  <bookViews>
    <workbookView xWindow="0" yWindow="0" windowWidth="12240" windowHeight="9240" tabRatio="859" firstSheet="2"/>
  </bookViews>
  <sheets>
    <sheet name="Index" sheetId="1" r:id="rId1"/>
    <sheet name="I - Financials" sheetId="2" r:id="rId2"/>
    <sheet name="II- Other income-exp" sheetId="7" r:id="rId3"/>
    <sheet name="III - KPIs" sheetId="3" r:id="rId4"/>
    <sheet name="IV - Debt Repayments" sheetId="8" r:id="rId5"/>
    <sheet name="IV-Debt Terms" sheetId="9" r:id="rId6"/>
    <sheet name="V-Fixed CF Forecast" sheetId="10" r:id="rId7"/>
    <sheet name="VI - Dividends" sheetId="6" r:id="rId8"/>
    <sheet name="VII - Glossary " sheetId="4" r:id="rId9"/>
  </sheets>
  <definedNames>
    <definedName name="_ftn1" localSheetId="3">'III - KPIs'!$AP$91</definedName>
    <definedName name="_ftn2" localSheetId="3">'III - KPIs'!$AP$92</definedName>
    <definedName name="_ftnref1" localSheetId="3">'III - KPIs'!$AP$85</definedName>
    <definedName name="_ftnref2" localSheetId="3">'III - KPIs'!$AP$86</definedName>
    <definedName name="ProjectName">{"Client Name or Project Name"}</definedName>
    <definedName name="_xlnm.Print_Area" localSheetId="1">'I - Financials'!$A$1:$BK$559</definedName>
    <definedName name="_xlnm.Print_Area" localSheetId="2">'II- Other income-exp'!$A$4:$AH$33</definedName>
    <definedName name="_xlnm.Print_Area" localSheetId="3">'III - KPIs'!$A$1:$BK$130</definedName>
    <definedName name="_xlnm.Print_Area" localSheetId="0">Index!$A$1:$L$34</definedName>
    <definedName name="_xlnm.Print_Area" localSheetId="4">'IV - Debt Repayments'!$B$1:$F$70</definedName>
    <definedName name="_xlnm.Print_Area" localSheetId="6">'V-Fixed CF Forecast'!$B$1:$E$49</definedName>
    <definedName name="_xlnm.Print_Area" localSheetId="7">'VI - Dividends'!$A$10:$D$42</definedName>
    <definedName name="_xlnm.Print_Area" localSheetId="8">'VII - Glossary '!$A$1:$M$21</definedName>
    <definedName name="_xlnm.Print_Titles" localSheetId="1">'I - Financials'!$1:$5</definedName>
    <definedName name="_xlnm.Print_Titles" localSheetId="3">'III - KPIs'!$1:$4</definedName>
    <definedName name="_xlnm.Print_Titles" localSheetId="4">'IV - Debt Repayments'!$1:$6</definedName>
    <definedName name="_xlnm.Print_Titles" localSheetId="7">'VI - Dividends'!$1:$9</definedName>
    <definedName name="Z_44BC518B_F505_4956_BE42_792973965029_.wvu.PrintArea" localSheetId="1" hidden="1">'I - Financials'!$A$1:$R$526</definedName>
    <definedName name="Z_44BC518B_F505_4956_BE42_792973965029_.wvu.PrintArea" localSheetId="3" hidden="1">'III - KPIs'!$A$1:$R$128</definedName>
    <definedName name="Z_44BC518B_F505_4956_BE42_792973965029_.wvu.PrintArea" localSheetId="0" hidden="1">Index!$A$1:$L$33</definedName>
    <definedName name="Z_44BC518B_F505_4956_BE42_792973965029_.wvu.PrintArea" localSheetId="8" hidden="1">'VII - Glossary '!$A$1:$M$22</definedName>
    <definedName name="Z_44BC518B_F505_4956_BE42_792973965029_.wvu.PrintTitles" localSheetId="1" hidden="1">'I - Financials'!$1:$5</definedName>
    <definedName name="Z_44BC518B_F505_4956_BE42_792973965029_.wvu.PrintTitles" localSheetId="3" hidden="1">'III - KPIs'!$1:$4</definedName>
    <definedName name="Z_67DDFA58_7FF7_4BDB_BFFF_31DB4021D095_.wvu.Cols" localSheetId="1" hidden="1">'I - Financials'!$C:$F,'I - Financials'!$H:$K,'I - Financials'!$M:$P</definedName>
    <definedName name="Z_67DDFA58_7FF7_4BDB_BFFF_31DB4021D095_.wvu.Cols" localSheetId="3" hidden="1">'III - KPIs'!$B:$F,'III - KPIs'!$H:$K,'III - KPIs'!$M:$P</definedName>
    <definedName name="Z_67DDFA58_7FF7_4BDB_BFFF_31DB4021D095_.wvu.PrintArea" localSheetId="1" hidden="1">'I - Financials'!$A$1:$AD$526</definedName>
    <definedName name="Z_67DDFA58_7FF7_4BDB_BFFF_31DB4021D095_.wvu.PrintArea" localSheetId="3" hidden="1">'III - KPIs'!$A$1:$AD$128</definedName>
    <definedName name="Z_67DDFA58_7FF7_4BDB_BFFF_31DB4021D095_.wvu.PrintArea" localSheetId="0" hidden="1">Index!$A$1:$L$33</definedName>
    <definedName name="Z_67DDFA58_7FF7_4BDB_BFFF_31DB4021D095_.wvu.PrintArea" localSheetId="8" hidden="1">'VII - Glossary '!$A$1:$M$22</definedName>
    <definedName name="Z_67DDFA58_7FF7_4BDB_BFFF_31DB4021D095_.wvu.PrintTitles" localSheetId="1" hidden="1">'I - Financials'!$1:$5</definedName>
    <definedName name="Z_67DDFA58_7FF7_4BDB_BFFF_31DB4021D095_.wvu.PrintTitles" localSheetId="3" hidden="1">'III - KPIs'!$1:$4</definedName>
    <definedName name="Z_67DDFA58_7FF7_4BDB_BFFF_31DB4021D095_.wvu.PrintTitles" localSheetId="7" hidden="1">'VI - Dividends'!$1:$9</definedName>
    <definedName name="Z_6A44E415_E6EC_4CA2_8B4C_A374F00F0261_.wvu.PrintArea" localSheetId="1" hidden="1">'I - Financials'!$A$1:$J$526</definedName>
    <definedName name="Z_6A44E415_E6EC_4CA2_8B4C_A374F00F0261_.wvu.PrintArea" localSheetId="3" hidden="1">'III - KPIs'!$A$1:$I$128</definedName>
    <definedName name="Z_6A44E415_E6EC_4CA2_8B4C_A374F00F0261_.wvu.PrintArea" localSheetId="0" hidden="1">Index!$A$1:$L$33</definedName>
    <definedName name="Z_6A44E415_E6EC_4CA2_8B4C_A374F00F0261_.wvu.PrintArea" localSheetId="8" hidden="1">'VII - Glossary '!$A$1:$M$21</definedName>
    <definedName name="Z_6A44E415_E6EC_4CA2_8B4C_A374F00F0261_.wvu.PrintTitles" localSheetId="1" hidden="1">'I - Financials'!$1:$5</definedName>
    <definedName name="Z_6A44E415_E6EC_4CA2_8B4C_A374F00F0261_.wvu.PrintTitles" localSheetId="3" hidden="1">'III - KPIs'!$1:$4</definedName>
    <definedName name="Z_7DC6D345_C4C0_4162_8636_D495A245EBF8_.wvu.Cols" localSheetId="1" hidden="1">'I - Financials'!$C:$F,'I - Financials'!$H:$K,'I - Financials'!$M:$P</definedName>
    <definedName name="Z_7DC6D345_C4C0_4162_8636_D495A245EBF8_.wvu.Cols" localSheetId="3" hidden="1">'III - KPIs'!$B:$F,'III - KPIs'!$H:$K,'III - KPIs'!$M:$P</definedName>
    <definedName name="Z_7DC6D345_C4C0_4162_8636_D495A245EBF8_.wvu.PrintArea" localSheetId="1" hidden="1">'I - Financials'!$A$1:$AD$526</definedName>
    <definedName name="Z_7DC6D345_C4C0_4162_8636_D495A245EBF8_.wvu.PrintArea" localSheetId="3" hidden="1">'III - KPIs'!$A$1:$AD$128</definedName>
    <definedName name="Z_7DC6D345_C4C0_4162_8636_D495A245EBF8_.wvu.PrintArea" localSheetId="0" hidden="1">Index!$A$1:$L$33</definedName>
    <definedName name="Z_7DC6D345_C4C0_4162_8636_D495A245EBF8_.wvu.PrintArea" localSheetId="8" hidden="1">'VII - Glossary '!$A$1:$M$22</definedName>
    <definedName name="Z_7DC6D345_C4C0_4162_8636_D495A245EBF8_.wvu.PrintTitles" localSheetId="1" hidden="1">'I - Financials'!$1:$5</definedName>
    <definedName name="Z_7DC6D345_C4C0_4162_8636_D495A245EBF8_.wvu.PrintTitles" localSheetId="3" hidden="1">'III - KPIs'!$1:$4</definedName>
    <definedName name="Z_C32ED439_2914_4073_BFBF_7718D6CFE811_.wvu.PrintArea" localSheetId="1" hidden="1">'I - Financials'!$A$1:$R$526</definedName>
    <definedName name="Z_C32ED439_2914_4073_BFBF_7718D6CFE811_.wvu.PrintArea" localSheetId="3" hidden="1">'III - KPIs'!$A$1:$R$128</definedName>
    <definedName name="Z_C32ED439_2914_4073_BFBF_7718D6CFE811_.wvu.PrintArea" localSheetId="0" hidden="1">Index!$A$1:$L$33</definedName>
    <definedName name="Z_C32ED439_2914_4073_BFBF_7718D6CFE811_.wvu.PrintArea" localSheetId="8" hidden="1">'VII - Glossary '!$A$1:$M$22</definedName>
    <definedName name="Z_C32ED439_2914_4073_BFBF_7718D6CFE811_.wvu.PrintTitles" localSheetId="1" hidden="1">'I - Financials'!$1:$5</definedName>
    <definedName name="Z_C32ED439_2914_4073_BFBF_7718D6CFE811_.wvu.PrintTitles" localSheetId="3" hidden="1">'III - KPIs'!$1:$4</definedName>
    <definedName name="Z_C6BBAF30_1E81_42FB_BA93_01B6813E2C8C_.wvu.PrintArea" localSheetId="1" hidden="1">'I - Financials'!$A$1:$O$526</definedName>
    <definedName name="Z_C6BBAF30_1E81_42FB_BA93_01B6813E2C8C_.wvu.PrintArea" localSheetId="3" hidden="1">'III - KPIs'!$A$1:$O$128</definedName>
    <definedName name="Z_C6BBAF30_1E81_42FB_BA93_01B6813E2C8C_.wvu.PrintArea" localSheetId="0" hidden="1">Index!$A$1:$L$33</definedName>
    <definedName name="Z_C6BBAF30_1E81_42FB_BA93_01B6813E2C8C_.wvu.PrintArea" localSheetId="8" hidden="1">'VII - Glossary '!$A$1:$M$21</definedName>
    <definedName name="Z_C6BBAF30_1E81_42FB_BA93_01B6813E2C8C_.wvu.PrintTitles" localSheetId="1" hidden="1">'I - Financials'!$1:$5</definedName>
    <definedName name="Z_C6BBAF30_1E81_42FB_BA93_01B6813E2C8C_.wvu.PrintTitles" localSheetId="3" hidden="1">'III - KPIs'!$1:$4</definedName>
    <definedName name="Z_F07085DA_2B2D_4BE1_891D_F25D604A092E_.wvu.PrintArea" localSheetId="1" hidden="1">'I - Financials'!$A$1:$M$526</definedName>
    <definedName name="Z_F07085DA_2B2D_4BE1_891D_F25D604A092E_.wvu.PrintArea" localSheetId="3" hidden="1">'III - KPIs'!$A$1:$M$128</definedName>
    <definedName name="Z_F07085DA_2B2D_4BE1_891D_F25D604A092E_.wvu.PrintArea" localSheetId="0" hidden="1">Index!$A$1:$L$33</definedName>
    <definedName name="Z_F07085DA_2B2D_4BE1_891D_F25D604A092E_.wvu.PrintArea" localSheetId="8" hidden="1">'VII - Glossary '!$A$1:$M$21</definedName>
    <definedName name="Z_F07085DA_2B2D_4BE1_891D_F25D604A092E_.wvu.PrintTitles" localSheetId="1" hidden="1">'I - Financials'!$1:$5</definedName>
    <definedName name="Z_F07085DA_2B2D_4BE1_891D_F25D604A092E_.wvu.PrintTitles" localSheetId="3" hidden="1">'III - KPIs'!$1:$4</definedName>
  </definedNames>
  <calcPr calcId="162913" calcMode="autoNoTable" iterate="1" iterateCount="1"/>
  <customWorkbookViews>
    <customWorkbookView name="Administrator - Personal View" guid="{C6BBAF30-1E81-42FB-BA93-01B6813E2C8C}" mergeInterval="0" personalView="1" maximized="1" windowWidth="1020" windowHeight="569" tabRatio="597" activeSheetId="1"/>
    <customWorkbookView name="Administrator - תצוגה אישית" guid="{F07085DA-2B2D-4BE1-891D-F25D604A092E}" mergeInterval="0" personalView="1" maximized="1" windowWidth="796" windowHeight="371" activeSheetId="2"/>
    <customWorkbookView name="30703826 - תצוגה אישית" guid="{6A44E415-E6EC-4CA2-8B4C-A374F00F0261}" mergeInterval="0" personalView="1" maximized="1" windowWidth="1276" windowHeight="661" activeSheetId="2"/>
    <customWorkbookView name="Erik Knettel - Personal View" guid="{C32ED439-2914-4073-BFBF-7718D6CFE811}" mergeInterval="0" personalView="1" maximized="1" xWindow="1" yWindow="1" windowWidth="1276" windowHeight="559" activeSheetId="4"/>
    <customWorkbookView name="30210485 - תצוגה אישית" guid="{44BC518B-F505-4956-BE42-792973965029}" mergeInterval="0" personalView="1" maximized="1" xWindow="1" yWindow="1" windowWidth="1024" windowHeight="548" activeSheetId="2"/>
    <customWorkbookView name="נפתלי שטרנליכט - חטיבת כספים - Naftali Shternlicht - תצוגה אישית" guid="{7DC6D345-C4C0-4162-8636-D495A245EBF8}" mergeInterval="0" personalView="1" maximized="1" windowWidth="1280" windowHeight="743" tabRatio="675" activeSheetId="2"/>
    <customWorkbookView name="eknettel - Personal View" guid="{67DDFA58-7FF7-4BDB-BFFF-31DB4021D095}" mergeInterval="0" personalView="1" maximized="1" xWindow="1" yWindow="1" windowWidth="1362" windowHeight="538" tabRatio="675" activeSheetId="6"/>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37" i="8" l="1"/>
  <c r="F21" i="8" l="1"/>
  <c r="F22" i="8"/>
  <c r="F23" i="8"/>
  <c r="F24" i="8"/>
  <c r="F25" i="8"/>
  <c r="F26" i="8" l="1"/>
  <c r="E44" i="10" l="1"/>
  <c r="D44" i="10"/>
  <c r="C44" i="10"/>
  <c r="C37" i="10"/>
  <c r="C30" i="10"/>
  <c r="C24" i="10"/>
  <c r="C18" i="10"/>
  <c r="C16" i="10"/>
  <c r="C38" i="10" l="1"/>
  <c r="C45" i="10" s="1"/>
  <c r="C19" i="10"/>
  <c r="C25" i="10" s="1"/>
  <c r="C47" i="10" l="1"/>
  <c r="BK79" i="3" l="1"/>
  <c r="BK74" i="3"/>
  <c r="E37" i="10" l="1"/>
  <c r="D37" i="10"/>
  <c r="E30" i="10"/>
  <c r="D30" i="10"/>
  <c r="E24" i="10"/>
  <c r="D24" i="10"/>
  <c r="E18" i="10"/>
  <c r="D18" i="10"/>
  <c r="E16" i="10"/>
  <c r="E19" i="10" s="1"/>
  <c r="D16" i="10"/>
  <c r="D19" i="10" s="1"/>
  <c r="D38" i="10" l="1"/>
  <c r="D45" i="10" s="1"/>
  <c r="E38" i="10"/>
  <c r="E45" i="10" s="1"/>
  <c r="E25" i="10"/>
  <c r="D25" i="10"/>
  <c r="D47" i="10" l="1"/>
  <c r="E47" i="10"/>
  <c r="BK122" i="3" l="1"/>
  <c r="BK121" i="3"/>
  <c r="BK118" i="3"/>
  <c r="BK117" i="3"/>
  <c r="BK116" i="3"/>
  <c r="BK86" i="3"/>
  <c r="BK85" i="3"/>
  <c r="BK82" i="3"/>
  <c r="BK81" i="3"/>
  <c r="BK80" i="3"/>
  <c r="BK77" i="3"/>
  <c r="BK76" i="3"/>
  <c r="BK75" i="3"/>
  <c r="BK71" i="3"/>
  <c r="BK70" i="3"/>
  <c r="BK72" i="3"/>
  <c r="BK55" i="3"/>
  <c r="BK54" i="3"/>
  <c r="BK52" i="3"/>
  <c r="BK51" i="3"/>
  <c r="BK48" i="3"/>
  <c r="BK47" i="3"/>
  <c r="BK46" i="3"/>
  <c r="BK42" i="3"/>
  <c r="BK41" i="3"/>
  <c r="BK40" i="3"/>
  <c r="BK34" i="3"/>
  <c r="BK37" i="3" s="1"/>
  <c r="BK29" i="3"/>
  <c r="BK26" i="3"/>
  <c r="BK25" i="3"/>
  <c r="BK22" i="3"/>
  <c r="BK21" i="3"/>
  <c r="BK20" i="3"/>
  <c r="BK17" i="3"/>
  <c r="BK16" i="3"/>
  <c r="BK13" i="3"/>
  <c r="BK12" i="3"/>
  <c r="AH32" i="7"/>
  <c r="BK35" i="3" l="1"/>
  <c r="BK43" i="3"/>
  <c r="BK36" i="3"/>
  <c r="G387" i="2" l="1"/>
  <c r="G389" i="2"/>
  <c r="L387" i="2"/>
  <c r="L389" i="2"/>
  <c r="Q387" i="2"/>
  <c r="Q389" i="2"/>
  <c r="V387" i="2"/>
  <c r="V389" i="2"/>
  <c r="AG26" i="7" l="1"/>
  <c r="F65" i="8" l="1"/>
  <c r="F66" i="8"/>
  <c r="F67" i="8"/>
  <c r="F68" i="8"/>
  <c r="F64" i="8"/>
  <c r="E54" i="8"/>
  <c r="E55" i="8"/>
  <c r="E56" i="8"/>
  <c r="E57" i="8"/>
  <c r="E53" i="8"/>
  <c r="D54" i="8"/>
  <c r="D55" i="8"/>
  <c r="D56" i="8"/>
  <c r="D57" i="8"/>
  <c r="C53" i="8"/>
  <c r="D53" i="8"/>
  <c r="C54" i="8"/>
  <c r="C55" i="8"/>
  <c r="C56" i="8"/>
  <c r="C57" i="8"/>
  <c r="F44" i="8"/>
  <c r="F45" i="8"/>
  <c r="F46" i="8"/>
  <c r="F47" i="8"/>
  <c r="F43" i="8"/>
  <c r="F33" i="8"/>
  <c r="F34" i="8"/>
  <c r="F35" i="8"/>
  <c r="F36" i="8"/>
  <c r="F32" i="8"/>
  <c r="F53" i="8" s="1"/>
  <c r="F55" i="8" l="1"/>
  <c r="F57" i="8"/>
  <c r="F56" i="8"/>
  <c r="F54" i="8"/>
  <c r="AG32" i="7"/>
  <c r="E39" i="9" l="1"/>
  <c r="E33" i="9"/>
  <c r="E36" i="9"/>
  <c r="E37" i="9" s="1"/>
  <c r="BI124" i="3" l="1"/>
  <c r="BJ105" i="3" l="1"/>
  <c r="BJ34" i="3" l="1"/>
  <c r="D19" i="9" l="1"/>
  <c r="E19" i="9"/>
  <c r="D38" i="9"/>
  <c r="E38" i="9"/>
  <c r="C38" i="9"/>
  <c r="C39" i="9" s="1"/>
  <c r="D28" i="9"/>
  <c r="E28" i="9"/>
  <c r="C28" i="9"/>
  <c r="C19" i="9"/>
  <c r="D14" i="9"/>
  <c r="D21" i="9" s="1"/>
  <c r="E14" i="9"/>
  <c r="C14" i="9"/>
  <c r="E21" i="9" l="1"/>
  <c r="D39" i="9"/>
  <c r="C21" i="9"/>
  <c r="C41" i="9" s="1"/>
  <c r="D41" i="9"/>
  <c r="E41" i="9" l="1"/>
  <c r="BI126" i="3"/>
  <c r="BI88" i="3"/>
  <c r="BJ69" i="3"/>
  <c r="BJ72" i="3" s="1"/>
  <c r="BI53" i="3"/>
  <c r="BI55" i="3" s="1"/>
  <c r="BI39" i="3"/>
  <c r="BI41" i="3" s="1"/>
  <c r="BJ127" i="3"/>
  <c r="BJ122" i="3"/>
  <c r="BI122" i="3"/>
  <c r="BI121" i="3"/>
  <c r="BJ118" i="3"/>
  <c r="BJ117" i="3"/>
  <c r="BI115" i="3"/>
  <c r="BI116" i="3" s="1"/>
  <c r="BJ102" i="3"/>
  <c r="BI100" i="3"/>
  <c r="BJ91" i="3"/>
  <c r="BI90" i="3"/>
  <c r="BJ86" i="3"/>
  <c r="BI86" i="3"/>
  <c r="BI85" i="3"/>
  <c r="BJ82" i="3"/>
  <c r="BJ81" i="3"/>
  <c r="BI79" i="3"/>
  <c r="BI80" i="3" s="1"/>
  <c r="BJ77" i="3"/>
  <c r="BI74" i="3"/>
  <c r="BI77" i="3" s="1"/>
  <c r="BJ58" i="3"/>
  <c r="BI57" i="3"/>
  <c r="BJ55" i="3"/>
  <c r="BJ52" i="3"/>
  <c r="BI52" i="3"/>
  <c r="BI51" i="3"/>
  <c r="BI48" i="3"/>
  <c r="BI47" i="3"/>
  <c r="BI46" i="3"/>
  <c r="BJ43" i="3"/>
  <c r="BJ42" i="3"/>
  <c r="BJ41" i="3"/>
  <c r="BJ37" i="3"/>
  <c r="BJ36" i="3"/>
  <c r="BI34" i="3"/>
  <c r="BI29" i="3"/>
  <c r="BJ26" i="3"/>
  <c r="BI26" i="3"/>
  <c r="BI25" i="3"/>
  <c r="BJ22" i="3"/>
  <c r="BJ21" i="3"/>
  <c r="BI19" i="3"/>
  <c r="BJ17" i="3"/>
  <c r="BI15" i="3"/>
  <c r="BI16" i="3" s="1"/>
  <c r="BJ13" i="3"/>
  <c r="BI11" i="3"/>
  <c r="BI42" i="3" l="1"/>
  <c r="BI40" i="3"/>
  <c r="BI69" i="3"/>
  <c r="BI54" i="3"/>
  <c r="BJ71" i="3"/>
  <c r="BI82" i="3"/>
  <c r="BI75" i="3"/>
  <c r="BI43" i="3"/>
  <c r="BI22" i="3"/>
  <c r="BI12" i="3"/>
  <c r="BI20" i="3"/>
  <c r="BI118" i="3"/>
  <c r="F69" i="8"/>
  <c r="E69" i="8"/>
  <c r="D69" i="8"/>
  <c r="C69" i="8"/>
  <c r="F58" i="8"/>
  <c r="E58" i="8"/>
  <c r="D58" i="8"/>
  <c r="C58" i="8"/>
  <c r="F48" i="8"/>
  <c r="E48" i="8"/>
  <c r="D48" i="8"/>
  <c r="C48" i="8"/>
  <c r="E37" i="8"/>
  <c r="D37" i="8"/>
  <c r="C37" i="8"/>
  <c r="D26" i="8"/>
  <c r="E26" i="8"/>
  <c r="C26" i="8"/>
  <c r="AF30" i="7"/>
  <c r="AF24" i="7"/>
  <c r="AF18" i="7"/>
  <c r="AA24" i="7" l="1"/>
  <c r="AX466" i="2" l="1"/>
  <c r="AW466" i="2"/>
  <c r="AV466" i="2"/>
  <c r="AU466" i="2"/>
  <c r="AS466" i="2"/>
  <c r="AR466" i="2"/>
  <c r="AQ466" i="2"/>
  <c r="AP466" i="2"/>
  <c r="AN466" i="2"/>
  <c r="AM466" i="2"/>
  <c r="AL466" i="2"/>
  <c r="AX465" i="2"/>
  <c r="AW465" i="2"/>
  <c r="AS465" i="2"/>
  <c r="AR465" i="2"/>
  <c r="AN465" i="2"/>
  <c r="AM465" i="2"/>
  <c r="AI465" i="2"/>
  <c r="AH465" i="2"/>
  <c r="AY464" i="2"/>
  <c r="AY465" i="2" s="1"/>
  <c r="AT464" i="2"/>
  <c r="AV465" i="2" s="1"/>
  <c r="AO464" i="2"/>
  <c r="AO465" i="2" s="1"/>
  <c r="AJ464" i="2"/>
  <c r="AL465" i="2" s="1"/>
  <c r="AX463" i="2"/>
  <c r="AW463" i="2"/>
  <c r="AV463" i="2"/>
  <c r="AU463" i="2"/>
  <c r="AS463" i="2"/>
  <c r="AR463" i="2"/>
  <c r="AQ463" i="2"/>
  <c r="AP463" i="2"/>
  <c r="AN463" i="2"/>
  <c r="AM463" i="2"/>
  <c r="AL463" i="2"/>
  <c r="AX462" i="2"/>
  <c r="AW462" i="2"/>
  <c r="AS462" i="2"/>
  <c r="AR462" i="2"/>
  <c r="AN462" i="2"/>
  <c r="AM462" i="2"/>
  <c r="AI462" i="2"/>
  <c r="AH462" i="2"/>
  <c r="AY461" i="2"/>
  <c r="AY462" i="2" s="1"/>
  <c r="AT461" i="2"/>
  <c r="AV462" i="2" s="1"/>
  <c r="AO461" i="2"/>
  <c r="AQ462" i="2" s="1"/>
  <c r="AJ461" i="2"/>
  <c r="AL462" i="2" s="1"/>
  <c r="AX411" i="2"/>
  <c r="AW411" i="2"/>
  <c r="AV411" i="2"/>
  <c r="AU411" i="2"/>
  <c r="AS411" i="2"/>
  <c r="AR411" i="2"/>
  <c r="AQ411" i="2"/>
  <c r="AP411" i="2"/>
  <c r="AN411" i="2"/>
  <c r="AM411" i="2"/>
  <c r="AL411" i="2"/>
  <c r="AK411" i="2"/>
  <c r="AI411" i="2"/>
  <c r="AH411" i="2"/>
  <c r="AG411" i="2"/>
  <c r="AF411" i="2"/>
  <c r="AX410" i="2"/>
  <c r="AW410" i="2"/>
  <c r="AS410" i="2"/>
  <c r="AR410" i="2"/>
  <c r="AN410" i="2"/>
  <c r="AM410" i="2"/>
  <c r="AI410" i="2"/>
  <c r="AH410" i="2"/>
  <c r="AD410" i="2"/>
  <c r="AC410" i="2"/>
  <c r="AY409" i="2"/>
  <c r="AY410" i="2" s="1"/>
  <c r="AT409" i="2"/>
  <c r="AT410" i="2" s="1"/>
  <c r="AO409" i="2"/>
  <c r="AO410" i="2" s="1"/>
  <c r="AJ409" i="2"/>
  <c r="AE409" i="2"/>
  <c r="AE410" i="2" s="1"/>
  <c r="AX336" i="2"/>
  <c r="AW336" i="2"/>
  <c r="AV336" i="2"/>
  <c r="AU336" i="2"/>
  <c r="AS336" i="2"/>
  <c r="AR336" i="2"/>
  <c r="AQ336" i="2"/>
  <c r="AP336" i="2"/>
  <c r="AN336" i="2"/>
  <c r="AM336" i="2"/>
  <c r="AL336" i="2"/>
  <c r="AK336" i="2"/>
  <c r="AI336" i="2"/>
  <c r="AH336" i="2"/>
  <c r="AG336" i="2"/>
  <c r="AF336" i="2"/>
  <c r="AA336" i="2"/>
  <c r="V336" i="2"/>
  <c r="Q336" i="2"/>
  <c r="L336" i="2"/>
  <c r="G336" i="2"/>
  <c r="AX335" i="2"/>
  <c r="AW335" i="2"/>
  <c r="AS335" i="2"/>
  <c r="AR335" i="2"/>
  <c r="AN335" i="2"/>
  <c r="AM335" i="2"/>
  <c r="AI335" i="2"/>
  <c r="AH335" i="2"/>
  <c r="AD335" i="2"/>
  <c r="AC335" i="2"/>
  <c r="AY334" i="2"/>
  <c r="AT334" i="2"/>
  <c r="AV335" i="2" s="1"/>
  <c r="AO334" i="2"/>
  <c r="AQ335" i="2" s="1"/>
  <c r="AJ334" i="2"/>
  <c r="AE334" i="2"/>
  <c r="AG335" i="2" s="1"/>
  <c r="AJ336" i="2" l="1"/>
  <c r="AV410" i="2"/>
  <c r="AQ465" i="2"/>
  <c r="AO462" i="2"/>
  <c r="AT466" i="2"/>
  <c r="AJ462" i="2"/>
  <c r="AO463" i="2"/>
  <c r="AY466" i="2"/>
  <c r="AO466" i="2"/>
  <c r="AJ465" i="2"/>
  <c r="AT465" i="2"/>
  <c r="AT462" i="2"/>
  <c r="AT463" i="2"/>
  <c r="AY463" i="2"/>
  <c r="AG410" i="2"/>
  <c r="AJ411" i="2"/>
  <c r="AQ410" i="2"/>
  <c r="AT411" i="2"/>
  <c r="AO411" i="2"/>
  <c r="AY411" i="2"/>
  <c r="AL410" i="2"/>
  <c r="AJ410" i="2"/>
  <c r="AT336" i="2"/>
  <c r="AE335" i="2"/>
  <c r="AJ335" i="2"/>
  <c r="AO335" i="2"/>
  <c r="AT335" i="2"/>
  <c r="AY335" i="2"/>
  <c r="AY336" i="2"/>
  <c r="AO336" i="2"/>
  <c r="AL335" i="2"/>
  <c r="S269" i="2" l="1"/>
  <c r="S267" i="2"/>
  <c r="S266" i="2"/>
  <c r="Q266" i="2"/>
  <c r="D266" i="2"/>
  <c r="E266" i="2"/>
  <c r="D269" i="2"/>
  <c r="E269" i="2"/>
  <c r="C269" i="2"/>
  <c r="C266" i="2"/>
  <c r="AF524" i="2"/>
  <c r="AD524" i="2"/>
  <c r="AC524" i="2"/>
  <c r="AB524" i="2"/>
  <c r="AA524" i="2"/>
  <c r="Y524" i="2"/>
  <c r="X524" i="2"/>
  <c r="W524" i="2"/>
  <c r="V524" i="2"/>
  <c r="Q524" i="2"/>
  <c r="AD523" i="2"/>
  <c r="AC523" i="2"/>
  <c r="Y523" i="2"/>
  <c r="X523" i="2"/>
  <c r="T523" i="2"/>
  <c r="S523" i="2"/>
  <c r="AE522" i="2"/>
  <c r="AE523" i="2" s="1"/>
  <c r="Z522" i="2"/>
  <c r="Z523" i="2" s="1"/>
  <c r="U522" i="2"/>
  <c r="U523" i="2" s="1"/>
  <c r="AF450" i="2"/>
  <c r="AD450" i="2"/>
  <c r="AC450" i="2"/>
  <c r="AB450" i="2"/>
  <c r="AA450" i="2"/>
  <c r="Y450" i="2"/>
  <c r="X450" i="2"/>
  <c r="W450" i="2"/>
  <c r="V450" i="2"/>
  <c r="Q450" i="2"/>
  <c r="AD449" i="2"/>
  <c r="AC449" i="2"/>
  <c r="Y449" i="2"/>
  <c r="X449" i="2"/>
  <c r="T449" i="2"/>
  <c r="S449" i="2"/>
  <c r="AE448" i="2"/>
  <c r="AE449" i="2" s="1"/>
  <c r="Z448" i="2"/>
  <c r="Z449" i="2" s="1"/>
  <c r="U448" i="2"/>
  <c r="W449" i="2" s="1"/>
  <c r="AF373" i="2"/>
  <c r="AD373" i="2"/>
  <c r="AC373" i="2"/>
  <c r="AB373" i="2"/>
  <c r="AA373" i="2"/>
  <c r="Y373" i="2"/>
  <c r="X373" i="2"/>
  <c r="W373" i="2"/>
  <c r="V373" i="2"/>
  <c r="Q373" i="2"/>
  <c r="AD372" i="2"/>
  <c r="AC372" i="2"/>
  <c r="Y372" i="2"/>
  <c r="X372" i="2"/>
  <c r="T372" i="2"/>
  <c r="S372" i="2"/>
  <c r="AE371" i="2"/>
  <c r="AE372" i="2" s="1"/>
  <c r="Z371" i="2"/>
  <c r="Z372" i="2" s="1"/>
  <c r="U371" i="2"/>
  <c r="U372" i="2" s="1"/>
  <c r="F377" i="2"/>
  <c r="K377" i="2"/>
  <c r="P377" i="2"/>
  <c r="U377" i="2"/>
  <c r="Z377" i="2"/>
  <c r="AE377" i="2"/>
  <c r="AJ377" i="2"/>
  <c r="AO377" i="2"/>
  <c r="AT377" i="2"/>
  <c r="AY377" i="2"/>
  <c r="AE32" i="7"/>
  <c r="BH34" i="3"/>
  <c r="BH12" i="3"/>
  <c r="BH13" i="3"/>
  <c r="BH16" i="3"/>
  <c r="BH17" i="3"/>
  <c r="BH20" i="3"/>
  <c r="BH21" i="3"/>
  <c r="BH22" i="3"/>
  <c r="BH25" i="3"/>
  <c r="BH26" i="3"/>
  <c r="BH29" i="3"/>
  <c r="BH40" i="3"/>
  <c r="BH41" i="3"/>
  <c r="BH42" i="3"/>
  <c r="BH46" i="3"/>
  <c r="BH47" i="3"/>
  <c r="BH48" i="3"/>
  <c r="BH51" i="3"/>
  <c r="BH52" i="3"/>
  <c r="BH54" i="3"/>
  <c r="BH55" i="3"/>
  <c r="BH69" i="3"/>
  <c r="BH75" i="3"/>
  <c r="BH76" i="3"/>
  <c r="BH77" i="3"/>
  <c r="BH80" i="3"/>
  <c r="BH81" i="3"/>
  <c r="BH82" i="3"/>
  <c r="BH85" i="3"/>
  <c r="BH86" i="3"/>
  <c r="BH116" i="3"/>
  <c r="BH117" i="3"/>
  <c r="BH118" i="3"/>
  <c r="BH121" i="3"/>
  <c r="BH122" i="3"/>
  <c r="BI37" i="3" l="1"/>
  <c r="BI35" i="3"/>
  <c r="BI72" i="3"/>
  <c r="BI70" i="3"/>
  <c r="U449" i="2"/>
  <c r="W523" i="2"/>
  <c r="AB523" i="2"/>
  <c r="Z524" i="2"/>
  <c r="AE524" i="2"/>
  <c r="Z450" i="2"/>
  <c r="AB449" i="2"/>
  <c r="AE450" i="2"/>
  <c r="W372" i="2"/>
  <c r="AB372" i="2"/>
  <c r="Z373" i="2"/>
  <c r="AE373" i="2"/>
  <c r="BH43" i="3"/>
  <c r="BG34" i="3" l="1"/>
  <c r="BH35" i="3" l="1"/>
  <c r="BH37" i="3"/>
  <c r="BG69" i="3" l="1"/>
  <c r="BG122" i="3"/>
  <c r="BG121" i="3"/>
  <c r="BG118" i="3"/>
  <c r="BG117" i="3"/>
  <c r="BG116" i="3"/>
  <c r="BG86" i="3"/>
  <c r="BG85" i="3"/>
  <c r="BG82" i="3"/>
  <c r="BG81" i="3"/>
  <c r="BG80" i="3"/>
  <c r="BG77" i="3"/>
  <c r="BG76" i="3"/>
  <c r="BG75" i="3"/>
  <c r="BG55" i="3"/>
  <c r="BG54" i="3"/>
  <c r="BG52" i="3"/>
  <c r="BG51" i="3"/>
  <c r="BG48" i="3"/>
  <c r="BG47" i="3"/>
  <c r="BG46" i="3"/>
  <c r="BG43" i="3"/>
  <c r="BG42" i="3"/>
  <c r="BG41" i="3"/>
  <c r="BG40" i="3"/>
  <c r="BG29" i="3"/>
  <c r="BG26" i="3"/>
  <c r="BG25" i="3"/>
  <c r="BG22" i="3"/>
  <c r="BG21" i="3"/>
  <c r="BG20" i="3"/>
  <c r="BG17" i="3"/>
  <c r="BG16" i="3"/>
  <c r="BG13" i="3"/>
  <c r="BG12" i="3"/>
  <c r="AD32" i="7"/>
  <c r="AI347" i="2"/>
  <c r="AF347" i="2"/>
  <c r="BG71" i="3" l="1"/>
  <c r="BH72" i="3"/>
  <c r="BH70" i="3"/>
  <c r="B184" i="2"/>
  <c r="G184" i="2"/>
  <c r="F184" i="2"/>
  <c r="E184" i="2"/>
  <c r="D184" i="2"/>
  <c r="C184" i="2"/>
  <c r="L184" i="2"/>
  <c r="K184" i="2"/>
  <c r="J184" i="2"/>
  <c r="I184" i="2"/>
  <c r="H184" i="2"/>
  <c r="Q184" i="2"/>
  <c r="P184" i="2"/>
  <c r="O184" i="2"/>
  <c r="N184" i="2"/>
  <c r="M184" i="2"/>
  <c r="V184" i="2"/>
  <c r="U184" i="2"/>
  <c r="T184" i="2"/>
  <c r="S184" i="2"/>
  <c r="R184" i="2"/>
  <c r="AA184" i="2"/>
  <c r="Z184" i="2"/>
  <c r="Y184" i="2"/>
  <c r="X184" i="2"/>
  <c r="W184" i="2"/>
  <c r="AF184" i="2"/>
  <c r="AE184" i="2"/>
  <c r="AD184" i="2"/>
  <c r="AC184" i="2"/>
  <c r="AB184" i="2"/>
  <c r="AJ184" i="2"/>
  <c r="AI184" i="2"/>
  <c r="AH184" i="2"/>
  <c r="AG184" i="2"/>
  <c r="AK184" i="2"/>
  <c r="AL184" i="2"/>
  <c r="AM184" i="2"/>
  <c r="AN184" i="2"/>
  <c r="AO184" i="2"/>
  <c r="AP184" i="2"/>
  <c r="AU184" i="2"/>
  <c r="AT184" i="2"/>
  <c r="AS184" i="2"/>
  <c r="AR184" i="2"/>
  <c r="AQ184" i="2"/>
  <c r="AY184" i="2"/>
  <c r="AX184" i="2"/>
  <c r="AW184" i="2"/>
  <c r="AV184" i="2"/>
  <c r="BF69" i="3" l="1"/>
  <c r="BF34" i="3"/>
  <c r="BF122" i="3"/>
  <c r="BF121" i="3"/>
  <c r="BF117" i="3"/>
  <c r="BF86" i="3"/>
  <c r="BF85" i="3"/>
  <c r="BF81" i="3"/>
  <c r="BF76" i="3"/>
  <c r="BF55" i="3"/>
  <c r="BF54" i="3"/>
  <c r="BF52" i="3"/>
  <c r="BF51" i="3"/>
  <c r="BF48" i="3"/>
  <c r="BF47" i="3"/>
  <c r="BF46" i="3"/>
  <c r="BF42" i="3"/>
  <c r="BF41" i="3"/>
  <c r="BF40" i="3"/>
  <c r="BF29" i="3"/>
  <c r="BF26" i="3"/>
  <c r="BF25" i="3"/>
  <c r="BF21" i="3"/>
  <c r="BF17" i="3"/>
  <c r="BF13" i="3"/>
  <c r="AC32" i="7"/>
  <c r="AF32" i="7" s="1"/>
  <c r="BG37" i="3" l="1"/>
  <c r="BG35" i="3"/>
  <c r="BG72" i="3"/>
  <c r="BG70" i="3"/>
  <c r="BF43" i="3"/>
  <c r="BF71" i="3"/>
  <c r="BE330" i="7" l="1"/>
  <c r="BE332" i="3"/>
  <c r="AU35" i="2" l="1"/>
  <c r="AF35" i="2" l="1"/>
  <c r="AF235" i="2"/>
  <c r="AP82" i="3" l="1"/>
  <c r="AU82" i="3"/>
  <c r="AZ82" i="3"/>
  <c r="BE82" i="3"/>
  <c r="Q72" i="3"/>
  <c r="V72" i="3"/>
  <c r="AA72" i="3"/>
  <c r="AF72" i="3"/>
  <c r="AK72" i="3"/>
  <c r="AP72" i="3"/>
  <c r="BE77" i="3"/>
  <c r="BE45" i="3" l="1"/>
  <c r="BJ48" i="3" l="1"/>
  <c r="BJ47" i="3"/>
  <c r="AR235" i="2"/>
  <c r="AV235" i="2"/>
  <c r="AS35" i="2"/>
  <c r="AR35" i="2"/>
  <c r="AQ35" i="2"/>
  <c r="AX35" i="2"/>
  <c r="AW35" i="2"/>
  <c r="AV35" i="2"/>
  <c r="AK35" i="2"/>
  <c r="AP35" i="2"/>
  <c r="AT35" i="2" l="1"/>
  <c r="AY35" i="2"/>
  <c r="AY257" i="2" l="1"/>
  <c r="AT257" i="2"/>
  <c r="AO257" i="2"/>
  <c r="AJ257" i="2"/>
  <c r="AE257" i="2"/>
  <c r="Z257" i="2"/>
  <c r="U257" i="2"/>
  <c r="P257" i="2"/>
  <c r="K257" i="2"/>
  <c r="D257" i="2"/>
  <c r="C257" i="2"/>
  <c r="F257" i="2" l="1"/>
  <c r="BD124" i="3"/>
  <c r="BD115" i="3"/>
  <c r="BD117" i="3" s="1"/>
  <c r="BD105" i="3"/>
  <c r="BD100" i="3"/>
  <c r="BD90" i="3"/>
  <c r="BD79" i="3"/>
  <c r="BD74" i="3"/>
  <c r="BD69" i="3"/>
  <c r="BD57" i="3"/>
  <c r="BD34" i="3"/>
  <c r="BD19" i="3"/>
  <c r="AB32" i="7"/>
  <c r="AA30" i="7"/>
  <c r="AA18" i="7"/>
  <c r="BE127" i="3"/>
  <c r="BE122" i="3"/>
  <c r="BD122" i="3"/>
  <c r="BD121" i="3"/>
  <c r="BE118" i="3"/>
  <c r="BE117" i="3"/>
  <c r="BE102" i="3"/>
  <c r="BE91" i="3"/>
  <c r="BE86" i="3"/>
  <c r="BD86" i="3"/>
  <c r="BD85" i="3"/>
  <c r="BD82" i="3"/>
  <c r="BE81" i="3"/>
  <c r="BD75" i="3"/>
  <c r="BE72" i="3"/>
  <c r="BE71" i="3"/>
  <c r="BD71" i="3"/>
  <c r="BE58" i="3"/>
  <c r="BE55" i="3"/>
  <c r="BD55" i="3"/>
  <c r="BD54" i="3"/>
  <c r="BE52" i="3"/>
  <c r="BD52" i="3"/>
  <c r="BD51" i="3"/>
  <c r="BE43" i="3"/>
  <c r="BE42" i="3"/>
  <c r="BD42" i="3"/>
  <c r="BE41" i="3"/>
  <c r="BD41" i="3"/>
  <c r="BD40" i="3"/>
  <c r="BE37" i="3"/>
  <c r="BE36" i="3"/>
  <c r="BD29" i="3"/>
  <c r="BE26" i="3"/>
  <c r="BD26" i="3"/>
  <c r="BD25" i="3"/>
  <c r="BE22" i="3"/>
  <c r="BE21" i="3"/>
  <c r="BD20" i="3"/>
  <c r="BE17" i="3"/>
  <c r="BD15" i="3"/>
  <c r="BE13" i="3"/>
  <c r="BD11" i="3"/>
  <c r="BI13" i="3" l="1"/>
  <c r="BF12" i="3"/>
  <c r="BD22" i="3"/>
  <c r="BI21" i="3"/>
  <c r="BF20" i="3"/>
  <c r="BF22" i="3"/>
  <c r="BI36" i="3"/>
  <c r="BF35" i="3"/>
  <c r="BF37" i="3"/>
  <c r="BI71" i="3"/>
  <c r="BF72" i="3"/>
  <c r="BF70" i="3"/>
  <c r="BI17" i="3"/>
  <c r="BF16" i="3"/>
  <c r="BD77" i="3"/>
  <c r="BI76" i="3"/>
  <c r="BF77" i="3"/>
  <c r="BF75" i="3"/>
  <c r="BD116" i="3"/>
  <c r="BI117" i="3"/>
  <c r="BF116" i="3"/>
  <c r="BF118" i="3"/>
  <c r="BD81" i="3"/>
  <c r="BI81" i="3"/>
  <c r="BF82" i="3"/>
  <c r="BF80" i="3"/>
  <c r="BD76" i="3"/>
  <c r="BD21" i="3"/>
  <c r="BD118" i="3"/>
  <c r="BD80" i="3"/>
  <c r="BD36" i="3"/>
  <c r="BD43" i="3"/>
  <c r="BD16" i="3"/>
  <c r="BD12" i="3"/>
  <c r="BD48" i="3" l="1"/>
  <c r="BD46" i="3"/>
  <c r="AT76" i="3" l="1"/>
  <c r="AP76" i="3"/>
  <c r="AO76" i="3"/>
  <c r="AO74" i="3"/>
  <c r="AK74" i="3"/>
  <c r="AP74" i="3"/>
  <c r="AP77" i="3" s="1"/>
  <c r="AU74" i="3"/>
  <c r="AU76" i="3" s="1"/>
  <c r="AY77" i="3"/>
  <c r="AX77" i="3"/>
  <c r="AW77" i="3"/>
  <c r="AV77" i="3"/>
  <c r="AY76" i="3"/>
  <c r="AY75" i="3"/>
  <c r="AX75" i="3"/>
  <c r="AW75" i="3"/>
  <c r="AV75" i="3"/>
  <c r="BC77" i="3"/>
  <c r="BB77" i="3"/>
  <c r="BA77" i="3"/>
  <c r="BC76" i="3"/>
  <c r="BB76" i="3"/>
  <c r="BA76" i="3"/>
  <c r="BC75" i="3"/>
  <c r="BB75" i="3"/>
  <c r="BA75" i="3"/>
  <c r="BC69" i="3"/>
  <c r="BC82" i="3"/>
  <c r="AT81" i="3"/>
  <c r="AY82" i="3"/>
  <c r="AX82" i="3"/>
  <c r="AW82" i="3"/>
  <c r="AV82" i="3"/>
  <c r="AY81" i="3"/>
  <c r="AY80" i="3"/>
  <c r="AX80" i="3"/>
  <c r="AW80" i="3"/>
  <c r="AV80" i="3"/>
  <c r="BB82" i="3"/>
  <c r="BA82" i="3"/>
  <c r="BB81" i="3"/>
  <c r="BA81" i="3"/>
  <c r="BB80" i="3"/>
  <c r="BA80" i="3"/>
  <c r="BC81" i="3"/>
  <c r="BC80" i="3"/>
  <c r="BC34" i="3"/>
  <c r="BH71" i="3" l="1"/>
  <c r="BD72" i="3"/>
  <c r="BD70" i="3"/>
  <c r="AZ77" i="3"/>
  <c r="AU77" i="3"/>
  <c r="BH36" i="3"/>
  <c r="BD37" i="3"/>
  <c r="BD35" i="3"/>
  <c r="BC122" i="3"/>
  <c r="BC121" i="3"/>
  <c r="BC118" i="3"/>
  <c r="BC117" i="3"/>
  <c r="BC116" i="3"/>
  <c r="BC86" i="3"/>
  <c r="BC85" i="3"/>
  <c r="BC72" i="3"/>
  <c r="BC71" i="3"/>
  <c r="BC70" i="3"/>
  <c r="BC55" i="3"/>
  <c r="BC54" i="3"/>
  <c r="BC52" i="3"/>
  <c r="BC51" i="3"/>
  <c r="BC48" i="3"/>
  <c r="BC47" i="3"/>
  <c r="BC46" i="3"/>
  <c r="BC43" i="3"/>
  <c r="BC42" i="3"/>
  <c r="BC41" i="3"/>
  <c r="BC40" i="3"/>
  <c r="BC36" i="3"/>
  <c r="BC29" i="3"/>
  <c r="BC26" i="3"/>
  <c r="BC25" i="3"/>
  <c r="BC22" i="3"/>
  <c r="BC21" i="3"/>
  <c r="BC20" i="3"/>
  <c r="BC17" i="3"/>
  <c r="BC16" i="3"/>
  <c r="BC13" i="3"/>
  <c r="BC12" i="3"/>
  <c r="Z32" i="7"/>
  <c r="V24" i="7" l="1"/>
  <c r="BB34" i="3" l="1"/>
  <c r="BG36" i="3" s="1"/>
  <c r="BB122" i="3"/>
  <c r="BB121" i="3"/>
  <c r="BB118" i="3"/>
  <c r="BB117" i="3"/>
  <c r="BB116" i="3"/>
  <c r="BB86" i="3"/>
  <c r="BB85" i="3"/>
  <c r="BB72" i="3"/>
  <c r="BB71" i="3"/>
  <c r="BB70" i="3"/>
  <c r="BB55" i="3"/>
  <c r="BB54" i="3"/>
  <c r="BB52" i="3"/>
  <c r="BB51" i="3"/>
  <c r="BB48" i="3"/>
  <c r="BB47" i="3"/>
  <c r="BB46" i="3"/>
  <c r="BB43" i="3"/>
  <c r="BB42" i="3"/>
  <c r="BB41" i="3"/>
  <c r="BB40" i="3"/>
  <c r="BB29" i="3"/>
  <c r="BB26" i="3"/>
  <c r="BB25" i="3"/>
  <c r="BB22" i="3"/>
  <c r="BB21" i="3"/>
  <c r="BB20" i="3"/>
  <c r="BB17" i="3"/>
  <c r="BB16" i="3"/>
  <c r="BB13" i="3"/>
  <c r="BB12" i="3"/>
  <c r="Y32" i="7"/>
  <c r="BC35" i="3" l="1"/>
  <c r="BC37" i="3"/>
  <c r="X32" i="7" l="1"/>
  <c r="AV91" i="2" l="1"/>
  <c r="BA34" i="3" l="1"/>
  <c r="BF36" i="3" s="1"/>
  <c r="BB37" i="3" l="1"/>
  <c r="BB35" i="3"/>
  <c r="BA122" i="3"/>
  <c r="BA121" i="3"/>
  <c r="BA118" i="3"/>
  <c r="BA117" i="3"/>
  <c r="BA116" i="3"/>
  <c r="BA86" i="3"/>
  <c r="BA85" i="3"/>
  <c r="BA72" i="3"/>
  <c r="BA71" i="3"/>
  <c r="BA70" i="3"/>
  <c r="BA55" i="3"/>
  <c r="BA54" i="3"/>
  <c r="BA52" i="3"/>
  <c r="BA51" i="3"/>
  <c r="BA43" i="3"/>
  <c r="BA42" i="3"/>
  <c r="BA41" i="3"/>
  <c r="BA40" i="3"/>
  <c r="BA37" i="3"/>
  <c r="BA36" i="3"/>
  <c r="BA35" i="3"/>
  <c r="BA29" i="3"/>
  <c r="BA26" i="3"/>
  <c r="BA25" i="3"/>
  <c r="BA22" i="3"/>
  <c r="BA21" i="3"/>
  <c r="BA20" i="3"/>
  <c r="BA17" i="3"/>
  <c r="BA13" i="3"/>
  <c r="G37" i="3" l="1"/>
  <c r="L37" i="3"/>
  <c r="Q37" i="3"/>
  <c r="V37" i="3"/>
  <c r="AA37" i="3"/>
  <c r="AF37" i="3"/>
  <c r="AK37" i="3"/>
  <c r="AP37" i="3"/>
  <c r="G22" i="3"/>
  <c r="L22" i="3"/>
  <c r="Q22" i="3"/>
  <c r="V22" i="3"/>
  <c r="AA22" i="3"/>
  <c r="AF22" i="3"/>
  <c r="AK22" i="3"/>
  <c r="AP22" i="3"/>
  <c r="G48" i="3"/>
  <c r="L48" i="3"/>
  <c r="Q48" i="3"/>
  <c r="V48" i="3"/>
  <c r="AA48" i="3"/>
  <c r="AF48" i="3"/>
  <c r="AK48" i="3"/>
  <c r="W32" i="7"/>
  <c r="AZ81" i="3" l="1"/>
  <c r="AU81" i="3"/>
  <c r="AP81" i="3"/>
  <c r="AQ85" i="3"/>
  <c r="AP86" i="3"/>
  <c r="AQ86" i="3"/>
  <c r="AP91" i="3"/>
  <c r="AU192" i="2"/>
  <c r="AU266" i="2" s="1"/>
  <c r="AU206" i="2" l="1"/>
  <c r="AN192" i="2"/>
  <c r="AN266" i="2" s="1"/>
  <c r="AM192" i="2"/>
  <c r="AM266" i="2" s="1"/>
  <c r="AL192" i="2"/>
  <c r="AN205" i="2"/>
  <c r="AM205" i="2"/>
  <c r="AQ205" i="2"/>
  <c r="AS206" i="2"/>
  <c r="AR206" i="2"/>
  <c r="AQ206" i="2"/>
  <c r="AS205" i="2"/>
  <c r="AR205" i="2"/>
  <c r="AT204" i="2"/>
  <c r="AS192" i="2"/>
  <c r="AS266" i="2" s="1"/>
  <c r="AR192" i="2"/>
  <c r="AQ192" i="2"/>
  <c r="AQ266" i="2" s="1"/>
  <c r="AW192" i="2"/>
  <c r="AX192" i="2"/>
  <c r="AV192" i="2"/>
  <c r="AY207" i="2"/>
  <c r="AY204" i="2"/>
  <c r="AY198" i="2"/>
  <c r="AX206" i="2"/>
  <c r="AW206" i="2"/>
  <c r="AV206" i="2"/>
  <c r="AX205" i="2"/>
  <c r="AW205" i="2"/>
  <c r="AP192" i="2"/>
  <c r="AP266" i="2" s="1"/>
  <c r="AR267" i="2" l="1"/>
  <c r="AR266" i="2"/>
  <c r="AR269" i="2"/>
  <c r="AV267" i="2"/>
  <c r="AV266" i="2"/>
  <c r="AX266" i="2"/>
  <c r="AL267" i="2"/>
  <c r="AL266" i="2"/>
  <c r="AW266" i="2"/>
  <c r="AV205" i="2"/>
  <c r="AY206" i="2"/>
  <c r="AO205" i="2"/>
  <c r="AO192" i="2"/>
  <c r="AT205" i="2"/>
  <c r="AT206" i="2"/>
  <c r="AT192" i="2"/>
  <c r="AY205" i="2"/>
  <c r="AY105" i="3" l="1"/>
  <c r="AY180" i="2"/>
  <c r="AY173" i="2"/>
  <c r="AY163" i="2"/>
  <c r="AY154" i="2"/>
  <c r="AY164" i="2" l="1"/>
  <c r="B124" i="2"/>
  <c r="C124" i="2"/>
  <c r="D124" i="2"/>
  <c r="E124" i="2"/>
  <c r="F124" i="2"/>
  <c r="G124" i="2"/>
  <c r="H124" i="2"/>
  <c r="I124" i="2"/>
  <c r="J124" i="2"/>
  <c r="L124" i="2"/>
  <c r="M124" i="2"/>
  <c r="N124" i="2"/>
  <c r="O124" i="2"/>
  <c r="Q124" i="2"/>
  <c r="R124" i="2"/>
  <c r="S124" i="2"/>
  <c r="T124" i="2"/>
  <c r="V124" i="2"/>
  <c r="W124" i="2"/>
  <c r="X124" i="2"/>
  <c r="Y124" i="2"/>
  <c r="AA124" i="2"/>
  <c r="AB124" i="2"/>
  <c r="AC124" i="2"/>
  <c r="AD124" i="2"/>
  <c r="AF124" i="2"/>
  <c r="AG124" i="2"/>
  <c r="AH124" i="2"/>
  <c r="AI124" i="2"/>
  <c r="AK124" i="2"/>
  <c r="AL124" i="2"/>
  <c r="AM124" i="2"/>
  <c r="AN124" i="2"/>
  <c r="AP124" i="2"/>
  <c r="AQ124" i="2"/>
  <c r="AR124" i="2"/>
  <c r="AS124" i="2"/>
  <c r="AU124" i="2"/>
  <c r="AV124" i="2"/>
  <c r="AW124" i="2"/>
  <c r="AX124" i="2"/>
  <c r="B125" i="2"/>
  <c r="C125" i="2"/>
  <c r="D125" i="2"/>
  <c r="E125" i="2"/>
  <c r="F125" i="2"/>
  <c r="G125" i="2"/>
  <c r="H125" i="2"/>
  <c r="I125" i="2"/>
  <c r="J125" i="2"/>
  <c r="L125" i="2"/>
  <c r="M125" i="2"/>
  <c r="N125" i="2"/>
  <c r="O125" i="2"/>
  <c r="Q125" i="2"/>
  <c r="R125" i="2"/>
  <c r="S125" i="2"/>
  <c r="T125" i="2"/>
  <c r="V125" i="2"/>
  <c r="W125" i="2"/>
  <c r="X125" i="2"/>
  <c r="Y125" i="2"/>
  <c r="AA125" i="2"/>
  <c r="AB125" i="2"/>
  <c r="AC125" i="2"/>
  <c r="AD125" i="2"/>
  <c r="AF125" i="2"/>
  <c r="AG125" i="2"/>
  <c r="AH125" i="2"/>
  <c r="AI125" i="2"/>
  <c r="AK125" i="2"/>
  <c r="AL125" i="2"/>
  <c r="AM125" i="2"/>
  <c r="AN125" i="2"/>
  <c r="AP125" i="2"/>
  <c r="AQ125" i="2"/>
  <c r="AR125" i="2"/>
  <c r="AS125" i="2"/>
  <c r="AU125" i="2"/>
  <c r="AV125" i="2"/>
  <c r="AW125" i="2"/>
  <c r="AX125" i="2"/>
  <c r="AP180" i="2"/>
  <c r="AY183" i="2"/>
  <c r="AX183" i="2"/>
  <c r="AX96" i="2"/>
  <c r="AW96" i="2"/>
  <c r="AV96" i="2"/>
  <c r="AU96" i="2"/>
  <c r="AS96" i="2"/>
  <c r="AR96" i="2"/>
  <c r="AQ96" i="2"/>
  <c r="AP96" i="2"/>
  <c r="AN96" i="2"/>
  <c r="AM96" i="2"/>
  <c r="AL96" i="2"/>
  <c r="AK96" i="2"/>
  <c r="AI96" i="2"/>
  <c r="AH96" i="2"/>
  <c r="AG96" i="2"/>
  <c r="AF96" i="2"/>
  <c r="AD96" i="2"/>
  <c r="AC96" i="2"/>
  <c r="AB96" i="2"/>
  <c r="AA96" i="2"/>
  <c r="Y96" i="2"/>
  <c r="X96" i="2"/>
  <c r="W96" i="2"/>
  <c r="V96" i="2"/>
  <c r="T96" i="2"/>
  <c r="S96" i="2"/>
  <c r="R96" i="2"/>
  <c r="Q96" i="2"/>
  <c r="O96" i="2"/>
  <c r="N96" i="2"/>
  <c r="M96" i="2"/>
  <c r="L96" i="2"/>
  <c r="J96" i="2"/>
  <c r="I96" i="2"/>
  <c r="H96" i="2"/>
  <c r="G96" i="2"/>
  <c r="AX95" i="2"/>
  <c r="AW95" i="2"/>
  <c r="AS95" i="2"/>
  <c r="AR95" i="2"/>
  <c r="AN95" i="2"/>
  <c r="AM95" i="2"/>
  <c r="AI95" i="2"/>
  <c r="AH95" i="2"/>
  <c r="AD95" i="2"/>
  <c r="AC95" i="2"/>
  <c r="Y95" i="2"/>
  <c r="X95" i="2"/>
  <c r="T95" i="2"/>
  <c r="S95" i="2"/>
  <c r="O95" i="2"/>
  <c r="N95" i="2"/>
  <c r="J95" i="2"/>
  <c r="I95" i="2"/>
  <c r="E95" i="2"/>
  <c r="D95" i="2"/>
  <c r="AY94" i="2"/>
  <c r="AT94" i="2"/>
  <c r="AV95" i="2" s="1"/>
  <c r="AO94" i="2"/>
  <c r="AQ95" i="2" s="1"/>
  <c r="AJ94" i="2"/>
  <c r="AE94" i="2"/>
  <c r="AE95" i="2" s="1"/>
  <c r="Z94" i="2"/>
  <c r="AB95" i="2" s="1"/>
  <c r="U94" i="2"/>
  <c r="W95" i="2" s="1"/>
  <c r="P94" i="2"/>
  <c r="K94" i="2"/>
  <c r="K95" i="2" s="1"/>
  <c r="F94" i="2"/>
  <c r="H95" i="2" s="1"/>
  <c r="AK52" i="2"/>
  <c r="AJ52" i="2" s="1"/>
  <c r="AF52" i="2"/>
  <c r="AE52" i="2" s="1"/>
  <c r="AA52" i="2"/>
  <c r="Z52" i="2" s="1"/>
  <c r="V52" i="2"/>
  <c r="U52" i="2" s="1"/>
  <c r="Q52" i="2"/>
  <c r="L52" i="2"/>
  <c r="AF78" i="2"/>
  <c r="AD78" i="2"/>
  <c r="AC78" i="2"/>
  <c r="AB78" i="2"/>
  <c r="AA78" i="2"/>
  <c r="Y78" i="2"/>
  <c r="X78" i="2"/>
  <c r="W78" i="2"/>
  <c r="V78" i="2"/>
  <c r="Q78" i="2"/>
  <c r="AD77" i="2"/>
  <c r="AC77" i="2"/>
  <c r="Y77" i="2"/>
  <c r="X77" i="2"/>
  <c r="T77" i="2"/>
  <c r="S77" i="2"/>
  <c r="AE76" i="2"/>
  <c r="Z76" i="2"/>
  <c r="U76" i="2"/>
  <c r="W77" i="2" s="1"/>
  <c r="AY185" i="2" l="1"/>
  <c r="AX185" i="2"/>
  <c r="AY95" i="2"/>
  <c r="AE78" i="2"/>
  <c r="P96" i="2"/>
  <c r="AJ96" i="2"/>
  <c r="Z95" i="2"/>
  <c r="Z78" i="2"/>
  <c r="U95" i="2"/>
  <c r="U96" i="2"/>
  <c r="AT96" i="2"/>
  <c r="F95" i="2"/>
  <c r="AT95" i="2"/>
  <c r="Z96" i="2"/>
  <c r="AE77" i="2"/>
  <c r="AO95" i="2"/>
  <c r="AO96" i="2"/>
  <c r="M95" i="2"/>
  <c r="R95" i="2"/>
  <c r="AG95" i="2"/>
  <c r="AL95" i="2"/>
  <c r="K96" i="2"/>
  <c r="AE96" i="2"/>
  <c r="AY96" i="2"/>
  <c r="P95" i="2"/>
  <c r="AJ95" i="2"/>
  <c r="U77" i="2"/>
  <c r="Z77" i="2"/>
  <c r="AB77" i="2"/>
  <c r="AP52" i="2" l="1"/>
  <c r="AN52" i="2"/>
  <c r="AM52" i="2"/>
  <c r="AL52" i="2"/>
  <c r="AS52" i="2"/>
  <c r="AR52" i="2"/>
  <c r="AQ52" i="2"/>
  <c r="AU52" i="2"/>
  <c r="AX52" i="2"/>
  <c r="AW52" i="2"/>
  <c r="AV52" i="2"/>
  <c r="AO52" i="2" l="1"/>
  <c r="AP163" i="2"/>
  <c r="AP154" i="2"/>
  <c r="AP164" i="2" l="1"/>
  <c r="AU180" i="2"/>
  <c r="AU173" i="2"/>
  <c r="AU163" i="2"/>
  <c r="AU154" i="2"/>
  <c r="AT180" i="2"/>
  <c r="AS180" i="2"/>
  <c r="AR180" i="2"/>
  <c r="AQ180" i="2"/>
  <c r="AW180" i="2"/>
  <c r="AV180" i="2"/>
  <c r="AT173" i="2"/>
  <c r="AS173" i="2"/>
  <c r="AR173" i="2"/>
  <c r="AQ173" i="2"/>
  <c r="AW173" i="2"/>
  <c r="AV173" i="2"/>
  <c r="AT163" i="2"/>
  <c r="AS163" i="2"/>
  <c r="AR163" i="2"/>
  <c r="AQ163" i="2"/>
  <c r="AW163" i="2"/>
  <c r="AV163" i="2"/>
  <c r="AT154" i="2"/>
  <c r="AS154" i="2"/>
  <c r="AR154" i="2"/>
  <c r="AQ154" i="2"/>
  <c r="AW154" i="2"/>
  <c r="AV154" i="2"/>
  <c r="AX180" i="2"/>
  <c r="AX173" i="2"/>
  <c r="AX163" i="2"/>
  <c r="AX154" i="2"/>
  <c r="AX164" i="2" l="1"/>
  <c r="AS164" i="2"/>
  <c r="AU164" i="2"/>
  <c r="AT164" i="2"/>
  <c r="AQ164" i="2"/>
  <c r="AV164" i="2"/>
  <c r="AR164" i="2"/>
  <c r="AW164" i="2"/>
  <c r="AY15" i="3"/>
  <c r="AY11" i="3"/>
  <c r="BA12" i="3" l="1"/>
  <c r="BD13" i="3"/>
  <c r="BA16" i="3"/>
  <c r="BD17" i="3"/>
  <c r="AY41" i="3"/>
  <c r="AY40" i="3"/>
  <c r="AZ127" i="3"/>
  <c r="AZ122" i="3"/>
  <c r="AY122" i="3"/>
  <c r="AY121" i="3"/>
  <c r="AZ118" i="3"/>
  <c r="AY118" i="3"/>
  <c r="AZ117" i="3"/>
  <c r="AY117" i="3"/>
  <c r="AY116" i="3"/>
  <c r="AZ102" i="3"/>
  <c r="AZ91" i="3"/>
  <c r="AZ86" i="3"/>
  <c r="AY86" i="3"/>
  <c r="AY85" i="3"/>
  <c r="AZ72" i="3"/>
  <c r="AY72" i="3"/>
  <c r="AZ71" i="3"/>
  <c r="AY71" i="3"/>
  <c r="AY70" i="3"/>
  <c r="AZ58" i="3"/>
  <c r="AZ55" i="3"/>
  <c r="AY55" i="3"/>
  <c r="AY54" i="3"/>
  <c r="AZ52" i="3"/>
  <c r="AY52" i="3"/>
  <c r="AY51" i="3"/>
  <c r="AZ45" i="3"/>
  <c r="AY45" i="3"/>
  <c r="BD47" i="3" s="1"/>
  <c r="AZ43" i="3"/>
  <c r="AY43" i="3"/>
  <c r="AZ42" i="3"/>
  <c r="AY42" i="3"/>
  <c r="AZ41" i="3"/>
  <c r="AZ37" i="3"/>
  <c r="AY37" i="3"/>
  <c r="AZ36" i="3"/>
  <c r="AY36" i="3"/>
  <c r="AY35" i="3"/>
  <c r="AY29" i="3"/>
  <c r="AZ26" i="3"/>
  <c r="AY26" i="3"/>
  <c r="AY25" i="3"/>
  <c r="AZ22" i="3"/>
  <c r="AY22" i="3"/>
  <c r="AZ21" i="3"/>
  <c r="AY21" i="3"/>
  <c r="AY20" i="3"/>
  <c r="V30" i="7"/>
  <c r="V18" i="7"/>
  <c r="AY500" i="2"/>
  <c r="AY490" i="2"/>
  <c r="AY484" i="2"/>
  <c r="AY481" i="2"/>
  <c r="AY458" i="2"/>
  <c r="AY476" i="2"/>
  <c r="AY473" i="2"/>
  <c r="AY470" i="2"/>
  <c r="AY467" i="2"/>
  <c r="AY455" i="2"/>
  <c r="AY427" i="2"/>
  <c r="AY417" i="2"/>
  <c r="AY414" i="2"/>
  <c r="AY406" i="2"/>
  <c r="AY400" i="2"/>
  <c r="AY397" i="2"/>
  <c r="AY394" i="2"/>
  <c r="AY391" i="2"/>
  <c r="AY350" i="2"/>
  <c r="AY341" i="2"/>
  <c r="AY338" i="2"/>
  <c r="AY331" i="2"/>
  <c r="AY325" i="2"/>
  <c r="AY322" i="2"/>
  <c r="AY319" i="2"/>
  <c r="AY316" i="2"/>
  <c r="AY307" i="2"/>
  <c r="AY304" i="2"/>
  <c r="AY292" i="2"/>
  <c r="AY289" i="2"/>
  <c r="AY286" i="2"/>
  <c r="AY283" i="2"/>
  <c r="AY280" i="2"/>
  <c r="AY277" i="2"/>
  <c r="AY248" i="2"/>
  <c r="AY229" i="2"/>
  <c r="AY226" i="2"/>
  <c r="AY223" i="2"/>
  <c r="AY222" i="2"/>
  <c r="AY219" i="2"/>
  <c r="AY216" i="2"/>
  <c r="AY201" i="2"/>
  <c r="AY195" i="2"/>
  <c r="AY120" i="2"/>
  <c r="AY118" i="2"/>
  <c r="AY115" i="2"/>
  <c r="AY113" i="2"/>
  <c r="AY111" i="2"/>
  <c r="AY109" i="2"/>
  <c r="AY107" i="2"/>
  <c r="AY105" i="2"/>
  <c r="AY73" i="2"/>
  <c r="AY70" i="2"/>
  <c r="AY67" i="2"/>
  <c r="AY64" i="2"/>
  <c r="AY61" i="2"/>
  <c r="AY58" i="2"/>
  <c r="AY55" i="2"/>
  <c r="AY85" i="2"/>
  <c r="AY48" i="2"/>
  <c r="AY32" i="2"/>
  <c r="AY29" i="2"/>
  <c r="AY26" i="2"/>
  <c r="AY23" i="2"/>
  <c r="AY20" i="2"/>
  <c r="AY18" i="2"/>
  <c r="AY15" i="2"/>
  <c r="AY12" i="2"/>
  <c r="AY9" i="2"/>
  <c r="BE47" i="3" l="1"/>
  <c r="BE48" i="3"/>
  <c r="V32" i="7"/>
  <c r="AY48" i="3"/>
  <c r="BA46" i="3"/>
  <c r="BA48" i="3"/>
  <c r="AY217" i="2"/>
  <c r="AY392" i="2"/>
  <c r="AY10" i="2"/>
  <c r="AY16" i="2"/>
  <c r="AY65" i="2"/>
  <c r="AY220" i="2"/>
  <c r="AY468" i="2"/>
  <c r="AY27" i="2"/>
  <c r="AY407" i="2"/>
  <c r="AY13" i="2"/>
  <c r="AY56" i="2"/>
  <c r="AY62" i="2"/>
  <c r="AY308" i="2"/>
  <c r="AY491" i="2"/>
  <c r="AY124" i="2"/>
  <c r="AY125" i="2"/>
  <c r="AY74" i="2"/>
  <c r="AY24" i="2"/>
  <c r="AY230" i="2"/>
  <c r="AY444" i="2"/>
  <c r="AY46" i="3"/>
  <c r="AY501" i="2"/>
  <c r="AY482" i="2"/>
  <c r="AY459" i="2"/>
  <c r="AY477" i="2"/>
  <c r="AY474" i="2"/>
  <c r="AY471" i="2"/>
  <c r="AY456" i="2"/>
  <c r="AY519" i="2"/>
  <c r="AY518" i="2"/>
  <c r="AY401" i="2"/>
  <c r="AY398" i="2"/>
  <c r="AY395" i="2"/>
  <c r="AY378" i="2"/>
  <c r="AY342" i="2"/>
  <c r="AY339" i="2"/>
  <c r="AY332" i="2"/>
  <c r="AY305" i="2"/>
  <c r="AY293" i="2"/>
  <c r="AY290" i="2"/>
  <c r="AY287" i="2"/>
  <c r="AY284" i="2"/>
  <c r="AY281" i="2"/>
  <c r="AY278" i="2"/>
  <c r="AY249" i="2"/>
  <c r="AY71" i="2"/>
  <c r="AY68" i="2"/>
  <c r="AY59" i="2"/>
  <c r="AY30" i="2"/>
  <c r="AY199" i="2"/>
  <c r="AY196" i="2"/>
  <c r="AY202" i="2"/>
  <c r="AY208" i="2"/>
  <c r="AY224" i="2"/>
  <c r="AY227" i="2"/>
  <c r="AY351" i="2"/>
  <c r="AY415" i="2"/>
  <c r="AY418" i="2"/>
  <c r="AY445" i="2"/>
  <c r="AY86" i="2"/>
  <c r="AY21" i="2"/>
  <c r="AY317" i="2"/>
  <c r="AY320" i="2"/>
  <c r="AY323" i="2"/>
  <c r="AY326" i="2"/>
  <c r="AY328" i="2"/>
  <c r="AY428" i="2"/>
  <c r="AY33" i="2"/>
  <c r="AX232" i="2"/>
  <c r="AX267" i="2" s="1"/>
  <c r="AX235" i="2" l="1"/>
  <c r="AY329" i="2"/>
  <c r="AX492" i="2"/>
  <c r="AX491" i="2"/>
  <c r="AX91" i="2" l="1"/>
  <c r="AX97" i="2" l="1"/>
  <c r="AX127" i="2"/>
  <c r="AP43" i="3"/>
  <c r="AO43" i="3"/>
  <c r="AN43" i="3"/>
  <c r="AM43" i="3"/>
  <c r="AT43" i="3"/>
  <c r="AS43" i="3"/>
  <c r="AR43" i="3"/>
  <c r="AQ43" i="3"/>
  <c r="AU43" i="3"/>
  <c r="AV43" i="3"/>
  <c r="AX43" i="3"/>
  <c r="AX254" i="2"/>
  <c r="AX269" i="2" l="1"/>
  <c r="AX258" i="2"/>
  <c r="AX506" i="2"/>
  <c r="AX487" i="2"/>
  <c r="AX433" i="2"/>
  <c r="AX403" i="2"/>
  <c r="AY487" i="2" l="1"/>
  <c r="AY488" i="2" s="1"/>
  <c r="AX436" i="2"/>
  <c r="AF486" i="2"/>
  <c r="G486" i="2"/>
  <c r="AW486" i="2"/>
  <c r="AV486" i="2"/>
  <c r="AU486" i="2"/>
  <c r="AP486" i="2"/>
  <c r="AK486" i="2"/>
  <c r="AA486" i="2"/>
  <c r="V486" i="2"/>
  <c r="Q486" i="2"/>
  <c r="L486" i="2"/>
  <c r="AW485" i="2"/>
  <c r="AS485" i="2"/>
  <c r="AR485" i="2"/>
  <c r="AT484" i="2"/>
  <c r="AV485" i="2" s="1"/>
  <c r="AT229" i="2"/>
  <c r="AX231" i="2"/>
  <c r="AW231" i="2"/>
  <c r="AV231" i="2"/>
  <c r="AU231" i="2"/>
  <c r="AP231" i="2"/>
  <c r="AK231" i="2"/>
  <c r="AF231" i="2"/>
  <c r="AA231" i="2"/>
  <c r="V231" i="2"/>
  <c r="Q231" i="2"/>
  <c r="L231" i="2"/>
  <c r="G231" i="2"/>
  <c r="AX230" i="2"/>
  <c r="AW230" i="2"/>
  <c r="AS230" i="2"/>
  <c r="AR230" i="2"/>
  <c r="AV230" i="2" l="1"/>
  <c r="AY231" i="2"/>
  <c r="AT485" i="2"/>
  <c r="AY486" i="2"/>
  <c r="AT230" i="2"/>
  <c r="AX122" i="3"/>
  <c r="AX121" i="3"/>
  <c r="AX118" i="3"/>
  <c r="AX117" i="3"/>
  <c r="AX116" i="3"/>
  <c r="AX86" i="3"/>
  <c r="AX85" i="3"/>
  <c r="AX72" i="3"/>
  <c r="AX71" i="3"/>
  <c r="AX70" i="3"/>
  <c r="AX55" i="3"/>
  <c r="AX54" i="3"/>
  <c r="AX52" i="3"/>
  <c r="AX51" i="3"/>
  <c r="AX48" i="3"/>
  <c r="AX46" i="3"/>
  <c r="AX42" i="3"/>
  <c r="AX41" i="3"/>
  <c r="AX40" i="3"/>
  <c r="AX36" i="3"/>
  <c r="AX29" i="3"/>
  <c r="AX26" i="3"/>
  <c r="AX25" i="3"/>
  <c r="AX22" i="3"/>
  <c r="AX21" i="3"/>
  <c r="AX20" i="3"/>
  <c r="AX17" i="3"/>
  <c r="AX16" i="3"/>
  <c r="AX13" i="3"/>
  <c r="AX12" i="3"/>
  <c r="U32" i="7"/>
  <c r="AX509" i="2"/>
  <c r="AX418" i="2"/>
  <c r="AX392" i="2"/>
  <c r="AX521" i="2"/>
  <c r="AX519" i="2"/>
  <c r="AX518" i="2"/>
  <c r="AX508" i="2"/>
  <c r="AX507" i="2"/>
  <c r="AX502" i="2"/>
  <c r="AX501" i="2"/>
  <c r="AX493" i="2"/>
  <c r="AX489" i="2"/>
  <c r="AX488" i="2"/>
  <c r="AX483" i="2"/>
  <c r="AX482" i="2"/>
  <c r="AX460" i="2"/>
  <c r="AX459" i="2"/>
  <c r="AX478" i="2"/>
  <c r="AX477" i="2"/>
  <c r="AX475" i="2"/>
  <c r="AX474" i="2"/>
  <c r="AX472" i="2"/>
  <c r="AX471" i="2"/>
  <c r="AX469" i="2"/>
  <c r="AX468" i="2"/>
  <c r="AX457" i="2"/>
  <c r="AX456" i="2"/>
  <c r="AX445" i="2"/>
  <c r="AX444" i="2"/>
  <c r="AX429" i="2"/>
  <c r="AX428" i="2"/>
  <c r="AX419" i="2"/>
  <c r="AX416" i="2"/>
  <c r="AX415" i="2"/>
  <c r="AX408" i="2"/>
  <c r="AX407" i="2"/>
  <c r="AX402" i="2"/>
  <c r="AX401" i="2"/>
  <c r="AX399" i="2"/>
  <c r="AX398" i="2"/>
  <c r="AX396" i="2"/>
  <c r="AX395" i="2"/>
  <c r="AX393" i="2"/>
  <c r="AX379" i="2"/>
  <c r="AX378" i="2"/>
  <c r="AX359" i="2"/>
  <c r="AX352" i="2"/>
  <c r="AX351" i="2"/>
  <c r="AX344" i="2"/>
  <c r="AX343" i="2"/>
  <c r="AX342" i="2"/>
  <c r="AX340" i="2"/>
  <c r="AX339" i="2"/>
  <c r="AX329" i="2"/>
  <c r="AX333" i="2"/>
  <c r="AX332" i="2"/>
  <c r="AX327" i="2"/>
  <c r="AX326" i="2"/>
  <c r="AX324" i="2"/>
  <c r="AX323" i="2"/>
  <c r="AX321" i="2"/>
  <c r="AX320" i="2"/>
  <c r="AX318" i="2"/>
  <c r="AX317" i="2"/>
  <c r="AX309" i="2"/>
  <c r="AX308" i="2"/>
  <c r="AX306" i="2"/>
  <c r="AX305" i="2"/>
  <c r="AX301" i="2"/>
  <c r="AX294" i="2"/>
  <c r="AX293" i="2"/>
  <c r="AX291" i="2"/>
  <c r="AX290" i="2"/>
  <c r="AX288" i="2"/>
  <c r="AX287" i="2"/>
  <c r="AX285" i="2"/>
  <c r="AX284" i="2"/>
  <c r="AX282" i="2"/>
  <c r="AX281" i="2"/>
  <c r="AX279" i="2"/>
  <c r="AX278" i="2"/>
  <c r="AX274" i="2"/>
  <c r="AX250" i="2"/>
  <c r="AX249" i="2"/>
  <c r="AX236" i="2"/>
  <c r="AX268" i="2" s="1"/>
  <c r="AX228" i="2"/>
  <c r="AX227" i="2"/>
  <c r="AX225" i="2"/>
  <c r="AX224" i="2"/>
  <c r="AX221" i="2"/>
  <c r="AX220" i="2"/>
  <c r="AX218" i="2"/>
  <c r="AX217" i="2"/>
  <c r="AX209" i="2"/>
  <c r="AX208" i="2"/>
  <c r="AX203" i="2"/>
  <c r="AX202" i="2"/>
  <c r="AX197" i="2"/>
  <c r="AX196" i="2"/>
  <c r="AX200" i="2"/>
  <c r="AX199" i="2"/>
  <c r="AX116" i="2"/>
  <c r="AX121" i="2" s="1"/>
  <c r="AX75" i="2"/>
  <c r="AX74" i="2"/>
  <c r="AX72" i="2"/>
  <c r="AX71" i="2"/>
  <c r="AX69" i="2"/>
  <c r="AX68" i="2"/>
  <c r="AX66" i="2"/>
  <c r="AX65" i="2"/>
  <c r="AX63" i="2"/>
  <c r="AX62" i="2"/>
  <c r="AX60" i="2"/>
  <c r="AX59" i="2"/>
  <c r="AX57" i="2"/>
  <c r="AX56" i="2"/>
  <c r="AX87" i="2"/>
  <c r="AX86" i="2"/>
  <c r="AX36" i="2"/>
  <c r="AX39" i="2" s="1"/>
  <c r="AX34" i="2"/>
  <c r="AX33" i="2"/>
  <c r="AX31" i="2"/>
  <c r="AX30" i="2"/>
  <c r="AX27" i="2"/>
  <c r="AX25" i="2"/>
  <c r="AX24" i="2"/>
  <c r="AX22" i="2"/>
  <c r="AX21" i="2"/>
  <c r="AX17" i="2"/>
  <c r="AX16" i="2"/>
  <c r="AX14" i="2"/>
  <c r="AX13" i="2"/>
  <c r="AX11" i="2"/>
  <c r="AX10" i="2"/>
  <c r="AX347" i="2" l="1"/>
  <c r="AX239" i="2"/>
  <c r="AX126" i="2"/>
  <c r="AX513" i="2"/>
  <c r="AX368" i="2"/>
  <c r="AX369" i="2"/>
  <c r="AX244" i="2"/>
  <c r="AX45" i="2"/>
  <c r="AX363" i="2"/>
  <c r="AX440" i="2"/>
  <c r="AX370" i="2"/>
  <c r="AX420" i="2"/>
  <c r="AX447" i="2"/>
  <c r="AX358" i="2"/>
  <c r="AX367" i="2"/>
  <c r="AX520" i="2"/>
  <c r="AU118" i="3"/>
  <c r="AU72" i="3"/>
  <c r="AU42" i="3"/>
  <c r="AU37" i="3"/>
  <c r="AU22" i="3"/>
  <c r="AX423" i="2" l="1"/>
  <c r="AX446" i="2"/>
  <c r="AX262" i="2"/>
  <c r="AX101" i="2"/>
  <c r="AW492" i="2"/>
  <c r="AW232" i="2" l="1"/>
  <c r="AW267" i="2" s="1"/>
  <c r="AW235" i="2" l="1"/>
  <c r="AY235" i="2" s="1"/>
  <c r="AX233" i="2"/>
  <c r="AY232" i="2"/>
  <c r="AW91" i="2"/>
  <c r="AW97" i="2" l="1"/>
  <c r="AW127" i="2"/>
  <c r="AX92" i="2"/>
  <c r="AY233" i="2"/>
  <c r="AW254" i="2"/>
  <c r="AW269" i="2" l="1"/>
  <c r="AX255" i="2"/>
  <c r="AX98" i="2"/>
  <c r="AW258" i="2"/>
  <c r="AX259" i="2" l="1"/>
  <c r="AW509" i="2"/>
  <c r="AW433" i="2"/>
  <c r="AW403" i="2"/>
  <c r="AW356" i="2"/>
  <c r="AX434" i="2" l="1"/>
  <c r="AX510" i="2"/>
  <c r="AX357" i="2"/>
  <c r="AY356" i="2"/>
  <c r="AX404" i="2"/>
  <c r="AW34" i="3"/>
  <c r="AW37" i="3" l="1"/>
  <c r="BB36" i="3"/>
  <c r="AW43" i="3"/>
  <c r="AX35" i="3"/>
  <c r="AX37" i="3"/>
  <c r="AY357" i="2"/>
  <c r="AW508" i="2"/>
  <c r="AW502" i="2"/>
  <c r="AW501" i="2"/>
  <c r="AW489" i="2"/>
  <c r="AW488" i="2"/>
  <c r="AW483" i="2"/>
  <c r="AW482" i="2"/>
  <c r="AW460" i="2"/>
  <c r="AW459" i="2"/>
  <c r="AW478" i="2"/>
  <c r="AW477" i="2"/>
  <c r="AW475" i="2"/>
  <c r="AW474" i="2"/>
  <c r="AW472" i="2"/>
  <c r="AW471" i="2"/>
  <c r="AW469" i="2"/>
  <c r="AW468" i="2"/>
  <c r="AW457" i="2"/>
  <c r="AW456" i="2"/>
  <c r="AW435" i="2"/>
  <c r="AW429" i="2"/>
  <c r="AW428" i="2"/>
  <c r="AW419" i="2"/>
  <c r="AW418" i="2"/>
  <c r="AW416" i="2"/>
  <c r="AW415" i="2"/>
  <c r="AW408" i="2"/>
  <c r="AW407" i="2"/>
  <c r="AW402" i="2"/>
  <c r="AW401" i="2"/>
  <c r="AW399" i="2"/>
  <c r="AW398" i="2"/>
  <c r="AW396" i="2"/>
  <c r="AW395" i="2"/>
  <c r="AW393" i="2"/>
  <c r="AW392" i="2"/>
  <c r="AW379" i="2"/>
  <c r="AW378" i="2"/>
  <c r="AW357" i="2"/>
  <c r="AW352" i="2"/>
  <c r="AW351" i="2"/>
  <c r="AW343" i="2"/>
  <c r="AW342" i="2"/>
  <c r="AW340" i="2"/>
  <c r="AW339" i="2"/>
  <c r="AW330" i="2"/>
  <c r="AW329" i="2"/>
  <c r="AW333" i="2"/>
  <c r="AW332" i="2"/>
  <c r="AW327" i="2"/>
  <c r="AW326" i="2"/>
  <c r="AW324" i="2"/>
  <c r="AW323" i="2"/>
  <c r="AW321" i="2"/>
  <c r="AW320" i="2"/>
  <c r="AW318" i="2"/>
  <c r="AW317" i="2"/>
  <c r="AW309" i="2"/>
  <c r="AW308" i="2"/>
  <c r="AW306" i="2"/>
  <c r="AW305" i="2"/>
  <c r="AW294" i="2"/>
  <c r="AW293" i="2"/>
  <c r="AW291" i="2"/>
  <c r="AW290" i="2"/>
  <c r="AW288" i="2"/>
  <c r="AW287" i="2"/>
  <c r="AW285" i="2"/>
  <c r="AW284" i="2"/>
  <c r="AW282" i="2"/>
  <c r="AW281" i="2"/>
  <c r="AW279" i="2"/>
  <c r="AW278" i="2"/>
  <c r="AW256" i="2"/>
  <c r="AW250" i="2"/>
  <c r="AW249" i="2"/>
  <c r="AW234" i="2"/>
  <c r="AW233" i="2"/>
  <c r="AW228" i="2"/>
  <c r="AW227" i="2"/>
  <c r="AW225" i="2"/>
  <c r="AW224" i="2"/>
  <c r="AW221" i="2"/>
  <c r="AW220" i="2"/>
  <c r="AW218" i="2"/>
  <c r="AW217" i="2"/>
  <c r="AW209" i="2"/>
  <c r="AW208" i="2"/>
  <c r="AW203" i="2"/>
  <c r="AW202" i="2"/>
  <c r="AW197" i="2"/>
  <c r="AW196" i="2"/>
  <c r="AW200" i="2"/>
  <c r="AW199" i="2"/>
  <c r="AW75" i="2"/>
  <c r="AW74" i="2"/>
  <c r="AW72" i="2"/>
  <c r="AW71" i="2"/>
  <c r="AW69" i="2"/>
  <c r="AW68" i="2"/>
  <c r="AW66" i="2"/>
  <c r="AW65" i="2"/>
  <c r="AW63" i="2"/>
  <c r="AW62" i="2"/>
  <c r="AW60" i="2"/>
  <c r="AW59" i="2"/>
  <c r="AW57" i="2"/>
  <c r="AW56" i="2"/>
  <c r="AW87" i="2"/>
  <c r="AW86" i="2"/>
  <c r="AW34" i="2"/>
  <c r="AW33" i="2"/>
  <c r="AW31" i="2"/>
  <c r="AW30" i="2"/>
  <c r="AW25" i="2"/>
  <c r="AW24" i="2"/>
  <c r="AW22" i="2"/>
  <c r="AW21" i="2"/>
  <c r="AW17" i="2"/>
  <c r="AW16" i="2"/>
  <c r="AW14" i="2"/>
  <c r="AW13" i="2"/>
  <c r="AW10" i="2"/>
  <c r="AW118" i="3"/>
  <c r="AW72" i="3"/>
  <c r="AW42" i="3"/>
  <c r="AW22" i="3"/>
  <c r="AW122" i="3"/>
  <c r="AW121" i="3"/>
  <c r="AW117" i="3"/>
  <c r="AW116" i="3"/>
  <c r="AW86" i="3"/>
  <c r="AW85" i="3"/>
  <c r="AW71" i="3"/>
  <c r="AW70" i="3"/>
  <c r="AW55" i="3"/>
  <c r="AW54" i="3"/>
  <c r="AW52" i="3"/>
  <c r="AW51" i="3"/>
  <c r="AW41" i="3"/>
  <c r="AW40" i="3"/>
  <c r="AW36" i="3"/>
  <c r="AW35" i="3"/>
  <c r="AW26" i="3"/>
  <c r="AW25" i="3"/>
  <c r="AW21" i="3"/>
  <c r="AW20" i="3"/>
  <c r="AW17" i="3"/>
  <c r="AW16" i="3"/>
  <c r="AW12" i="3"/>
  <c r="AW519" i="2" l="1"/>
  <c r="AW518" i="2"/>
  <c r="AW521" i="2"/>
  <c r="AW493" i="2"/>
  <c r="AW445" i="2"/>
  <c r="AW444" i="2"/>
  <c r="AW436" i="2"/>
  <c r="AW447" i="2"/>
  <c r="AW420" i="2"/>
  <c r="AW359" i="2"/>
  <c r="AW344" i="2"/>
  <c r="AW301" i="2"/>
  <c r="AW274" i="2"/>
  <c r="AW236" i="2"/>
  <c r="AW268" i="2" s="1"/>
  <c r="AW116" i="2"/>
  <c r="AW121" i="2" s="1"/>
  <c r="AW36" i="2"/>
  <c r="AW39" i="2" s="1"/>
  <c r="AW27" i="2"/>
  <c r="AW11" i="2"/>
  <c r="T32" i="7"/>
  <c r="AW29" i="3"/>
  <c r="AW13" i="3"/>
  <c r="AV118" i="3"/>
  <c r="AT118" i="3"/>
  <c r="AS118" i="3"/>
  <c r="AR118" i="3"/>
  <c r="AQ118" i="3"/>
  <c r="AO118" i="3"/>
  <c r="AN118" i="3"/>
  <c r="AM118" i="3"/>
  <c r="AV72" i="3"/>
  <c r="AT72" i="3"/>
  <c r="AS72" i="3"/>
  <c r="AR72" i="3"/>
  <c r="AQ72" i="3"/>
  <c r="AO72" i="3"/>
  <c r="AN72" i="3"/>
  <c r="AM72" i="3"/>
  <c r="AV42" i="3"/>
  <c r="AT42" i="3"/>
  <c r="AS42" i="3"/>
  <c r="AR42" i="3"/>
  <c r="AQ42" i="3"/>
  <c r="AO42" i="3"/>
  <c r="AN42" i="3"/>
  <c r="AM42" i="3"/>
  <c r="AV37" i="3"/>
  <c r="AT37" i="3"/>
  <c r="AS37" i="3"/>
  <c r="AR37" i="3"/>
  <c r="AQ37" i="3"/>
  <c r="AO37" i="3"/>
  <c r="AN37" i="3"/>
  <c r="AS22" i="3"/>
  <c r="AT22" i="3"/>
  <c r="AR22" i="3"/>
  <c r="AV22" i="3"/>
  <c r="AQ22" i="3"/>
  <c r="AN22" i="3"/>
  <c r="AO22" i="3"/>
  <c r="AM22" i="3"/>
  <c r="AW347" i="2" l="1"/>
  <c r="AW423" i="2"/>
  <c r="AX40" i="2"/>
  <c r="AW239" i="2"/>
  <c r="AW126" i="2"/>
  <c r="AX275" i="2"/>
  <c r="AX53" i="2"/>
  <c r="AX237" i="2"/>
  <c r="AX302" i="2"/>
  <c r="AX360" i="2"/>
  <c r="AX345" i="2"/>
  <c r="AX421" i="2"/>
  <c r="AX437" i="2"/>
  <c r="AX494" i="2"/>
  <c r="AX193" i="2"/>
  <c r="AX37" i="2"/>
  <c r="AW370" i="2"/>
  <c r="AW369" i="2"/>
  <c r="AW45" i="2"/>
  <c r="AW446" i="2"/>
  <c r="AW244" i="2"/>
  <c r="AW262" i="2"/>
  <c r="AW363" i="2"/>
  <c r="AW367" i="2"/>
  <c r="AW440" i="2"/>
  <c r="AW513" i="2"/>
  <c r="AW520" i="2"/>
  <c r="AW368" i="2"/>
  <c r="AV254" i="2"/>
  <c r="AV269" i="2" l="1"/>
  <c r="AX240" i="2"/>
  <c r="AV97" i="2"/>
  <c r="AV127" i="2"/>
  <c r="AW92" i="2"/>
  <c r="AY91" i="2"/>
  <c r="AW255" i="2"/>
  <c r="AY254" i="2"/>
  <c r="AX364" i="2"/>
  <c r="AX441" i="2"/>
  <c r="AX263" i="2"/>
  <c r="AX46" i="2"/>
  <c r="AX514" i="2"/>
  <c r="AX245" i="2"/>
  <c r="AV258" i="2"/>
  <c r="AW101" i="2"/>
  <c r="AV506" i="2"/>
  <c r="AV433" i="2"/>
  <c r="AV403" i="2"/>
  <c r="AY127" i="2" l="1"/>
  <c r="AW507" i="2"/>
  <c r="AY506" i="2"/>
  <c r="AY255" i="2"/>
  <c r="AW404" i="2"/>
  <c r="AY403" i="2"/>
  <c r="AY92" i="2"/>
  <c r="AX102" i="2"/>
  <c r="AW259" i="2"/>
  <c r="AY258" i="2"/>
  <c r="AW434" i="2"/>
  <c r="AY433" i="2"/>
  <c r="AW98" i="2"/>
  <c r="AY97" i="2"/>
  <c r="AV122" i="3"/>
  <c r="AV121" i="3"/>
  <c r="AV117" i="3"/>
  <c r="AV116" i="3"/>
  <c r="AV86" i="3"/>
  <c r="AV85" i="3"/>
  <c r="AV71" i="3"/>
  <c r="AV70" i="3"/>
  <c r="AV55" i="3"/>
  <c r="AV54" i="3"/>
  <c r="AV52" i="3"/>
  <c r="AV51" i="3"/>
  <c r="AV45" i="3"/>
  <c r="BA47" i="3" s="1"/>
  <c r="AV41" i="3"/>
  <c r="AV40" i="3"/>
  <c r="AV36" i="3"/>
  <c r="AV35" i="3"/>
  <c r="AV29" i="3"/>
  <c r="AV26" i="3"/>
  <c r="AV25" i="3"/>
  <c r="AV21" i="3"/>
  <c r="AV20" i="3"/>
  <c r="AV17" i="3"/>
  <c r="AV13" i="3"/>
  <c r="S32" i="7"/>
  <c r="AV359" i="2"/>
  <c r="AV301" i="2"/>
  <c r="AV75" i="2"/>
  <c r="AV25" i="2"/>
  <c r="AV521" i="2"/>
  <c r="AV493" i="2"/>
  <c r="AV519" i="2"/>
  <c r="AV518" i="2"/>
  <c r="AV509" i="2"/>
  <c r="AV502" i="2"/>
  <c r="AV489" i="2"/>
  <c r="AV483" i="2"/>
  <c r="AV460" i="2"/>
  <c r="AV478" i="2"/>
  <c r="AV475" i="2"/>
  <c r="AV472" i="2"/>
  <c r="AV469" i="2"/>
  <c r="AV457" i="2"/>
  <c r="AV447" i="2"/>
  <c r="AV420" i="2"/>
  <c r="AV445" i="2"/>
  <c r="AV444" i="2"/>
  <c r="AV436" i="2"/>
  <c r="AV429" i="2"/>
  <c r="AV419" i="2"/>
  <c r="AV416" i="2"/>
  <c r="AV408" i="2"/>
  <c r="AV402" i="2"/>
  <c r="AV399" i="2"/>
  <c r="AV396" i="2"/>
  <c r="AV393" i="2"/>
  <c r="AV379" i="2"/>
  <c r="AV344" i="2"/>
  <c r="AV347" i="2" s="1"/>
  <c r="AY347" i="2" s="1"/>
  <c r="AV352" i="2"/>
  <c r="AV343" i="2"/>
  <c r="AV340" i="2"/>
  <c r="AV333" i="2"/>
  <c r="AV327" i="2"/>
  <c r="AV324" i="2"/>
  <c r="AV321" i="2"/>
  <c r="AV318" i="2"/>
  <c r="AV309" i="2"/>
  <c r="AV306" i="2"/>
  <c r="AV294" i="2"/>
  <c r="AV291" i="2"/>
  <c r="AV288" i="2"/>
  <c r="AV285" i="2"/>
  <c r="AV282" i="2"/>
  <c r="AV279" i="2"/>
  <c r="AV274" i="2"/>
  <c r="AY192" i="2"/>
  <c r="AV236" i="2"/>
  <c r="AV250" i="2"/>
  <c r="AV228" i="2"/>
  <c r="AV225" i="2"/>
  <c r="AV221" i="2"/>
  <c r="AV218" i="2"/>
  <c r="AV209" i="2"/>
  <c r="AV203" i="2"/>
  <c r="AV197" i="2"/>
  <c r="AV200" i="2"/>
  <c r="AV116" i="2"/>
  <c r="AV72" i="2"/>
  <c r="AV69" i="2"/>
  <c r="AV66" i="2"/>
  <c r="AV63" i="2"/>
  <c r="AV60" i="2"/>
  <c r="AV57" i="2"/>
  <c r="AY52" i="2"/>
  <c r="AV36" i="2"/>
  <c r="AV39" i="2" s="1"/>
  <c r="AV101" i="2"/>
  <c r="AV87" i="2"/>
  <c r="AV34" i="2"/>
  <c r="AV31" i="2"/>
  <c r="AV22" i="2"/>
  <c r="AV17" i="2"/>
  <c r="AV14" i="2"/>
  <c r="AV11" i="2"/>
  <c r="AU232" i="2"/>
  <c r="AU267" i="2" s="1"/>
  <c r="AU489" i="2"/>
  <c r="AU506" i="2"/>
  <c r="AU433" i="2"/>
  <c r="AU447" i="2" s="1"/>
  <c r="AU403" i="2"/>
  <c r="AU356" i="2"/>
  <c r="AU328" i="2"/>
  <c r="AU254" i="2"/>
  <c r="AU269" i="2" s="1"/>
  <c r="Q24" i="7"/>
  <c r="Q18" i="7"/>
  <c r="AU91" i="2"/>
  <c r="AU127" i="2" s="1"/>
  <c r="AS521" i="2"/>
  <c r="AR521" i="2"/>
  <c r="AQ506" i="2"/>
  <c r="AV508" i="2" s="1"/>
  <c r="AP506" i="2"/>
  <c r="AP508" i="2" s="1"/>
  <c r="AO455" i="2"/>
  <c r="AO456" i="2" s="1"/>
  <c r="AN521" i="2"/>
  <c r="AM521" i="2"/>
  <c r="AL521" i="2"/>
  <c r="AK521" i="2"/>
  <c r="AJ506" i="2"/>
  <c r="AL507" i="2" s="1"/>
  <c r="AJ455" i="2"/>
  <c r="AI521" i="2"/>
  <c r="AH521" i="2"/>
  <c r="AG521" i="2"/>
  <c r="AF506" i="2"/>
  <c r="AD506" i="2"/>
  <c r="AD509" i="2" s="1"/>
  <c r="AC506" i="2"/>
  <c r="AC521" i="2" s="1"/>
  <c r="AB506" i="2"/>
  <c r="AB521" i="2" s="1"/>
  <c r="AE455" i="2"/>
  <c r="AG456" i="2" s="1"/>
  <c r="AA506" i="2"/>
  <c r="Y506" i="2"/>
  <c r="Y509" i="2" s="1"/>
  <c r="Y513" i="2" s="1"/>
  <c r="X506" i="2"/>
  <c r="W506" i="2"/>
  <c r="W521" i="2" s="1"/>
  <c r="Z455" i="2"/>
  <c r="AB456" i="2" s="1"/>
  <c r="V506" i="2"/>
  <c r="U455" i="2"/>
  <c r="U521" i="2" s="1"/>
  <c r="T506" i="2"/>
  <c r="T521" i="2" s="1"/>
  <c r="S506" i="2"/>
  <c r="S521" i="2" s="1"/>
  <c r="R506" i="2"/>
  <c r="Q506" i="2"/>
  <c r="Q521" i="2" s="1"/>
  <c r="O506" i="2"/>
  <c r="O509" i="2" s="1"/>
  <c r="O513" i="2" s="1"/>
  <c r="N506" i="2"/>
  <c r="N508" i="2" s="1"/>
  <c r="M506" i="2"/>
  <c r="M521" i="2" s="1"/>
  <c r="P455" i="2"/>
  <c r="R456" i="2" s="1"/>
  <c r="L506" i="2"/>
  <c r="L521" i="2" s="1"/>
  <c r="J506" i="2"/>
  <c r="J521" i="2" s="1"/>
  <c r="H506" i="2"/>
  <c r="H91" i="2" s="1"/>
  <c r="H127" i="2" s="1"/>
  <c r="K455" i="2"/>
  <c r="I521" i="2"/>
  <c r="G506" i="2"/>
  <c r="G509" i="2" s="1"/>
  <c r="G513" i="2" s="1"/>
  <c r="E506" i="2"/>
  <c r="E521" i="2" s="1"/>
  <c r="D506" i="2"/>
  <c r="I508" i="2" s="1"/>
  <c r="F455" i="2"/>
  <c r="H456" i="2" s="1"/>
  <c r="C521" i="2"/>
  <c r="B506" i="2"/>
  <c r="B521" i="2" s="1"/>
  <c r="AS433" i="2"/>
  <c r="AS434" i="2" s="1"/>
  <c r="AR447" i="2"/>
  <c r="AQ433" i="2"/>
  <c r="AR434" i="2" s="1"/>
  <c r="AP433" i="2"/>
  <c r="AP447" i="2" s="1"/>
  <c r="AN433" i="2"/>
  <c r="AN447" i="2" s="1"/>
  <c r="AM433" i="2"/>
  <c r="AR435" i="2" s="1"/>
  <c r="AL433" i="2"/>
  <c r="AL447" i="2" s="1"/>
  <c r="AO378" i="2"/>
  <c r="AK433" i="2"/>
  <c r="AK447" i="2" s="1"/>
  <c r="AI433" i="2"/>
  <c r="AH433" i="2"/>
  <c r="AH447" i="2" s="1"/>
  <c r="AG433" i="2"/>
  <c r="AG447" i="2" s="1"/>
  <c r="AL378" i="2"/>
  <c r="AF433" i="2"/>
  <c r="AD433" i="2"/>
  <c r="AD436" i="2" s="1"/>
  <c r="AI438" i="2" s="1"/>
  <c r="AC433" i="2"/>
  <c r="AC436" i="2" s="1"/>
  <c r="AB433" i="2"/>
  <c r="AB447" i="2" s="1"/>
  <c r="AA433" i="2"/>
  <c r="AA447" i="2" s="1"/>
  <c r="Y433" i="2"/>
  <c r="Y436" i="2" s="1"/>
  <c r="X433" i="2"/>
  <c r="W433" i="2"/>
  <c r="W447" i="2" s="1"/>
  <c r="AB378" i="2"/>
  <c r="V433" i="2"/>
  <c r="T433" i="2"/>
  <c r="T447" i="2" s="1"/>
  <c r="S433" i="2"/>
  <c r="S447" i="2" s="1"/>
  <c r="R433" i="2"/>
  <c r="R447" i="2" s="1"/>
  <c r="Q433" i="2"/>
  <c r="Q447" i="2" s="1"/>
  <c r="O433" i="2"/>
  <c r="O447" i="2" s="1"/>
  <c r="N433" i="2"/>
  <c r="N447" i="2" s="1"/>
  <c r="M433" i="2"/>
  <c r="M436" i="2" s="1"/>
  <c r="R378" i="2"/>
  <c r="L433" i="2"/>
  <c r="L447" i="2" s="1"/>
  <c r="J433" i="2"/>
  <c r="J447" i="2" s="1"/>
  <c r="I433" i="2"/>
  <c r="H433" i="2"/>
  <c r="H447" i="2" s="1"/>
  <c r="K378" i="2"/>
  <c r="G433" i="2"/>
  <c r="E433" i="2"/>
  <c r="E447" i="2" s="1"/>
  <c r="D433" i="2"/>
  <c r="D447" i="2" s="1"/>
  <c r="C433" i="2"/>
  <c r="C447" i="2" s="1"/>
  <c r="B433" i="2"/>
  <c r="B447" i="2" s="1"/>
  <c r="AQ356" i="2"/>
  <c r="AV358" i="2" s="1"/>
  <c r="AQ301" i="2"/>
  <c r="AS301" i="2"/>
  <c r="AS368" i="2" s="1"/>
  <c r="AR356" i="2"/>
  <c r="AW358" i="2" s="1"/>
  <c r="AR301" i="2"/>
  <c r="AW303" i="2" s="1"/>
  <c r="AP356" i="2"/>
  <c r="AP359" i="2" s="1"/>
  <c r="AP301" i="2"/>
  <c r="AP368" i="2" s="1"/>
  <c r="AN356" i="2"/>
  <c r="AN359" i="2" s="1"/>
  <c r="AL356" i="2"/>
  <c r="AL359" i="2" s="1"/>
  <c r="AN301" i="2"/>
  <c r="AN368" i="2" s="1"/>
  <c r="AM301" i="2"/>
  <c r="AM370" i="2" s="1"/>
  <c r="AL301" i="2"/>
  <c r="AL368" i="2" s="1"/>
  <c r="AK356" i="2"/>
  <c r="AK301" i="2"/>
  <c r="AI356" i="2"/>
  <c r="AI358" i="2" s="1"/>
  <c r="AG356" i="2"/>
  <c r="AG358" i="2" s="1"/>
  <c r="AI301" i="2"/>
  <c r="AI367" i="2" s="1"/>
  <c r="AH301" i="2"/>
  <c r="AG301" i="2"/>
  <c r="AG367" i="2" s="1"/>
  <c r="AF301" i="2"/>
  <c r="AC356" i="2"/>
  <c r="AD301" i="2"/>
  <c r="AD370" i="2" s="1"/>
  <c r="AC301" i="2"/>
  <c r="AC368" i="2" s="1"/>
  <c r="AB301" i="2"/>
  <c r="AB370" i="2" s="1"/>
  <c r="AA301" i="2"/>
  <c r="AA303" i="2" s="1"/>
  <c r="X356" i="2"/>
  <c r="Z356" i="2" s="1"/>
  <c r="AB357" i="2" s="1"/>
  <c r="Y301" i="2"/>
  <c r="Y370" i="2" s="1"/>
  <c r="W301" i="2"/>
  <c r="W370" i="2" s="1"/>
  <c r="V356" i="2"/>
  <c r="T356" i="2"/>
  <c r="T357" i="2" s="1"/>
  <c r="T301" i="2"/>
  <c r="R301" i="2"/>
  <c r="R370" i="2" s="1"/>
  <c r="S370" i="2"/>
  <c r="Q356" i="2"/>
  <c r="Q301" i="2"/>
  <c r="O356" i="2"/>
  <c r="O359" i="2" s="1"/>
  <c r="N356" i="2"/>
  <c r="M356" i="2"/>
  <c r="M358" i="2" s="1"/>
  <c r="O301" i="2"/>
  <c r="N301" i="2"/>
  <c r="N368" i="2" s="1"/>
  <c r="M301" i="2"/>
  <c r="L356" i="2"/>
  <c r="L359" i="2" s="1"/>
  <c r="L301" i="2"/>
  <c r="I356" i="2"/>
  <c r="I357" i="2" s="1"/>
  <c r="J301" i="2"/>
  <c r="I301" i="2"/>
  <c r="H301" i="2"/>
  <c r="H370" i="2" s="1"/>
  <c r="G356" i="2"/>
  <c r="G359" i="2" s="1"/>
  <c r="G301" i="2"/>
  <c r="G367" i="2" s="1"/>
  <c r="D356" i="2"/>
  <c r="D359" i="2" s="1"/>
  <c r="E370" i="2"/>
  <c r="C370" i="2"/>
  <c r="B356" i="2"/>
  <c r="B359" i="2" s="1"/>
  <c r="B301" i="2"/>
  <c r="AS254" i="2"/>
  <c r="AX194" i="2"/>
  <c r="AQ254" i="2"/>
  <c r="AP254" i="2"/>
  <c r="AP269" i="2" s="1"/>
  <c r="AP214" i="2"/>
  <c r="AN254" i="2"/>
  <c r="AN269" i="2" s="1"/>
  <c r="AM254" i="2"/>
  <c r="AL254" i="2"/>
  <c r="AK254" i="2"/>
  <c r="AK192" i="2"/>
  <c r="AK266" i="2" s="1"/>
  <c r="AI254" i="2"/>
  <c r="AI192" i="2"/>
  <c r="AH254" i="2"/>
  <c r="AH192" i="2"/>
  <c r="AG192" i="2"/>
  <c r="AF254" i="2"/>
  <c r="AF192" i="2"/>
  <c r="AD254" i="2"/>
  <c r="AD192" i="2"/>
  <c r="AC254" i="2"/>
  <c r="AC192" i="2"/>
  <c r="AB254" i="2"/>
  <c r="AB192" i="2"/>
  <c r="AA254" i="2"/>
  <c r="AA192" i="2"/>
  <c r="AA266" i="2" s="1"/>
  <c r="Y254" i="2"/>
  <c r="Y192" i="2"/>
  <c r="Y266" i="2" s="1"/>
  <c r="X254" i="2"/>
  <c r="X192" i="2"/>
  <c r="X266" i="2" s="1"/>
  <c r="W254" i="2"/>
  <c r="W192" i="2"/>
  <c r="W266" i="2" s="1"/>
  <c r="V254" i="2"/>
  <c r="V192" i="2"/>
  <c r="T254" i="2"/>
  <c r="T192" i="2"/>
  <c r="T266" i="2" s="1"/>
  <c r="R254" i="2"/>
  <c r="R192" i="2"/>
  <c r="Q254" i="2"/>
  <c r="Q269" i="2" s="1"/>
  <c r="O254" i="2"/>
  <c r="O192" i="2"/>
  <c r="O266" i="2" s="1"/>
  <c r="N254" i="2"/>
  <c r="N192" i="2"/>
  <c r="N266" i="2" s="1"/>
  <c r="M254" i="2"/>
  <c r="M192" i="2"/>
  <c r="M266" i="2" s="1"/>
  <c r="L254" i="2"/>
  <c r="L192" i="2"/>
  <c r="J192" i="2"/>
  <c r="I254" i="2"/>
  <c r="I192" i="2"/>
  <c r="I266" i="2" s="1"/>
  <c r="H254" i="2"/>
  <c r="H192" i="2"/>
  <c r="H266" i="2" s="1"/>
  <c r="G254" i="2"/>
  <c r="G200" i="2"/>
  <c r="G197" i="2"/>
  <c r="G203" i="2"/>
  <c r="B254" i="2"/>
  <c r="B192" i="2"/>
  <c r="B266" i="2" s="1"/>
  <c r="AS91" i="2"/>
  <c r="AS127" i="2" s="1"/>
  <c r="AR91" i="2"/>
  <c r="AR127" i="2" s="1"/>
  <c r="AQ91" i="2"/>
  <c r="AQ127" i="2" s="1"/>
  <c r="AP91" i="2"/>
  <c r="AP127" i="2" s="1"/>
  <c r="AN91" i="2"/>
  <c r="AN127" i="2" s="1"/>
  <c r="AM91" i="2"/>
  <c r="AM127" i="2" s="1"/>
  <c r="AL91" i="2"/>
  <c r="AK91" i="2"/>
  <c r="AK127" i="2" s="1"/>
  <c r="AI91" i="2"/>
  <c r="AI127" i="2" s="1"/>
  <c r="AH91" i="2"/>
  <c r="AH127" i="2" s="1"/>
  <c r="AG91" i="2"/>
  <c r="AF91" i="2"/>
  <c r="AF127" i="2" s="1"/>
  <c r="AD91" i="2"/>
  <c r="AD127" i="2" s="1"/>
  <c r="AC91" i="2"/>
  <c r="AC127" i="2" s="1"/>
  <c r="AB91" i="2"/>
  <c r="AA91" i="2"/>
  <c r="AA127" i="2" s="1"/>
  <c r="Y91" i="2"/>
  <c r="Y127" i="2" s="1"/>
  <c r="X91" i="2"/>
  <c r="X127" i="2" s="1"/>
  <c r="W91" i="2"/>
  <c r="W127" i="2" s="1"/>
  <c r="V91" i="2"/>
  <c r="V127" i="2" s="1"/>
  <c r="T91" i="2"/>
  <c r="T127" i="2" s="1"/>
  <c r="S91" i="2"/>
  <c r="S127" i="2" s="1"/>
  <c r="R91" i="2"/>
  <c r="R127" i="2" s="1"/>
  <c r="Q91" i="2"/>
  <c r="Q127" i="2" s="1"/>
  <c r="O91" i="2"/>
  <c r="O127" i="2" s="1"/>
  <c r="N91" i="2"/>
  <c r="M91" i="2"/>
  <c r="M127" i="2" s="1"/>
  <c r="L91" i="2"/>
  <c r="L127" i="2" s="1"/>
  <c r="J91" i="2"/>
  <c r="J127" i="2" s="1"/>
  <c r="I91" i="2"/>
  <c r="C91" i="2"/>
  <c r="C127" i="2" s="1"/>
  <c r="B36" i="2"/>
  <c r="AU41" i="3"/>
  <c r="AT124" i="3"/>
  <c r="AT105" i="3"/>
  <c r="AT11" i="3"/>
  <c r="AV12" i="3" s="1"/>
  <c r="AU127" i="3"/>
  <c r="AU122" i="3"/>
  <c r="AT122" i="3"/>
  <c r="AT121" i="3"/>
  <c r="AU117" i="3"/>
  <c r="AT117" i="3"/>
  <c r="AT116" i="3"/>
  <c r="AU102" i="3"/>
  <c r="AU91" i="3"/>
  <c r="AU86" i="3"/>
  <c r="AT86" i="3"/>
  <c r="AT85" i="3"/>
  <c r="AU71" i="3"/>
  <c r="AT71" i="3"/>
  <c r="AT70" i="3"/>
  <c r="AU58" i="3"/>
  <c r="AU55" i="3"/>
  <c r="AT55" i="3"/>
  <c r="AT54" i="3"/>
  <c r="AU52" i="3"/>
  <c r="AT52" i="3"/>
  <c r="AT51" i="3"/>
  <c r="AT45" i="3"/>
  <c r="AS45" i="3"/>
  <c r="AX47" i="3" s="1"/>
  <c r="AT40" i="3"/>
  <c r="AT36" i="3"/>
  <c r="AT35" i="3"/>
  <c r="AT29" i="3"/>
  <c r="AU26" i="3"/>
  <c r="AT26" i="3"/>
  <c r="AT25" i="3"/>
  <c r="AU21" i="3"/>
  <c r="AT21" i="3"/>
  <c r="AT20" i="3"/>
  <c r="AU17" i="3"/>
  <c r="AT15" i="3"/>
  <c r="AV16" i="3" s="1"/>
  <c r="AU13" i="3"/>
  <c r="R32" i="7"/>
  <c r="AT487" i="2"/>
  <c r="AT489" i="2" s="1"/>
  <c r="AU519" i="2"/>
  <c r="AU518" i="2"/>
  <c r="AU502" i="2"/>
  <c r="AT500" i="2"/>
  <c r="AY502" i="2" s="1"/>
  <c r="AO500" i="2"/>
  <c r="AQ501" i="2" s="1"/>
  <c r="AU493" i="2"/>
  <c r="AT490" i="2"/>
  <c r="AY492" i="2" s="1"/>
  <c r="AU483" i="2"/>
  <c r="AT481" i="2"/>
  <c r="AU460" i="2"/>
  <c r="AT458" i="2"/>
  <c r="AT459" i="2" s="1"/>
  <c r="AU478" i="2"/>
  <c r="AT476" i="2"/>
  <c r="AT477" i="2" s="1"/>
  <c r="AU475" i="2"/>
  <c r="AT473" i="2"/>
  <c r="AY475" i="2" s="1"/>
  <c r="AU472" i="2"/>
  <c r="AT470" i="2"/>
  <c r="AU469" i="2"/>
  <c r="AT467" i="2"/>
  <c r="AY469" i="2" s="1"/>
  <c r="AU457" i="2"/>
  <c r="AT455" i="2"/>
  <c r="AT456" i="2" s="1"/>
  <c r="AU445" i="2"/>
  <c r="AU444" i="2"/>
  <c r="AU429" i="2"/>
  <c r="AT427" i="2"/>
  <c r="AO427" i="2"/>
  <c r="AO428" i="2" s="1"/>
  <c r="AU419" i="2"/>
  <c r="AT417" i="2"/>
  <c r="AT418" i="2" s="1"/>
  <c r="AU416" i="2"/>
  <c r="AT414" i="2"/>
  <c r="AU408" i="2"/>
  <c r="AT406" i="2"/>
  <c r="AY408" i="2" s="1"/>
  <c r="AO406" i="2"/>
  <c r="AQ407" i="2" s="1"/>
  <c r="AU402" i="2"/>
  <c r="AT400" i="2"/>
  <c r="AY402" i="2" s="1"/>
  <c r="AO400" i="2"/>
  <c r="AO401" i="2" s="1"/>
  <c r="AU399" i="2"/>
  <c r="AT397" i="2"/>
  <c r="AY399" i="2" s="1"/>
  <c r="AO397" i="2"/>
  <c r="AU396" i="2"/>
  <c r="AT394" i="2"/>
  <c r="AT395" i="2" s="1"/>
  <c r="AO394" i="2"/>
  <c r="AU393" i="2"/>
  <c r="AT391" i="2"/>
  <c r="AT392" i="2" s="1"/>
  <c r="AO391" i="2"/>
  <c r="AQ392" i="2" s="1"/>
  <c r="AU389" i="2"/>
  <c r="AU387" i="2"/>
  <c r="AU379" i="2"/>
  <c r="AU352" i="2"/>
  <c r="AT350" i="2"/>
  <c r="AU343" i="2"/>
  <c r="AT341" i="2"/>
  <c r="AU340" i="2"/>
  <c r="AT338" i="2"/>
  <c r="AP328" i="2"/>
  <c r="AS328" i="2"/>
  <c r="AQ328" i="2"/>
  <c r="AN328" i="2"/>
  <c r="AU333" i="2"/>
  <c r="AT331" i="2"/>
  <c r="AU327" i="2"/>
  <c r="AT325" i="2"/>
  <c r="AO325" i="2"/>
  <c r="AU324" i="2"/>
  <c r="AT322" i="2"/>
  <c r="AT323" i="2" s="1"/>
  <c r="AO322" i="2"/>
  <c r="AQ323" i="2" s="1"/>
  <c r="AU321" i="2"/>
  <c r="AT319" i="2"/>
  <c r="AY321" i="2" s="1"/>
  <c r="AU318" i="2"/>
  <c r="AT316" i="2"/>
  <c r="AO316" i="2"/>
  <c r="AQ317" i="2" s="1"/>
  <c r="AU309" i="2"/>
  <c r="AT307" i="2"/>
  <c r="AT308" i="2" s="1"/>
  <c r="AO307" i="2"/>
  <c r="AQ308" i="2" s="1"/>
  <c r="AU306" i="2"/>
  <c r="AT304" i="2"/>
  <c r="AY306" i="2" s="1"/>
  <c r="AO304" i="2"/>
  <c r="AQ305" i="2" s="1"/>
  <c r="AU301" i="2"/>
  <c r="AU294" i="2"/>
  <c r="AT292" i="2"/>
  <c r="AY294" i="2" s="1"/>
  <c r="AU291" i="2"/>
  <c r="AT289" i="2"/>
  <c r="AU288" i="2"/>
  <c r="AT286" i="2"/>
  <c r="AT287" i="2" s="1"/>
  <c r="AU285" i="2"/>
  <c r="AT283" i="2"/>
  <c r="AU282" i="2"/>
  <c r="AT280" i="2"/>
  <c r="AT281" i="2" s="1"/>
  <c r="AU279" i="2"/>
  <c r="AT277" i="2"/>
  <c r="AY279" i="2" s="1"/>
  <c r="AU274" i="2"/>
  <c r="AU250" i="2"/>
  <c r="AT248" i="2"/>
  <c r="AT249" i="2" s="1"/>
  <c r="AU236" i="2"/>
  <c r="AP232" i="2"/>
  <c r="AS232" i="2"/>
  <c r="AQ232" i="2"/>
  <c r="AQ267" i="2" s="1"/>
  <c r="AU228" i="2"/>
  <c r="AT226" i="2"/>
  <c r="AU225" i="2"/>
  <c r="AT223" i="2"/>
  <c r="AO223" i="2"/>
  <c r="AO266" i="2" s="1"/>
  <c r="AT222" i="2"/>
  <c r="AU221" i="2"/>
  <c r="AT219" i="2"/>
  <c r="AU218" i="2"/>
  <c r="AT216" i="2"/>
  <c r="AY218" i="2" s="1"/>
  <c r="AU209" i="2"/>
  <c r="AT207" i="2"/>
  <c r="AU203" i="2"/>
  <c r="AT201" i="2"/>
  <c r="AU197" i="2"/>
  <c r="AT195" i="2"/>
  <c r="AU200" i="2"/>
  <c r="AT198" i="2"/>
  <c r="AT120" i="2"/>
  <c r="AT118" i="2"/>
  <c r="AU116" i="2"/>
  <c r="AU121" i="2" s="1"/>
  <c r="AQ116" i="2"/>
  <c r="AQ121" i="2" s="1"/>
  <c r="AR116" i="2"/>
  <c r="AR121" i="2" s="1"/>
  <c r="AS116" i="2"/>
  <c r="AS121" i="2" s="1"/>
  <c r="AT115" i="2"/>
  <c r="AT113" i="2"/>
  <c r="AT111" i="2"/>
  <c r="AT109" i="2"/>
  <c r="AT107" i="2"/>
  <c r="AT105" i="2"/>
  <c r="AU75" i="2"/>
  <c r="AT73" i="2"/>
  <c r="AY75" i="2" s="1"/>
  <c r="AU72" i="2"/>
  <c r="AT70" i="2"/>
  <c r="AU69" i="2"/>
  <c r="AT67" i="2"/>
  <c r="AU66" i="2"/>
  <c r="AT64" i="2"/>
  <c r="AY66" i="2" s="1"/>
  <c r="AU63" i="2"/>
  <c r="AT61" i="2"/>
  <c r="AU60" i="2"/>
  <c r="AT58" i="2"/>
  <c r="AU57" i="2"/>
  <c r="AT55" i="2"/>
  <c r="AY57" i="2" s="1"/>
  <c r="AU87" i="2"/>
  <c r="AT85" i="2"/>
  <c r="AT48" i="2"/>
  <c r="AT42" i="2"/>
  <c r="AU36" i="2"/>
  <c r="AU39" i="2" s="1"/>
  <c r="AU34" i="2"/>
  <c r="AT32" i="2"/>
  <c r="AU31" i="2"/>
  <c r="AT29" i="2"/>
  <c r="AT30" i="2" s="1"/>
  <c r="AO29" i="2"/>
  <c r="AU28" i="2"/>
  <c r="AT26" i="2"/>
  <c r="AO26" i="2"/>
  <c r="AU25" i="2"/>
  <c r="AT23" i="2"/>
  <c r="AU22" i="2"/>
  <c r="AT20" i="2"/>
  <c r="AT18" i="2"/>
  <c r="AO18" i="2"/>
  <c r="AU17" i="2"/>
  <c r="AT15" i="2"/>
  <c r="AU14" i="2"/>
  <c r="AT12" i="2"/>
  <c r="AU11" i="2"/>
  <c r="AT9" i="2"/>
  <c r="AP45" i="3"/>
  <c r="AP48" i="3" s="1"/>
  <c r="AK47" i="3"/>
  <c r="AF47" i="3"/>
  <c r="AA47" i="3"/>
  <c r="V47" i="3"/>
  <c r="Q47" i="3"/>
  <c r="L47" i="3"/>
  <c r="G47" i="3"/>
  <c r="AR45" i="3"/>
  <c r="AQ45" i="3"/>
  <c r="AM45" i="3"/>
  <c r="AM47" i="3" s="1"/>
  <c r="AN45" i="3"/>
  <c r="AO45" i="3"/>
  <c r="AJ47" i="3"/>
  <c r="AI47" i="3"/>
  <c r="AH47" i="3"/>
  <c r="AG47" i="3"/>
  <c r="AJ46" i="3"/>
  <c r="AI46" i="3"/>
  <c r="AH46" i="3"/>
  <c r="AG46" i="3"/>
  <c r="AE47" i="3"/>
  <c r="AD47" i="3"/>
  <c r="AC47" i="3"/>
  <c r="AB47" i="3"/>
  <c r="AE46" i="3"/>
  <c r="AD46" i="3"/>
  <c r="AC46" i="3"/>
  <c r="AB46" i="3"/>
  <c r="Z47" i="3"/>
  <c r="Y47" i="3"/>
  <c r="X47" i="3"/>
  <c r="W47" i="3"/>
  <c r="Z46" i="3"/>
  <c r="Y46" i="3"/>
  <c r="X46" i="3"/>
  <c r="W46" i="3"/>
  <c r="U47" i="3"/>
  <c r="T47" i="3"/>
  <c r="S47" i="3"/>
  <c r="R47" i="3"/>
  <c r="U46" i="3"/>
  <c r="T46" i="3"/>
  <c r="S46" i="3"/>
  <c r="R46" i="3"/>
  <c r="P47" i="3"/>
  <c r="O47" i="3"/>
  <c r="N47" i="3"/>
  <c r="M47" i="3"/>
  <c r="P46" i="3"/>
  <c r="O46" i="3"/>
  <c r="N46" i="3"/>
  <c r="M46" i="3"/>
  <c r="K47" i="3"/>
  <c r="J47" i="3"/>
  <c r="I47" i="3"/>
  <c r="H47" i="3"/>
  <c r="K46" i="3"/>
  <c r="J46" i="3"/>
  <c r="I46" i="3"/>
  <c r="H46" i="3"/>
  <c r="F46" i="3"/>
  <c r="E46" i="3"/>
  <c r="D46" i="3"/>
  <c r="G36" i="2"/>
  <c r="L36" i="2"/>
  <c r="Q36" i="2"/>
  <c r="Q39" i="2" s="1"/>
  <c r="V36" i="2"/>
  <c r="AA36" i="2"/>
  <c r="AF36" i="2"/>
  <c r="AK36" i="2"/>
  <c r="AK39" i="2" s="1"/>
  <c r="O36" i="2"/>
  <c r="N36" i="2"/>
  <c r="M36" i="2"/>
  <c r="T36" i="2"/>
  <c r="S36" i="2"/>
  <c r="R36" i="2"/>
  <c r="Y36" i="2"/>
  <c r="X36" i="2"/>
  <c r="W36" i="2"/>
  <c r="AD36" i="2"/>
  <c r="AC36" i="2"/>
  <c r="AB36" i="2"/>
  <c r="AI36" i="2"/>
  <c r="AH36" i="2"/>
  <c r="AG36" i="2"/>
  <c r="AP36" i="2"/>
  <c r="AP39" i="2" s="1"/>
  <c r="AN36" i="2"/>
  <c r="AM36" i="2"/>
  <c r="AL36" i="2"/>
  <c r="AQ36" i="2"/>
  <c r="AR36" i="2"/>
  <c r="AS36" i="2"/>
  <c r="AO331" i="2"/>
  <c r="AO332" i="2" s="1"/>
  <c r="AO481" i="2"/>
  <c r="AO289" i="2"/>
  <c r="AQ290" i="2" s="1"/>
  <c r="AO248" i="2"/>
  <c r="AQ249" i="2" s="1"/>
  <c r="AO11" i="3"/>
  <c r="AT13" i="3" s="1"/>
  <c r="AO15" i="3"/>
  <c r="AO16" i="3" s="1"/>
  <c r="AS493" i="2"/>
  <c r="AX495" i="2" s="1"/>
  <c r="AR493" i="2"/>
  <c r="AW495" i="2" s="1"/>
  <c r="AQ493" i="2"/>
  <c r="AQ520" i="2" s="1"/>
  <c r="AP493" i="2"/>
  <c r="AN493" i="2"/>
  <c r="AN520" i="2" s="1"/>
  <c r="AM493" i="2"/>
  <c r="AL493" i="2"/>
  <c r="AL494" i="2" s="1"/>
  <c r="AO473" i="2"/>
  <c r="AO474" i="2" s="1"/>
  <c r="AO467" i="2"/>
  <c r="AQ468" i="2" s="1"/>
  <c r="AO414" i="2"/>
  <c r="AQ415" i="2" s="1"/>
  <c r="AO283" i="2"/>
  <c r="AO284" i="2" s="1"/>
  <c r="AO277" i="2"/>
  <c r="AQ278" i="2" s="1"/>
  <c r="AO216" i="2"/>
  <c r="AO207" i="2"/>
  <c r="AO195" i="2"/>
  <c r="AO196" i="2" s="1"/>
  <c r="AO67" i="2"/>
  <c r="AO68" i="2" s="1"/>
  <c r="AO61" i="2"/>
  <c r="AO62" i="2" s="1"/>
  <c r="AO55" i="2"/>
  <c r="AQ56" i="2" s="1"/>
  <c r="AO85" i="2"/>
  <c r="AO86" i="2" s="1"/>
  <c r="AO9" i="2"/>
  <c r="AO10" i="2" s="1"/>
  <c r="AO12" i="2"/>
  <c r="AO13" i="2" s="1"/>
  <c r="AO15" i="2"/>
  <c r="AO286" i="2"/>
  <c r="AQ287" i="2" s="1"/>
  <c r="AO350" i="2"/>
  <c r="AO417" i="2"/>
  <c r="AO418" i="2" s="1"/>
  <c r="AO476" i="2"/>
  <c r="AO477" i="2" s="1"/>
  <c r="AO20" i="2"/>
  <c r="AO32" i="2"/>
  <c r="AO58" i="2"/>
  <c r="AO59" i="2" s="1"/>
  <c r="AO64" i="2"/>
  <c r="AO65" i="2" s="1"/>
  <c r="AO70" i="2"/>
  <c r="AO71" i="2" s="1"/>
  <c r="AO198" i="2"/>
  <c r="AQ199" i="2" s="1"/>
  <c r="AO201" i="2"/>
  <c r="AO219" i="2"/>
  <c r="AO220" i="2" s="1"/>
  <c r="AO226" i="2"/>
  <c r="AN232" i="2"/>
  <c r="AN267" i="2" s="1"/>
  <c r="AM232" i="2"/>
  <c r="AP236" i="2"/>
  <c r="AS236" i="2"/>
  <c r="AR236" i="2"/>
  <c r="AQ236" i="2"/>
  <c r="AQ268" i="2" s="1"/>
  <c r="AO280" i="2"/>
  <c r="AQ281" i="2" s="1"/>
  <c r="AO292" i="2"/>
  <c r="AQ293" i="2" s="1"/>
  <c r="AR344" i="2"/>
  <c r="AO470" i="2"/>
  <c r="AQ471" i="2" s="1"/>
  <c r="AO458" i="2"/>
  <c r="AP274" i="2"/>
  <c r="AQ274" i="2"/>
  <c r="AR274" i="2"/>
  <c r="AW276" i="2" s="1"/>
  <c r="AS274" i="2"/>
  <c r="AX276" i="2" s="1"/>
  <c r="AP403" i="2"/>
  <c r="AS403" i="2"/>
  <c r="AX405" i="2" s="1"/>
  <c r="AR403" i="2"/>
  <c r="AQ403" i="2"/>
  <c r="AQ405" i="2" s="1"/>
  <c r="AO319" i="2"/>
  <c r="AO320" i="2" s="1"/>
  <c r="AO338" i="2"/>
  <c r="AO341" i="2"/>
  <c r="AM492" i="2"/>
  <c r="AM491" i="2"/>
  <c r="AN492" i="2"/>
  <c r="AN491" i="2"/>
  <c r="AS492" i="2"/>
  <c r="AS491" i="2"/>
  <c r="AL274" i="2"/>
  <c r="AM274" i="2"/>
  <c r="AN274" i="2"/>
  <c r="AS509" i="2"/>
  <c r="AR509" i="2"/>
  <c r="AW511" i="2" s="1"/>
  <c r="AR436" i="2"/>
  <c r="AR438" i="2" s="1"/>
  <c r="AM344" i="2"/>
  <c r="AM347" i="2" s="1"/>
  <c r="AL344" i="2"/>
  <c r="AL347" i="2" s="1"/>
  <c r="AN236" i="2"/>
  <c r="AM236" i="2"/>
  <c r="AL236" i="2"/>
  <c r="AL268" i="2" s="1"/>
  <c r="AN420" i="2"/>
  <c r="AM420" i="2"/>
  <c r="AL420" i="2"/>
  <c r="AN440" i="2"/>
  <c r="AM440" i="2"/>
  <c r="AL440" i="2"/>
  <c r="AN513" i="2"/>
  <c r="AM513" i="2"/>
  <c r="AL513" i="2"/>
  <c r="AS28" i="2"/>
  <c r="AS27" i="2"/>
  <c r="AS359" i="2"/>
  <c r="AS408" i="2"/>
  <c r="AR408" i="2"/>
  <c r="AQ408" i="2"/>
  <c r="AP408" i="2"/>
  <c r="AJ406" i="2"/>
  <c r="AJ407" i="2" s="1"/>
  <c r="AN408" i="2"/>
  <c r="AM408" i="2"/>
  <c r="AL408" i="2"/>
  <c r="AK408" i="2"/>
  <c r="AE406" i="2"/>
  <c r="AG407" i="2" s="1"/>
  <c r="AI408" i="2"/>
  <c r="AH408" i="2"/>
  <c r="AG408" i="2"/>
  <c r="AF408" i="2"/>
  <c r="AA408" i="2"/>
  <c r="V408" i="2"/>
  <c r="Q408" i="2"/>
  <c r="L408" i="2"/>
  <c r="G408" i="2"/>
  <c r="AS407" i="2"/>
  <c r="AR407" i="2"/>
  <c r="AN407" i="2"/>
  <c r="AM407" i="2"/>
  <c r="AI407" i="2"/>
  <c r="AH407" i="2"/>
  <c r="AD407" i="2"/>
  <c r="AC407" i="2"/>
  <c r="AS333" i="2"/>
  <c r="AR333" i="2"/>
  <c r="AQ333" i="2"/>
  <c r="AS332" i="2"/>
  <c r="AR332" i="2"/>
  <c r="AP333" i="2"/>
  <c r="AJ331" i="2"/>
  <c r="AN333" i="2"/>
  <c r="AM333" i="2"/>
  <c r="AL333" i="2"/>
  <c r="AN332" i="2"/>
  <c r="AM332" i="2"/>
  <c r="AK333" i="2"/>
  <c r="AE331" i="2"/>
  <c r="AG332" i="2" s="1"/>
  <c r="AI333" i="2"/>
  <c r="AH333" i="2"/>
  <c r="AG333" i="2"/>
  <c r="AI332" i="2"/>
  <c r="AH332" i="2"/>
  <c r="AF333" i="2"/>
  <c r="AD332" i="2"/>
  <c r="AC332" i="2"/>
  <c r="AA333" i="2"/>
  <c r="V333" i="2"/>
  <c r="Q333" i="2"/>
  <c r="L333" i="2"/>
  <c r="G333" i="2"/>
  <c r="AS31" i="2"/>
  <c r="AR31" i="2"/>
  <c r="AQ31" i="2"/>
  <c r="AP31" i="2"/>
  <c r="AN31" i="2"/>
  <c r="AM31" i="2"/>
  <c r="AL31" i="2"/>
  <c r="AK31" i="2"/>
  <c r="AI31" i="2"/>
  <c r="AH31" i="2"/>
  <c r="AG31" i="2"/>
  <c r="AF31" i="2"/>
  <c r="AD31" i="2"/>
  <c r="AC31" i="2"/>
  <c r="AB31" i="2"/>
  <c r="AA31" i="2"/>
  <c r="Y31" i="2"/>
  <c r="X31" i="2"/>
  <c r="W31" i="2"/>
  <c r="V31" i="2"/>
  <c r="T31" i="2"/>
  <c r="S31" i="2"/>
  <c r="R31" i="2"/>
  <c r="Q31" i="2"/>
  <c r="O31" i="2"/>
  <c r="N31" i="2"/>
  <c r="M31" i="2"/>
  <c r="L31" i="2"/>
  <c r="J31" i="2"/>
  <c r="I31" i="2"/>
  <c r="H31" i="2"/>
  <c r="AS30" i="2"/>
  <c r="AR30" i="2"/>
  <c r="AN30" i="2"/>
  <c r="AM30" i="2"/>
  <c r="AI30" i="2"/>
  <c r="AH30" i="2"/>
  <c r="AD30" i="2"/>
  <c r="AC30" i="2"/>
  <c r="Y30" i="2"/>
  <c r="X30" i="2"/>
  <c r="T30" i="2"/>
  <c r="S30" i="2"/>
  <c r="O30" i="2"/>
  <c r="N30" i="2"/>
  <c r="J30" i="2"/>
  <c r="I30" i="2"/>
  <c r="G31" i="2"/>
  <c r="E30" i="2"/>
  <c r="D30" i="2"/>
  <c r="F29" i="2"/>
  <c r="H30" i="2" s="1"/>
  <c r="K29" i="2"/>
  <c r="M30" i="2" s="1"/>
  <c r="P29" i="2"/>
  <c r="U29" i="2"/>
  <c r="U30" i="2" s="1"/>
  <c r="Z29" i="2"/>
  <c r="AB30" i="2" s="1"/>
  <c r="AE29" i="2"/>
  <c r="AJ29" i="2"/>
  <c r="AS122" i="3"/>
  <c r="AS121" i="3"/>
  <c r="AS117" i="3"/>
  <c r="AS116" i="3"/>
  <c r="AS86" i="3"/>
  <c r="AS85" i="3"/>
  <c r="AS71" i="3"/>
  <c r="AS70" i="3"/>
  <c r="AS55" i="3"/>
  <c r="AS54" i="3"/>
  <c r="AS52" i="3"/>
  <c r="AS51" i="3"/>
  <c r="AS41" i="3"/>
  <c r="AS40" i="3"/>
  <c r="AS36" i="3"/>
  <c r="AS35" i="3"/>
  <c r="AS29" i="3"/>
  <c r="AS26" i="3"/>
  <c r="AS25" i="3"/>
  <c r="AS21" i="3"/>
  <c r="AS20" i="3"/>
  <c r="AS17" i="3"/>
  <c r="AS16" i="3"/>
  <c r="AS13" i="3"/>
  <c r="AS12" i="3"/>
  <c r="P32" i="7"/>
  <c r="AS75" i="2"/>
  <c r="AS519" i="2"/>
  <c r="AS518" i="2"/>
  <c r="AS508" i="2"/>
  <c r="AS507" i="2"/>
  <c r="AS505" i="2"/>
  <c r="AS504" i="2"/>
  <c r="AS502" i="2"/>
  <c r="AS501" i="2"/>
  <c r="AS460" i="2"/>
  <c r="AS459" i="2"/>
  <c r="AS478" i="2"/>
  <c r="AS477" i="2"/>
  <c r="AS475" i="2"/>
  <c r="AS474" i="2"/>
  <c r="AS469" i="2"/>
  <c r="AS468" i="2"/>
  <c r="AS483" i="2"/>
  <c r="AS482" i="2"/>
  <c r="AS472" i="2"/>
  <c r="AS471" i="2"/>
  <c r="AS457" i="2"/>
  <c r="AS456" i="2"/>
  <c r="AS445" i="2"/>
  <c r="AS444" i="2"/>
  <c r="AS432" i="2"/>
  <c r="AS431" i="2"/>
  <c r="AS429" i="2"/>
  <c r="AS428" i="2"/>
  <c r="AS402" i="2"/>
  <c r="AS401" i="2"/>
  <c r="AS399" i="2"/>
  <c r="AS398" i="2"/>
  <c r="AS393" i="2"/>
  <c r="AS392" i="2"/>
  <c r="AS419" i="2"/>
  <c r="AS418" i="2"/>
  <c r="AS416" i="2"/>
  <c r="AS415" i="2"/>
  <c r="AS396" i="2"/>
  <c r="AS395" i="2"/>
  <c r="AS379" i="2"/>
  <c r="AS378" i="2"/>
  <c r="AS355" i="2"/>
  <c r="AS354" i="2"/>
  <c r="AS352" i="2"/>
  <c r="AS351" i="2"/>
  <c r="AS327" i="2"/>
  <c r="AS326" i="2"/>
  <c r="AS324" i="2"/>
  <c r="AS323" i="2"/>
  <c r="AS318" i="2"/>
  <c r="AS317" i="2"/>
  <c r="AS343" i="2"/>
  <c r="AS342" i="2"/>
  <c r="AS340" i="2"/>
  <c r="AS339" i="2"/>
  <c r="AS321" i="2"/>
  <c r="AS320" i="2"/>
  <c r="AS309" i="2"/>
  <c r="AS308" i="2"/>
  <c r="AS306" i="2"/>
  <c r="AS305" i="2"/>
  <c r="AS294" i="2"/>
  <c r="AS293" i="2"/>
  <c r="AS291" i="2"/>
  <c r="AS290" i="2"/>
  <c r="AS288" i="2"/>
  <c r="AS287" i="2"/>
  <c r="AS285" i="2"/>
  <c r="AS284" i="2"/>
  <c r="AS282" i="2"/>
  <c r="AS281" i="2"/>
  <c r="AS279" i="2"/>
  <c r="AS278" i="2"/>
  <c r="AS253" i="2"/>
  <c r="AS252" i="2"/>
  <c r="AS250" i="2"/>
  <c r="AS249" i="2"/>
  <c r="AS228" i="2"/>
  <c r="AS227" i="2"/>
  <c r="AS221" i="2"/>
  <c r="AS220" i="2"/>
  <c r="AS218" i="2"/>
  <c r="AS217" i="2"/>
  <c r="AS225" i="2"/>
  <c r="AS224" i="2"/>
  <c r="AS209" i="2"/>
  <c r="AS208" i="2"/>
  <c r="AS203" i="2"/>
  <c r="AS202" i="2"/>
  <c r="AS197" i="2"/>
  <c r="AS196" i="2"/>
  <c r="AS200" i="2"/>
  <c r="AS199" i="2"/>
  <c r="AS74" i="2"/>
  <c r="AS72" i="2"/>
  <c r="AS71" i="2"/>
  <c r="AS69" i="2"/>
  <c r="AS68" i="2"/>
  <c r="AS66" i="2"/>
  <c r="AS65" i="2"/>
  <c r="AS63" i="2"/>
  <c r="AS62" i="2"/>
  <c r="AS60" i="2"/>
  <c r="AS59" i="2"/>
  <c r="AS57" i="2"/>
  <c r="AS56" i="2"/>
  <c r="AS90" i="2"/>
  <c r="AS89" i="2"/>
  <c r="AS87" i="2"/>
  <c r="AS86" i="2"/>
  <c r="AS25" i="2"/>
  <c r="AS24" i="2"/>
  <c r="AS17" i="2"/>
  <c r="AS16" i="2"/>
  <c r="AS14" i="2"/>
  <c r="AS13" i="2"/>
  <c r="AS34" i="2"/>
  <c r="AS33" i="2"/>
  <c r="AS22" i="2"/>
  <c r="AS21" i="2"/>
  <c r="AS11" i="2"/>
  <c r="AS10" i="2"/>
  <c r="AS488" i="2"/>
  <c r="AR258" i="2"/>
  <c r="AR41" i="3"/>
  <c r="AR40" i="3"/>
  <c r="AR122" i="3"/>
  <c r="AR121" i="3"/>
  <c r="AR117" i="3"/>
  <c r="AR116" i="3"/>
  <c r="AR86" i="3"/>
  <c r="AR85" i="3"/>
  <c r="AR71" i="3"/>
  <c r="AR70" i="3"/>
  <c r="AR55" i="3"/>
  <c r="AR54" i="3"/>
  <c r="AR52" i="3"/>
  <c r="AR51" i="3"/>
  <c r="AR36" i="3"/>
  <c r="AR35" i="3"/>
  <c r="AR29" i="3"/>
  <c r="AR26" i="3"/>
  <c r="AR25" i="3"/>
  <c r="AR21" i="3"/>
  <c r="AR20" i="3"/>
  <c r="AR17" i="3"/>
  <c r="AR16" i="3"/>
  <c r="AR13" i="3"/>
  <c r="AR12" i="3"/>
  <c r="AR492" i="2"/>
  <c r="AR491" i="2"/>
  <c r="AR224" i="2"/>
  <c r="AR75" i="2"/>
  <c r="AR74" i="2"/>
  <c r="AR519" i="2"/>
  <c r="AR518" i="2"/>
  <c r="AR508" i="2"/>
  <c r="AR505" i="2"/>
  <c r="AR504" i="2"/>
  <c r="AR502" i="2"/>
  <c r="AR501" i="2"/>
  <c r="AR460" i="2"/>
  <c r="AR459" i="2"/>
  <c r="AR478" i="2"/>
  <c r="AR477" i="2"/>
  <c r="AR475" i="2"/>
  <c r="AR474" i="2"/>
  <c r="AR469" i="2"/>
  <c r="AR468" i="2"/>
  <c r="AR483" i="2"/>
  <c r="AR482" i="2"/>
  <c r="AR472" i="2"/>
  <c r="AR471" i="2"/>
  <c r="AR457" i="2"/>
  <c r="AR456" i="2"/>
  <c r="AR445" i="2"/>
  <c r="AR444" i="2"/>
  <c r="AR432" i="2"/>
  <c r="AR431" i="2"/>
  <c r="AR429" i="2"/>
  <c r="AR428" i="2"/>
  <c r="AR402" i="2"/>
  <c r="AR401" i="2"/>
  <c r="AR399" i="2"/>
  <c r="AR398" i="2"/>
  <c r="AR393" i="2"/>
  <c r="AR392" i="2"/>
  <c r="AR419" i="2"/>
  <c r="AR418" i="2"/>
  <c r="AR416" i="2"/>
  <c r="AR415" i="2"/>
  <c r="AR396" i="2"/>
  <c r="AR395" i="2"/>
  <c r="AR379" i="2"/>
  <c r="AR378" i="2"/>
  <c r="AR355" i="2"/>
  <c r="AR354" i="2"/>
  <c r="AR352" i="2"/>
  <c r="AR351" i="2"/>
  <c r="AR330" i="2"/>
  <c r="AR327" i="2"/>
  <c r="AR326" i="2"/>
  <c r="AR324" i="2"/>
  <c r="AR323" i="2"/>
  <c r="AR318" i="2"/>
  <c r="AR317" i="2"/>
  <c r="AR343" i="2"/>
  <c r="AR342" i="2"/>
  <c r="AR340" i="2"/>
  <c r="AR339" i="2"/>
  <c r="AR321" i="2"/>
  <c r="AR320" i="2"/>
  <c r="AR309" i="2"/>
  <c r="AR308" i="2"/>
  <c r="AR306" i="2"/>
  <c r="AR305" i="2"/>
  <c r="AR294" i="2"/>
  <c r="AR293" i="2"/>
  <c r="AR291" i="2"/>
  <c r="AR290" i="2"/>
  <c r="AR288" i="2"/>
  <c r="AR287" i="2"/>
  <c r="AR285" i="2"/>
  <c r="AR284" i="2"/>
  <c r="AR282" i="2"/>
  <c r="AR281" i="2"/>
  <c r="AR279" i="2"/>
  <c r="AR278" i="2"/>
  <c r="AR253" i="2"/>
  <c r="AR252" i="2"/>
  <c r="AR250" i="2"/>
  <c r="AR249" i="2"/>
  <c r="AR228" i="2"/>
  <c r="AR227" i="2"/>
  <c r="AR221" i="2"/>
  <c r="AR220" i="2"/>
  <c r="AR218" i="2"/>
  <c r="AR217" i="2"/>
  <c r="AR225" i="2"/>
  <c r="AR209" i="2"/>
  <c r="AR208" i="2"/>
  <c r="AR203" i="2"/>
  <c r="AR202" i="2"/>
  <c r="AR197" i="2"/>
  <c r="AR196" i="2"/>
  <c r="AR200" i="2"/>
  <c r="AR199" i="2"/>
  <c r="AR72" i="2"/>
  <c r="AR71" i="2"/>
  <c r="AR69" i="2"/>
  <c r="AR68" i="2"/>
  <c r="AR66" i="2"/>
  <c r="AR65" i="2"/>
  <c r="AR63" i="2"/>
  <c r="AR62" i="2"/>
  <c r="AR60" i="2"/>
  <c r="AR59" i="2"/>
  <c r="AR57" i="2"/>
  <c r="AR56" i="2"/>
  <c r="AR90" i="2"/>
  <c r="AR89" i="2"/>
  <c r="AR87" i="2"/>
  <c r="AR86" i="2"/>
  <c r="AR27" i="2"/>
  <c r="AR25" i="2"/>
  <c r="AR24" i="2"/>
  <c r="AR17" i="2"/>
  <c r="AR16" i="2"/>
  <c r="AR14" i="2"/>
  <c r="AR13" i="2"/>
  <c r="AR34" i="2"/>
  <c r="AR33" i="2"/>
  <c r="AR22" i="2"/>
  <c r="AR21" i="2"/>
  <c r="AR11" i="2"/>
  <c r="AR10" i="2"/>
  <c r="O32" i="7"/>
  <c r="N32" i="7"/>
  <c r="M32" i="7"/>
  <c r="K32" i="7"/>
  <c r="J32" i="7"/>
  <c r="I32" i="7"/>
  <c r="H32" i="7"/>
  <c r="F32" i="7"/>
  <c r="E32" i="7"/>
  <c r="D32" i="7"/>
  <c r="C32" i="7"/>
  <c r="B32" i="7"/>
  <c r="L24" i="7"/>
  <c r="L22" i="7"/>
  <c r="G22" i="7"/>
  <c r="G32" i="7" s="1"/>
  <c r="L18" i="7"/>
  <c r="AR488" i="2"/>
  <c r="Q116" i="2"/>
  <c r="V116" i="2"/>
  <c r="AA116" i="2"/>
  <c r="AF116" i="2"/>
  <c r="AK116" i="2"/>
  <c r="AK121" i="2" s="1"/>
  <c r="AO120" i="2"/>
  <c r="AO118" i="2"/>
  <c r="AO115" i="2"/>
  <c r="AO113" i="2"/>
  <c r="AO111" i="2"/>
  <c r="AP116" i="2"/>
  <c r="AP121" i="2" s="1"/>
  <c r="AN116" i="2"/>
  <c r="AN121" i="2" s="1"/>
  <c r="AM116" i="2"/>
  <c r="AM121" i="2" s="1"/>
  <c r="AL116" i="2"/>
  <c r="AL121" i="2" s="1"/>
  <c r="AQ41" i="3"/>
  <c r="AQ40" i="3"/>
  <c r="B487" i="2"/>
  <c r="G487" i="2"/>
  <c r="L487" i="2"/>
  <c r="Q487" i="2"/>
  <c r="V487" i="2"/>
  <c r="AA487" i="2"/>
  <c r="AF487" i="2"/>
  <c r="AH487" i="2"/>
  <c r="AH488" i="2" s="1"/>
  <c r="AM487" i="2"/>
  <c r="AI487" i="2"/>
  <c r="AJ488" i="2" s="1"/>
  <c r="AN487" i="2"/>
  <c r="AO489" i="2"/>
  <c r="AL489" i="2"/>
  <c r="AL488" i="2"/>
  <c r="AQ489" i="2"/>
  <c r="AQ488" i="2"/>
  <c r="AQ416" i="2"/>
  <c r="AM359" i="2"/>
  <c r="AQ122" i="3"/>
  <c r="AQ121" i="3"/>
  <c r="AQ117" i="3"/>
  <c r="AQ116" i="3"/>
  <c r="AQ71" i="3"/>
  <c r="AQ70" i="3"/>
  <c r="AQ55" i="3"/>
  <c r="AQ54" i="3"/>
  <c r="AQ52" i="3"/>
  <c r="AQ51" i="3"/>
  <c r="AQ29" i="3"/>
  <c r="AQ26" i="3"/>
  <c r="AQ25" i="3"/>
  <c r="AQ21" i="3"/>
  <c r="AQ20" i="3"/>
  <c r="AQ17" i="3"/>
  <c r="AQ13" i="3"/>
  <c r="AQ519" i="2"/>
  <c r="AQ518" i="2"/>
  <c r="AQ505" i="2"/>
  <c r="AQ504" i="2"/>
  <c r="AQ502" i="2"/>
  <c r="AQ460" i="2"/>
  <c r="AQ478" i="2"/>
  <c r="AQ475" i="2"/>
  <c r="AQ469" i="2"/>
  <c r="AQ492" i="2"/>
  <c r="AQ483" i="2"/>
  <c r="AQ472" i="2"/>
  <c r="AQ457" i="2"/>
  <c r="AQ445" i="2"/>
  <c r="AQ444" i="2"/>
  <c r="AQ432" i="2"/>
  <c r="AQ431" i="2"/>
  <c r="AQ429" i="2"/>
  <c r="AQ402" i="2"/>
  <c r="AQ399" i="2"/>
  <c r="AQ393" i="2"/>
  <c r="AQ419" i="2"/>
  <c r="AQ396" i="2"/>
  <c r="AQ379" i="2"/>
  <c r="AQ355" i="2"/>
  <c r="AQ354" i="2"/>
  <c r="AQ352" i="2"/>
  <c r="AQ327" i="2"/>
  <c r="AQ324" i="2"/>
  <c r="AQ318" i="2"/>
  <c r="AQ343" i="2"/>
  <c r="AQ340" i="2"/>
  <c r="AQ321" i="2"/>
  <c r="AQ309" i="2"/>
  <c r="AQ306" i="2"/>
  <c r="AQ294" i="2"/>
  <c r="AQ291" i="2"/>
  <c r="AQ288" i="2"/>
  <c r="AQ285" i="2"/>
  <c r="AQ282" i="2"/>
  <c r="AQ279" i="2"/>
  <c r="AQ253" i="2"/>
  <c r="AQ252" i="2"/>
  <c r="AQ250" i="2"/>
  <c r="AQ228" i="2"/>
  <c r="AQ221" i="2"/>
  <c r="AQ218" i="2"/>
  <c r="AQ225" i="2"/>
  <c r="AQ209" i="2"/>
  <c r="AQ203" i="2"/>
  <c r="AQ197" i="2"/>
  <c r="AQ200" i="2"/>
  <c r="AQ72" i="2"/>
  <c r="AQ69" i="2"/>
  <c r="AQ66" i="2"/>
  <c r="AQ63" i="2"/>
  <c r="AQ60" i="2"/>
  <c r="AQ57" i="2"/>
  <c r="AQ90" i="2"/>
  <c r="AQ89" i="2"/>
  <c r="AQ87" i="2"/>
  <c r="AQ25" i="2"/>
  <c r="AQ17" i="2"/>
  <c r="AQ14" i="2"/>
  <c r="AQ34" i="2"/>
  <c r="AQ22" i="2"/>
  <c r="AQ11" i="2"/>
  <c r="AQ35" i="3"/>
  <c r="AO42" i="2"/>
  <c r="AP503" i="2"/>
  <c r="AP505" i="2" s="1"/>
  <c r="AP430" i="2"/>
  <c r="AP432" i="2" s="1"/>
  <c r="AP353" i="2"/>
  <c r="AP355" i="2" s="1"/>
  <c r="AP251" i="2"/>
  <c r="AP253" i="2" s="1"/>
  <c r="AP88" i="2"/>
  <c r="AP90" i="2" s="1"/>
  <c r="AF420" i="2"/>
  <c r="AF423" i="2" s="1"/>
  <c r="AK403" i="2"/>
  <c r="AJ403" i="2" s="1"/>
  <c r="AJ404" i="2" s="1"/>
  <c r="AD470" i="2"/>
  <c r="AC470" i="2"/>
  <c r="AH472" i="2" s="1"/>
  <c r="AB470" i="2"/>
  <c r="AB472" i="2" s="1"/>
  <c r="AD476" i="2"/>
  <c r="AC476" i="2"/>
  <c r="AB476" i="2"/>
  <c r="AG478" i="2" s="1"/>
  <c r="AD467" i="2"/>
  <c r="AC467" i="2"/>
  <c r="AB467" i="2"/>
  <c r="AG469" i="2" s="1"/>
  <c r="AK427" i="2"/>
  <c r="AJ427" i="2" s="1"/>
  <c r="AK509" i="2"/>
  <c r="AK513" i="2" s="1"/>
  <c r="AP502" i="2"/>
  <c r="AO40" i="3"/>
  <c r="AP127" i="3"/>
  <c r="AP122" i="3"/>
  <c r="AO122" i="3"/>
  <c r="AO121" i="3"/>
  <c r="AP117" i="3"/>
  <c r="AO117" i="3"/>
  <c r="AO116" i="3"/>
  <c r="AP102" i="3"/>
  <c r="AO86" i="3"/>
  <c r="AO85" i="3"/>
  <c r="AP71" i="3"/>
  <c r="AO71" i="3"/>
  <c r="AO70" i="3"/>
  <c r="AP58" i="3"/>
  <c r="AP55" i="3"/>
  <c r="AO55" i="3"/>
  <c r="AO54" i="3"/>
  <c r="AP52" i="3"/>
  <c r="AO52" i="3"/>
  <c r="AO51" i="3"/>
  <c r="AP36" i="3"/>
  <c r="AO36" i="3"/>
  <c r="AO35" i="3"/>
  <c r="AO29" i="3"/>
  <c r="AP26" i="3"/>
  <c r="AO26" i="3"/>
  <c r="AO25" i="3"/>
  <c r="AP21" i="3"/>
  <c r="AO21" i="3"/>
  <c r="AO20" i="3"/>
  <c r="AP17" i="3"/>
  <c r="AP13" i="3"/>
  <c r="AP519" i="2"/>
  <c r="AP518" i="2"/>
  <c r="AP460" i="2"/>
  <c r="AP478" i="2"/>
  <c r="AP475" i="2"/>
  <c r="AP469" i="2"/>
  <c r="AP492" i="2"/>
  <c r="AO490" i="2"/>
  <c r="AQ491" i="2" s="1"/>
  <c r="AP483" i="2"/>
  <c r="AP472" i="2"/>
  <c r="AP457" i="2"/>
  <c r="AP445" i="2"/>
  <c r="AP444" i="2"/>
  <c r="AO431" i="2"/>
  <c r="AP402" i="2"/>
  <c r="AP399" i="2"/>
  <c r="AP393" i="2"/>
  <c r="AP419" i="2"/>
  <c r="AP416" i="2"/>
  <c r="AP396" i="2"/>
  <c r="AP389" i="2"/>
  <c r="AP387" i="2"/>
  <c r="AP379" i="2"/>
  <c r="AO354" i="2"/>
  <c r="AP352" i="2"/>
  <c r="AP327" i="2"/>
  <c r="AP324" i="2"/>
  <c r="AP318" i="2"/>
  <c r="AP343" i="2"/>
  <c r="AP340" i="2"/>
  <c r="AP321" i="2"/>
  <c r="AP309" i="2"/>
  <c r="AP306" i="2"/>
  <c r="AP294" i="2"/>
  <c r="AP291" i="2"/>
  <c r="AP288" i="2"/>
  <c r="AP285" i="2"/>
  <c r="AP282" i="2"/>
  <c r="AP279" i="2"/>
  <c r="AP250" i="2"/>
  <c r="AP228" i="2"/>
  <c r="AO222" i="2"/>
  <c r="AP221" i="2"/>
  <c r="AP218" i="2"/>
  <c r="AP225" i="2"/>
  <c r="AP209" i="2"/>
  <c r="AP203" i="2"/>
  <c r="AP197" i="2"/>
  <c r="AP200" i="2"/>
  <c r="AO109" i="2"/>
  <c r="AO105" i="2"/>
  <c r="AO107" i="2"/>
  <c r="AP75" i="2"/>
  <c r="AO73" i="2"/>
  <c r="AQ74" i="2" s="1"/>
  <c r="AP72" i="2"/>
  <c r="AP69" i="2"/>
  <c r="AP66" i="2"/>
  <c r="AP63" i="2"/>
  <c r="AP60" i="2"/>
  <c r="AP57" i="2"/>
  <c r="AP87" i="2"/>
  <c r="AP28" i="2"/>
  <c r="AP25" i="2"/>
  <c r="AO23" i="2"/>
  <c r="AP17" i="2"/>
  <c r="AP14" i="2"/>
  <c r="AO48" i="2"/>
  <c r="AP34" i="2"/>
  <c r="AP22" i="2"/>
  <c r="AP11" i="2"/>
  <c r="AN74" i="2"/>
  <c r="AN122" i="3"/>
  <c r="AN121" i="3"/>
  <c r="AN117" i="3"/>
  <c r="AN116" i="3"/>
  <c r="AN86" i="3"/>
  <c r="AN85" i="3"/>
  <c r="AN71" i="3"/>
  <c r="AN70" i="3"/>
  <c r="AN55" i="3"/>
  <c r="AN54" i="3"/>
  <c r="AN52" i="3"/>
  <c r="AN51" i="3"/>
  <c r="AN40" i="3"/>
  <c r="AN36" i="3"/>
  <c r="AN35" i="3"/>
  <c r="AN29" i="3"/>
  <c r="AN26" i="3"/>
  <c r="AN25" i="3"/>
  <c r="AN21" i="3"/>
  <c r="AN20" i="3"/>
  <c r="AN17" i="3"/>
  <c r="AN16" i="3"/>
  <c r="AN13" i="3"/>
  <c r="AN12" i="3"/>
  <c r="AN519" i="2"/>
  <c r="AN518" i="2"/>
  <c r="AN505" i="2"/>
  <c r="AN504" i="2"/>
  <c r="AN502" i="2"/>
  <c r="AN501" i="2"/>
  <c r="AN460" i="2"/>
  <c r="AN459" i="2"/>
  <c r="AN478" i="2"/>
  <c r="AN477" i="2"/>
  <c r="AN475" i="2"/>
  <c r="AN474" i="2"/>
  <c r="AN469" i="2"/>
  <c r="AN468" i="2"/>
  <c r="AN483" i="2"/>
  <c r="AN482" i="2"/>
  <c r="AN472" i="2"/>
  <c r="AN471" i="2"/>
  <c r="AN457" i="2"/>
  <c r="AN456" i="2"/>
  <c r="AN445" i="2"/>
  <c r="AN444" i="2"/>
  <c r="AN432" i="2"/>
  <c r="AN431" i="2"/>
  <c r="AN399" i="2"/>
  <c r="AN398" i="2"/>
  <c r="AN393" i="2"/>
  <c r="AN392" i="2"/>
  <c r="AN419" i="2"/>
  <c r="AN418" i="2"/>
  <c r="AN416" i="2"/>
  <c r="AN415" i="2"/>
  <c r="AN396" i="2"/>
  <c r="AN395" i="2"/>
  <c r="AN379" i="2"/>
  <c r="AN378" i="2"/>
  <c r="AN355" i="2"/>
  <c r="AN354" i="2"/>
  <c r="AN352" i="2"/>
  <c r="AN351" i="2"/>
  <c r="AN327" i="2"/>
  <c r="AN326" i="2"/>
  <c r="AN324" i="2"/>
  <c r="AN323" i="2"/>
  <c r="AN318" i="2"/>
  <c r="AN317" i="2"/>
  <c r="AN343" i="2"/>
  <c r="AN342" i="2"/>
  <c r="AN340" i="2"/>
  <c r="AN339" i="2"/>
  <c r="AN321" i="2"/>
  <c r="AN320" i="2"/>
  <c r="AN309" i="2"/>
  <c r="AN308" i="2"/>
  <c r="AN306" i="2"/>
  <c r="AN305" i="2"/>
  <c r="AN294" i="2"/>
  <c r="AN293" i="2"/>
  <c r="AN291" i="2"/>
  <c r="AN290" i="2"/>
  <c r="AN288" i="2"/>
  <c r="AN287" i="2"/>
  <c r="AN285" i="2"/>
  <c r="AN284" i="2"/>
  <c r="AN282" i="2"/>
  <c r="AN281" i="2"/>
  <c r="AN279" i="2"/>
  <c r="AN278" i="2"/>
  <c r="AN253" i="2"/>
  <c r="AN252" i="2"/>
  <c r="AN250" i="2"/>
  <c r="AN249" i="2"/>
  <c r="AN228" i="2"/>
  <c r="AN227" i="2"/>
  <c r="AN221" i="2"/>
  <c r="AN220" i="2"/>
  <c r="AN218" i="2"/>
  <c r="AN217" i="2"/>
  <c r="AN225" i="2"/>
  <c r="AN224" i="2"/>
  <c r="AN209" i="2"/>
  <c r="AN208" i="2"/>
  <c r="AN203" i="2"/>
  <c r="AN202" i="2"/>
  <c r="AN197" i="2"/>
  <c r="AN196" i="2"/>
  <c r="AN200" i="2"/>
  <c r="AN199" i="2"/>
  <c r="AN72" i="2"/>
  <c r="AN71" i="2"/>
  <c r="AN69" i="2"/>
  <c r="AN68" i="2"/>
  <c r="AN66" i="2"/>
  <c r="AN65" i="2"/>
  <c r="AN63" i="2"/>
  <c r="AN62" i="2"/>
  <c r="AN60" i="2"/>
  <c r="AN59" i="2"/>
  <c r="AN57" i="2"/>
  <c r="AN56" i="2"/>
  <c r="AN90" i="2"/>
  <c r="AN89" i="2"/>
  <c r="AN87" i="2"/>
  <c r="AN86" i="2"/>
  <c r="AN25" i="2"/>
  <c r="AN24" i="2"/>
  <c r="AN17" i="2"/>
  <c r="AN16" i="2"/>
  <c r="AN14" i="2"/>
  <c r="AN13" i="2"/>
  <c r="AN34" i="2"/>
  <c r="AN33" i="2"/>
  <c r="AN22" i="2"/>
  <c r="AN21" i="2"/>
  <c r="AN11" i="2"/>
  <c r="AN10" i="2"/>
  <c r="AK232" i="2"/>
  <c r="AM117" i="3"/>
  <c r="AM116" i="3"/>
  <c r="AN401" i="2"/>
  <c r="AM40" i="3"/>
  <c r="AM122" i="3"/>
  <c r="AM121" i="3"/>
  <c r="AM86" i="3"/>
  <c r="AM85" i="3"/>
  <c r="AM71" i="3"/>
  <c r="AM70" i="3"/>
  <c r="AM55" i="3"/>
  <c r="AM54" i="3"/>
  <c r="AM52" i="3"/>
  <c r="AM51" i="3"/>
  <c r="AM36" i="3"/>
  <c r="AM29" i="3"/>
  <c r="AM26" i="3"/>
  <c r="AM25" i="3"/>
  <c r="AM21" i="3"/>
  <c r="AM20" i="3"/>
  <c r="AM17" i="3"/>
  <c r="AM16" i="3"/>
  <c r="AM13" i="3"/>
  <c r="AM12" i="3"/>
  <c r="AM278" i="2"/>
  <c r="AM519" i="2"/>
  <c r="AM518" i="2"/>
  <c r="AM505" i="2"/>
  <c r="AM504" i="2"/>
  <c r="AM502" i="2"/>
  <c r="AM501" i="2"/>
  <c r="AM460" i="2"/>
  <c r="AM459" i="2"/>
  <c r="AM478" i="2"/>
  <c r="AM477" i="2"/>
  <c r="AM475" i="2"/>
  <c r="AM474" i="2"/>
  <c r="AM469" i="2"/>
  <c r="AM468" i="2"/>
  <c r="AM483" i="2"/>
  <c r="AM482" i="2"/>
  <c r="AM472" i="2"/>
  <c r="AM471" i="2"/>
  <c r="AM457" i="2"/>
  <c r="AM456" i="2"/>
  <c r="AM445" i="2"/>
  <c r="AM444" i="2"/>
  <c r="AM432" i="2"/>
  <c r="AM431" i="2"/>
  <c r="AM399" i="2"/>
  <c r="AM398" i="2"/>
  <c r="AM393" i="2"/>
  <c r="AM392" i="2"/>
  <c r="AM419" i="2"/>
  <c r="AM418" i="2"/>
  <c r="AM416" i="2"/>
  <c r="AM415" i="2"/>
  <c r="AM396" i="2"/>
  <c r="AM395" i="2"/>
  <c r="AM379" i="2"/>
  <c r="AM378" i="2"/>
  <c r="AM358" i="2"/>
  <c r="AM355" i="2"/>
  <c r="AM354" i="2"/>
  <c r="AM352" i="2"/>
  <c r="AM351" i="2"/>
  <c r="AM330" i="2"/>
  <c r="AM329" i="2"/>
  <c r="AM327" i="2"/>
  <c r="AM326" i="2"/>
  <c r="AM324" i="2"/>
  <c r="AM323" i="2"/>
  <c r="AM318" i="2"/>
  <c r="AM317" i="2"/>
  <c r="AM343" i="2"/>
  <c r="AM342" i="2"/>
  <c r="AM340" i="2"/>
  <c r="AM339" i="2"/>
  <c r="AM321" i="2"/>
  <c r="AM320" i="2"/>
  <c r="AM309" i="2"/>
  <c r="AM308" i="2"/>
  <c r="AM306" i="2"/>
  <c r="AM305" i="2"/>
  <c r="AM294" i="2"/>
  <c r="AM293" i="2"/>
  <c r="AM291" i="2"/>
  <c r="AM290" i="2"/>
  <c r="AM288" i="2"/>
  <c r="AM287" i="2"/>
  <c r="AM285" i="2"/>
  <c r="AM284" i="2"/>
  <c r="AM282" i="2"/>
  <c r="AM281" i="2"/>
  <c r="AM279" i="2"/>
  <c r="AM253" i="2"/>
  <c r="AM252" i="2"/>
  <c r="AM250" i="2"/>
  <c r="AM249" i="2"/>
  <c r="AM228" i="2"/>
  <c r="AM227" i="2"/>
  <c r="AM221" i="2"/>
  <c r="AM220" i="2"/>
  <c r="AM218" i="2"/>
  <c r="AM217" i="2"/>
  <c r="AM225" i="2"/>
  <c r="AM224" i="2"/>
  <c r="AM209" i="2"/>
  <c r="AM208" i="2"/>
  <c r="AM203" i="2"/>
  <c r="AM202" i="2"/>
  <c r="AM197" i="2"/>
  <c r="AM196" i="2"/>
  <c r="AM200" i="2"/>
  <c r="AM199" i="2"/>
  <c r="AM72" i="2"/>
  <c r="AM71" i="2"/>
  <c r="AM69" i="2"/>
  <c r="AM68" i="2"/>
  <c r="AM66" i="2"/>
  <c r="AM65" i="2"/>
  <c r="AM63" i="2"/>
  <c r="AM62" i="2"/>
  <c r="AM60" i="2"/>
  <c r="AM59" i="2"/>
  <c r="AM57" i="2"/>
  <c r="AM56" i="2"/>
  <c r="AM90" i="2"/>
  <c r="AM89" i="2"/>
  <c r="AM87" i="2"/>
  <c r="AM86" i="2"/>
  <c r="AM25" i="2"/>
  <c r="AM24" i="2"/>
  <c r="AM17" i="2"/>
  <c r="AM16" i="2"/>
  <c r="AM14" i="2"/>
  <c r="AM13" i="2"/>
  <c r="AM34" i="2"/>
  <c r="AM33" i="2"/>
  <c r="AM22" i="2"/>
  <c r="AM21" i="2"/>
  <c r="AM11" i="2"/>
  <c r="AM10" i="2"/>
  <c r="AL34" i="3"/>
  <c r="AM35" i="3" s="1"/>
  <c r="AM404" i="2"/>
  <c r="AL122" i="3"/>
  <c r="AL121" i="3"/>
  <c r="AL117" i="3"/>
  <c r="AL116" i="3"/>
  <c r="AL86" i="3"/>
  <c r="AL85" i="3"/>
  <c r="AL71" i="3"/>
  <c r="AL70" i="3"/>
  <c r="AL55" i="3"/>
  <c r="AL54" i="3"/>
  <c r="AL52" i="3"/>
  <c r="AL51" i="3"/>
  <c r="AL29" i="3"/>
  <c r="AL26" i="3"/>
  <c r="AL25" i="3"/>
  <c r="AL21" i="3"/>
  <c r="AL20" i="3"/>
  <c r="AL17" i="3"/>
  <c r="AL13" i="3"/>
  <c r="AL519" i="2"/>
  <c r="AL518" i="2"/>
  <c r="AL505" i="2"/>
  <c r="AL502" i="2"/>
  <c r="AL460" i="2"/>
  <c r="AL478" i="2"/>
  <c r="AL475" i="2"/>
  <c r="AL469" i="2"/>
  <c r="AL492" i="2"/>
  <c r="AL483" i="2"/>
  <c r="AL472" i="2"/>
  <c r="AL457" i="2"/>
  <c r="AL445" i="2"/>
  <c r="AL444" i="2"/>
  <c r="AL432" i="2"/>
  <c r="AL402" i="2"/>
  <c r="AL399" i="2"/>
  <c r="AL393" i="2"/>
  <c r="AL419" i="2"/>
  <c r="AL396" i="2"/>
  <c r="AL379" i="2"/>
  <c r="AL355" i="2"/>
  <c r="AL352" i="2"/>
  <c r="AL327" i="2"/>
  <c r="AL324" i="2"/>
  <c r="AL318" i="2"/>
  <c r="AL343" i="2"/>
  <c r="AL340" i="2"/>
  <c r="AL321" i="2"/>
  <c r="AL309" i="2"/>
  <c r="AL306" i="2"/>
  <c r="AL294" i="2"/>
  <c r="AL291" i="2"/>
  <c r="AL288" i="2"/>
  <c r="AL285" i="2"/>
  <c r="AL282" i="2"/>
  <c r="AL279" i="2"/>
  <c r="AL253" i="2"/>
  <c r="AL250" i="2"/>
  <c r="AL228" i="2"/>
  <c r="AL221" i="2"/>
  <c r="AL218" i="2"/>
  <c r="AL225" i="2"/>
  <c r="AL209" i="2"/>
  <c r="AL203" i="2"/>
  <c r="AL197" i="2"/>
  <c r="AL200" i="2"/>
  <c r="AL75" i="2"/>
  <c r="AL72" i="2"/>
  <c r="AL69" i="2"/>
  <c r="AL66" i="2"/>
  <c r="AL63" i="2"/>
  <c r="AL60" i="2"/>
  <c r="AL57" i="2"/>
  <c r="AL90" i="2"/>
  <c r="AL87" i="2"/>
  <c r="AL25" i="2"/>
  <c r="AL17" i="2"/>
  <c r="AL14" i="2"/>
  <c r="AL34" i="2"/>
  <c r="AL22" i="2"/>
  <c r="AL11" i="2"/>
  <c r="AK177" i="3"/>
  <c r="AK328" i="2"/>
  <c r="AK127" i="3"/>
  <c r="AK122" i="3"/>
  <c r="AJ122" i="3"/>
  <c r="AJ121" i="3"/>
  <c r="AK117" i="3"/>
  <c r="AJ117" i="3"/>
  <c r="AJ116" i="3"/>
  <c r="AK102" i="3"/>
  <c r="AK91" i="3"/>
  <c r="AK86" i="3"/>
  <c r="AJ86" i="3"/>
  <c r="AJ85" i="3"/>
  <c r="AK71" i="3"/>
  <c r="AJ71" i="3"/>
  <c r="AJ70" i="3"/>
  <c r="AK58" i="3"/>
  <c r="AK55" i="3"/>
  <c r="AJ55" i="3"/>
  <c r="AJ54" i="3"/>
  <c r="AK52" i="3"/>
  <c r="AJ52" i="3"/>
  <c r="AJ51" i="3"/>
  <c r="AK36" i="3"/>
  <c r="AJ36" i="3"/>
  <c r="AJ35" i="3"/>
  <c r="AJ29" i="3"/>
  <c r="AK26" i="3"/>
  <c r="AJ26" i="3"/>
  <c r="AJ25" i="3"/>
  <c r="AK21" i="3"/>
  <c r="AJ21" i="3"/>
  <c r="AJ20" i="3"/>
  <c r="AK17" i="3"/>
  <c r="AJ15" i="3"/>
  <c r="AL16" i="3" s="1"/>
  <c r="AK13" i="3"/>
  <c r="AJ11" i="3"/>
  <c r="AJ12" i="3" s="1"/>
  <c r="AJ430" i="2"/>
  <c r="AJ432" i="2" s="1"/>
  <c r="AJ353" i="2"/>
  <c r="AJ355" i="2" s="1"/>
  <c r="AJ251" i="2"/>
  <c r="AJ253" i="2" s="1"/>
  <c r="AJ88" i="2"/>
  <c r="AJ89" i="2" s="1"/>
  <c r="AJ48" i="2"/>
  <c r="AK519" i="2"/>
  <c r="AK505" i="2"/>
  <c r="AJ503" i="2"/>
  <c r="AJ500" i="2"/>
  <c r="AK460" i="2"/>
  <c r="AJ458" i="2"/>
  <c r="AL459" i="2" s="1"/>
  <c r="AK478" i="2"/>
  <c r="AJ476" i="2"/>
  <c r="AK475" i="2"/>
  <c r="AJ473" i="2"/>
  <c r="AJ474" i="2" s="1"/>
  <c r="AK469" i="2"/>
  <c r="AJ467" i="2"/>
  <c r="AK492" i="2"/>
  <c r="AJ490" i="2"/>
  <c r="AL491" i="2" s="1"/>
  <c r="AK457" i="2"/>
  <c r="AK399" i="2"/>
  <c r="AJ397" i="2"/>
  <c r="AL398" i="2" s="1"/>
  <c r="AK445" i="2"/>
  <c r="AJ417" i="2"/>
  <c r="AJ418" i="2" s="1"/>
  <c r="AK389" i="2"/>
  <c r="AK387" i="2"/>
  <c r="AK379" i="2"/>
  <c r="AK352" i="2"/>
  <c r="AJ350" i="2"/>
  <c r="AJ351" i="2" s="1"/>
  <c r="AK327" i="2"/>
  <c r="AJ325" i="2"/>
  <c r="AJ326" i="2" s="1"/>
  <c r="AK324" i="2"/>
  <c r="AJ322" i="2"/>
  <c r="AL323" i="2" s="1"/>
  <c r="AK318" i="2"/>
  <c r="AJ316" i="2"/>
  <c r="AJ317" i="2" s="1"/>
  <c r="AK343" i="2"/>
  <c r="AJ341" i="2"/>
  <c r="AK309" i="2"/>
  <c r="AJ307" i="2"/>
  <c r="AJ308" i="2" s="1"/>
  <c r="AK306" i="2"/>
  <c r="AJ304" i="2"/>
  <c r="AL305" i="2" s="1"/>
  <c r="AK294" i="2"/>
  <c r="AJ292" i="2"/>
  <c r="AK291" i="2"/>
  <c r="AJ289" i="2"/>
  <c r="AL290" i="2" s="1"/>
  <c r="AK288" i="2"/>
  <c r="AJ286" i="2"/>
  <c r="AL287" i="2" s="1"/>
  <c r="AK285" i="2"/>
  <c r="AJ283" i="2"/>
  <c r="AL284" i="2" s="1"/>
  <c r="AK282" i="2"/>
  <c r="AJ280" i="2"/>
  <c r="AK279" i="2"/>
  <c r="AJ277" i="2"/>
  <c r="AL278" i="2" s="1"/>
  <c r="AK274" i="2"/>
  <c r="AK250" i="2"/>
  <c r="AJ248" i="2"/>
  <c r="AK236" i="2"/>
  <c r="AK228" i="2"/>
  <c r="AJ226" i="2"/>
  <c r="AJ227" i="2" s="1"/>
  <c r="AJ222" i="2"/>
  <c r="AK221" i="2"/>
  <c r="AJ219" i="2"/>
  <c r="AL220" i="2" s="1"/>
  <c r="AK218" i="2"/>
  <c r="AJ216" i="2"/>
  <c r="AJ217" i="2" s="1"/>
  <c r="AK225" i="2"/>
  <c r="AJ223" i="2"/>
  <c r="AK209" i="2"/>
  <c r="AJ207" i="2"/>
  <c r="AL208" i="2" s="1"/>
  <c r="AK203" i="2"/>
  <c r="AJ201" i="2"/>
  <c r="AJ202" i="2" s="1"/>
  <c r="AK197" i="2"/>
  <c r="AJ195" i="2"/>
  <c r="AL196" i="2" s="1"/>
  <c r="AK200" i="2"/>
  <c r="AJ198" i="2"/>
  <c r="AK75" i="2"/>
  <c r="AJ73" i="2"/>
  <c r="AL74" i="2" s="1"/>
  <c r="AK72" i="2"/>
  <c r="AJ70" i="2"/>
  <c r="AL71" i="2" s="1"/>
  <c r="AK69" i="2"/>
  <c r="AJ67" i="2"/>
  <c r="AL68" i="2" s="1"/>
  <c r="AK66" i="2"/>
  <c r="AJ64" i="2"/>
  <c r="AK63" i="2"/>
  <c r="AJ61" i="2"/>
  <c r="AL62" i="2" s="1"/>
  <c r="AK60" i="2"/>
  <c r="AJ58" i="2"/>
  <c r="AL59" i="2" s="1"/>
  <c r="AK57" i="2"/>
  <c r="AJ55" i="2"/>
  <c r="AL56" i="2" s="1"/>
  <c r="AK87" i="2"/>
  <c r="AJ85" i="2"/>
  <c r="AL86" i="2" s="1"/>
  <c r="AK28" i="2"/>
  <c r="AJ26" i="2"/>
  <c r="AJ27" i="2" s="1"/>
  <c r="AK25" i="2"/>
  <c r="AJ23" i="2"/>
  <c r="AL24" i="2" s="1"/>
  <c r="AJ18" i="2"/>
  <c r="AK17" i="2"/>
  <c r="AJ15" i="2"/>
  <c r="AL16" i="2" s="1"/>
  <c r="AK14" i="2"/>
  <c r="AJ12" i="2"/>
  <c r="AL13" i="2" s="1"/>
  <c r="AK34" i="2"/>
  <c r="AJ32" i="2"/>
  <c r="AK22" i="2"/>
  <c r="AJ20" i="2"/>
  <c r="AK11" i="2"/>
  <c r="AJ9" i="2"/>
  <c r="AN429" i="2"/>
  <c r="AI122" i="3"/>
  <c r="AI121" i="3"/>
  <c r="AI117" i="3"/>
  <c r="AI116" i="3"/>
  <c r="AI86" i="3"/>
  <c r="AI85" i="3"/>
  <c r="AI71" i="3"/>
  <c r="AI70" i="3"/>
  <c r="AI55" i="3"/>
  <c r="AI54" i="3"/>
  <c r="AI52" i="3"/>
  <c r="AI51" i="3"/>
  <c r="AI36" i="3"/>
  <c r="AI35" i="3"/>
  <c r="AI29" i="3"/>
  <c r="AI26" i="3"/>
  <c r="AI25" i="3"/>
  <c r="AI21" i="3"/>
  <c r="AI20" i="3"/>
  <c r="AI17" i="3"/>
  <c r="AI16" i="3"/>
  <c r="AI13" i="3"/>
  <c r="AI12" i="3"/>
  <c r="AI354" i="2"/>
  <c r="AI519" i="2"/>
  <c r="AI518" i="2"/>
  <c r="AI505" i="2"/>
  <c r="AI504" i="2"/>
  <c r="AI502" i="2"/>
  <c r="AI501" i="2"/>
  <c r="AI493" i="2"/>
  <c r="AI520" i="2" s="1"/>
  <c r="AI460" i="2"/>
  <c r="AI459" i="2"/>
  <c r="AI477" i="2"/>
  <c r="AI475" i="2"/>
  <c r="AI474" i="2"/>
  <c r="AI468" i="2"/>
  <c r="AI492" i="2"/>
  <c r="AI491" i="2"/>
  <c r="AI483" i="2"/>
  <c r="AI482" i="2"/>
  <c r="AI471" i="2"/>
  <c r="AI457" i="2"/>
  <c r="AI456" i="2"/>
  <c r="AI445" i="2"/>
  <c r="AI444" i="2"/>
  <c r="AI432" i="2"/>
  <c r="AI431" i="2"/>
  <c r="AI399" i="2"/>
  <c r="AI398" i="2"/>
  <c r="AI393" i="2"/>
  <c r="AI392" i="2"/>
  <c r="AI419" i="2"/>
  <c r="AI418" i="2"/>
  <c r="AI416" i="2"/>
  <c r="AI415" i="2"/>
  <c r="AI396" i="2"/>
  <c r="AI395" i="2"/>
  <c r="AI379" i="2"/>
  <c r="AI378" i="2"/>
  <c r="AI355" i="2"/>
  <c r="AI352" i="2"/>
  <c r="AI351" i="2"/>
  <c r="AI330" i="2"/>
  <c r="AI329" i="2"/>
  <c r="AI327" i="2"/>
  <c r="AI326" i="2"/>
  <c r="AI324" i="2"/>
  <c r="AI323" i="2"/>
  <c r="AI318" i="2"/>
  <c r="AI317" i="2"/>
  <c r="AI343" i="2"/>
  <c r="AI342" i="2"/>
  <c r="AI339" i="2"/>
  <c r="AI320" i="2"/>
  <c r="AI309" i="2"/>
  <c r="AI308" i="2"/>
  <c r="AI306" i="2"/>
  <c r="AI305" i="2"/>
  <c r="AI294" i="2"/>
  <c r="AI293" i="2"/>
  <c r="AI291" i="2"/>
  <c r="AI290" i="2"/>
  <c r="AI279" i="2"/>
  <c r="AI278" i="2"/>
  <c r="AI288" i="2"/>
  <c r="AI287" i="2"/>
  <c r="AI285" i="2"/>
  <c r="AI284" i="2"/>
  <c r="AI282" i="2"/>
  <c r="AI281" i="2"/>
  <c r="AI274" i="2"/>
  <c r="AI253" i="2"/>
  <c r="AI252" i="2"/>
  <c r="AI250" i="2"/>
  <c r="AI249" i="2"/>
  <c r="AI236" i="2"/>
  <c r="AI268" i="2" s="1"/>
  <c r="AI228" i="2"/>
  <c r="AI227" i="2"/>
  <c r="AI221" i="2"/>
  <c r="AI220" i="2"/>
  <c r="AI218" i="2"/>
  <c r="AI217" i="2"/>
  <c r="AI225" i="2"/>
  <c r="AI224" i="2"/>
  <c r="AI209" i="2"/>
  <c r="AI208" i="2"/>
  <c r="AI203" i="2"/>
  <c r="AI202" i="2"/>
  <c r="AI197" i="2"/>
  <c r="AI196" i="2"/>
  <c r="AI200" i="2"/>
  <c r="AI199" i="2"/>
  <c r="AI75" i="2"/>
  <c r="AI74" i="2"/>
  <c r="AI72" i="2"/>
  <c r="AI71" i="2"/>
  <c r="AI69" i="2"/>
  <c r="AI68" i="2"/>
  <c r="AI66" i="2"/>
  <c r="AI65" i="2"/>
  <c r="AI63" i="2"/>
  <c r="AI62" i="2"/>
  <c r="AI60" i="2"/>
  <c r="AI59" i="2"/>
  <c r="AI57" i="2"/>
  <c r="AI56" i="2"/>
  <c r="AI90" i="2"/>
  <c r="AI89" i="2"/>
  <c r="AI87" i="2"/>
  <c r="AI86" i="2"/>
  <c r="AI28" i="2"/>
  <c r="AI27" i="2"/>
  <c r="AI25" i="2"/>
  <c r="AI24" i="2"/>
  <c r="AI17" i="2"/>
  <c r="AI16" i="2"/>
  <c r="AI14" i="2"/>
  <c r="AI13" i="2"/>
  <c r="AI34" i="2"/>
  <c r="AI33" i="2"/>
  <c r="AI22" i="2"/>
  <c r="AI21" i="2"/>
  <c r="AI11" i="2"/>
  <c r="AI10" i="2"/>
  <c r="AH493" i="2"/>
  <c r="AH520" i="2" s="1"/>
  <c r="AC493" i="2"/>
  <c r="AI233" i="2"/>
  <c r="AC400" i="2"/>
  <c r="AC401" i="2" s="1"/>
  <c r="AH359" i="2"/>
  <c r="AH344" i="2"/>
  <c r="AH347" i="2" s="1"/>
  <c r="AH122" i="3"/>
  <c r="AH121" i="3"/>
  <c r="AH117" i="3"/>
  <c r="AH116" i="3"/>
  <c r="AH86" i="3"/>
  <c r="AH85" i="3"/>
  <c r="AH71" i="3"/>
  <c r="AH70" i="3"/>
  <c r="AH55" i="3"/>
  <c r="AH54" i="3"/>
  <c r="AH52" i="3"/>
  <c r="AH51" i="3"/>
  <c r="AH36" i="3"/>
  <c r="AH35" i="3"/>
  <c r="AH29" i="3"/>
  <c r="AH26" i="3"/>
  <c r="AH25" i="3"/>
  <c r="AH21" i="3"/>
  <c r="AH20" i="3"/>
  <c r="AH17" i="3"/>
  <c r="AH16" i="3"/>
  <c r="AH13" i="3"/>
  <c r="AH12" i="3"/>
  <c r="AH224" i="2"/>
  <c r="AH519" i="2"/>
  <c r="AH518" i="2"/>
  <c r="AH505" i="2"/>
  <c r="AH504" i="2"/>
  <c r="AH502" i="2"/>
  <c r="AH501" i="2"/>
  <c r="AH460" i="2"/>
  <c r="AH459" i="2"/>
  <c r="AH477" i="2"/>
  <c r="AH475" i="2"/>
  <c r="AH474" i="2"/>
  <c r="AH468" i="2"/>
  <c r="AH492" i="2"/>
  <c r="AH491" i="2"/>
  <c r="AH483" i="2"/>
  <c r="AH482" i="2"/>
  <c r="AH457" i="2"/>
  <c r="AH456" i="2"/>
  <c r="AH445" i="2"/>
  <c r="AH432" i="2"/>
  <c r="AH431" i="2"/>
  <c r="AH399" i="2"/>
  <c r="AH398" i="2"/>
  <c r="AH393" i="2"/>
  <c r="AH392" i="2"/>
  <c r="AH419" i="2"/>
  <c r="AH418" i="2"/>
  <c r="AH379" i="2"/>
  <c r="AH378" i="2"/>
  <c r="AH355" i="2"/>
  <c r="AH354" i="2"/>
  <c r="AH352" i="2"/>
  <c r="AH351" i="2"/>
  <c r="AH327" i="2"/>
  <c r="AH326" i="2"/>
  <c r="AH324" i="2"/>
  <c r="AH323" i="2"/>
  <c r="AH318" i="2"/>
  <c r="AH317" i="2"/>
  <c r="AH343" i="2"/>
  <c r="AH342" i="2"/>
  <c r="AH309" i="2"/>
  <c r="AH308" i="2"/>
  <c r="AH306" i="2"/>
  <c r="AH305" i="2"/>
  <c r="AH294" i="2"/>
  <c r="AH293" i="2"/>
  <c r="AH291" i="2"/>
  <c r="AH290" i="2"/>
  <c r="AH279" i="2"/>
  <c r="AH278" i="2"/>
  <c r="AH288" i="2"/>
  <c r="AH287" i="2"/>
  <c r="AH285" i="2"/>
  <c r="AH284" i="2"/>
  <c r="AH282" i="2"/>
  <c r="AH281" i="2"/>
  <c r="AH274" i="2"/>
  <c r="AH253" i="2"/>
  <c r="AH252" i="2"/>
  <c r="AH250" i="2"/>
  <c r="AH249" i="2"/>
  <c r="AH236" i="2"/>
  <c r="AH228" i="2"/>
  <c r="AH227" i="2"/>
  <c r="AH221" i="2"/>
  <c r="AH220" i="2"/>
  <c r="AH218" i="2"/>
  <c r="AH217" i="2"/>
  <c r="AH225" i="2"/>
  <c r="AH209" i="2"/>
  <c r="AH208" i="2"/>
  <c r="AH203" i="2"/>
  <c r="AH202" i="2"/>
  <c r="AH197" i="2"/>
  <c r="AH196" i="2"/>
  <c r="AH200" i="2"/>
  <c r="AH199" i="2"/>
  <c r="AH75" i="2"/>
  <c r="AH74" i="2"/>
  <c r="AH72" i="2"/>
  <c r="AH71" i="2"/>
  <c r="AH69" i="2"/>
  <c r="AH68" i="2"/>
  <c r="AH66" i="2"/>
  <c r="AH65" i="2"/>
  <c r="AH63" i="2"/>
  <c r="AH62" i="2"/>
  <c r="AH60" i="2"/>
  <c r="AH59" i="2"/>
  <c r="AH57" i="2"/>
  <c r="AH56" i="2"/>
  <c r="AH90" i="2"/>
  <c r="AH89" i="2"/>
  <c r="AH87" i="2"/>
  <c r="AH86" i="2"/>
  <c r="AH28" i="2"/>
  <c r="AH27" i="2"/>
  <c r="AH25" i="2"/>
  <c r="AH24" i="2"/>
  <c r="AH17" i="2"/>
  <c r="AH16" i="2"/>
  <c r="AH14" i="2"/>
  <c r="AH13" i="2"/>
  <c r="AH34" i="2"/>
  <c r="AH33" i="2"/>
  <c r="AH22" i="2"/>
  <c r="AH21" i="2"/>
  <c r="AH11" i="2"/>
  <c r="AH10" i="2"/>
  <c r="AB493" i="2"/>
  <c r="AG328" i="2"/>
  <c r="AG258" i="2"/>
  <c r="AG262" i="2" s="1"/>
  <c r="AG57" i="2"/>
  <c r="AG202" i="3"/>
  <c r="AG205" i="3" s="1"/>
  <c r="AG122" i="3"/>
  <c r="AG121" i="3"/>
  <c r="AG117" i="3"/>
  <c r="AG116" i="3"/>
  <c r="AG86" i="3"/>
  <c r="AG85" i="3"/>
  <c r="AG71" i="3"/>
  <c r="AG70" i="3"/>
  <c r="AG55" i="3"/>
  <c r="AG54" i="3"/>
  <c r="AG52" i="3"/>
  <c r="AG51" i="3"/>
  <c r="AG36" i="3"/>
  <c r="AG35" i="3"/>
  <c r="AG29" i="3"/>
  <c r="AG26" i="3"/>
  <c r="AG25" i="3"/>
  <c r="AG21" i="3"/>
  <c r="AG20" i="3"/>
  <c r="AG17" i="3"/>
  <c r="AG13" i="3"/>
  <c r="AG324" i="2"/>
  <c r="AG14" i="2"/>
  <c r="AG519" i="2"/>
  <c r="AG518" i="2"/>
  <c r="AG505" i="2"/>
  <c r="AG502" i="2"/>
  <c r="AG493" i="2"/>
  <c r="AG520" i="2" s="1"/>
  <c r="AG460" i="2"/>
  <c r="AG475" i="2"/>
  <c r="AG492" i="2"/>
  <c r="AG483" i="2"/>
  <c r="AG457" i="2"/>
  <c r="AG445" i="2"/>
  <c r="AG444" i="2"/>
  <c r="AG432" i="2"/>
  <c r="AG431" i="2"/>
  <c r="AG402" i="2"/>
  <c r="AG399" i="2"/>
  <c r="AG393" i="2"/>
  <c r="AG419" i="2"/>
  <c r="AG416" i="2"/>
  <c r="AG396" i="2"/>
  <c r="AG379" i="2"/>
  <c r="AG355" i="2"/>
  <c r="AG354" i="2"/>
  <c r="AG352" i="2"/>
  <c r="AG327" i="2"/>
  <c r="AG318" i="2"/>
  <c r="AG343" i="2"/>
  <c r="AG309" i="2"/>
  <c r="AG306" i="2"/>
  <c r="AG294" i="2"/>
  <c r="AG291" i="2"/>
  <c r="AG279" i="2"/>
  <c r="AG288" i="2"/>
  <c r="AG285" i="2"/>
  <c r="AG282" i="2"/>
  <c r="AG274" i="2"/>
  <c r="AG253" i="2"/>
  <c r="AG252" i="2"/>
  <c r="AG250" i="2"/>
  <c r="AG236" i="2"/>
  <c r="AG228" i="2"/>
  <c r="AG221" i="2"/>
  <c r="AG218" i="2"/>
  <c r="AG225" i="2"/>
  <c r="AG209" i="2"/>
  <c r="AG203" i="2"/>
  <c r="AG197" i="2"/>
  <c r="AG200" i="2"/>
  <c r="AG75" i="2"/>
  <c r="AG72" i="2"/>
  <c r="AG69" i="2"/>
  <c r="AG66" i="2"/>
  <c r="AG63" i="2"/>
  <c r="AG60" i="2"/>
  <c r="AG90" i="2"/>
  <c r="AG89" i="2"/>
  <c r="AG87" i="2"/>
  <c r="AG28" i="2"/>
  <c r="AG25" i="2"/>
  <c r="AG17" i="2"/>
  <c r="AG34" i="2"/>
  <c r="AG22" i="2"/>
  <c r="AG11" i="2"/>
  <c r="AA400" i="2"/>
  <c r="AF400" i="2"/>
  <c r="AK402" i="2" s="1"/>
  <c r="AE11" i="3"/>
  <c r="AE12" i="3" s="1"/>
  <c r="AA493" i="2"/>
  <c r="AA520" i="2" s="1"/>
  <c r="AF430" i="2"/>
  <c r="AF432" i="2" s="1"/>
  <c r="AF353" i="2"/>
  <c r="AK355" i="2" s="1"/>
  <c r="AF251" i="2"/>
  <c r="AK253" i="2" s="1"/>
  <c r="AF88" i="2"/>
  <c r="AK90" i="2" s="1"/>
  <c r="AF505" i="2"/>
  <c r="AF502" i="2"/>
  <c r="AF460" i="2"/>
  <c r="AF478" i="2"/>
  <c r="AF475" i="2"/>
  <c r="AF469" i="2"/>
  <c r="AF492" i="2"/>
  <c r="AF457" i="2"/>
  <c r="AF472" i="2"/>
  <c r="AF417" i="2"/>
  <c r="AE417" i="2" s="1"/>
  <c r="AG418" i="2" s="1"/>
  <c r="AF427" i="2"/>
  <c r="V400" i="2"/>
  <c r="U400" i="2" s="1"/>
  <c r="AD400" i="2"/>
  <c r="AF391" i="2"/>
  <c r="AE391" i="2" s="1"/>
  <c r="AG392" i="2" s="1"/>
  <c r="AE253" i="2"/>
  <c r="AF26" i="3"/>
  <c r="AE26" i="3"/>
  <c r="AD26" i="3"/>
  <c r="AC26" i="3"/>
  <c r="AB26" i="3"/>
  <c r="AA26" i="3"/>
  <c r="Z26" i="3"/>
  <c r="Y26" i="3"/>
  <c r="X26" i="3"/>
  <c r="W26" i="3"/>
  <c r="V26" i="3"/>
  <c r="U26" i="3"/>
  <c r="T26" i="3"/>
  <c r="S26" i="3"/>
  <c r="R26" i="3"/>
  <c r="Q26" i="3"/>
  <c r="P26" i="3"/>
  <c r="O26" i="3"/>
  <c r="N26" i="3"/>
  <c r="M26" i="3"/>
  <c r="L26" i="3"/>
  <c r="K26" i="3"/>
  <c r="J26" i="3"/>
  <c r="I26" i="3"/>
  <c r="H26" i="3"/>
  <c r="AE25" i="3"/>
  <c r="AD25" i="3"/>
  <c r="AC25" i="3"/>
  <c r="AB25" i="3"/>
  <c r="Z25" i="3"/>
  <c r="Y25" i="3"/>
  <c r="X25" i="3"/>
  <c r="W25" i="3"/>
  <c r="U25" i="3"/>
  <c r="T25" i="3"/>
  <c r="S25" i="3"/>
  <c r="R25" i="3"/>
  <c r="P25" i="3"/>
  <c r="O25" i="3"/>
  <c r="N25" i="3"/>
  <c r="M25" i="3"/>
  <c r="K25" i="3"/>
  <c r="J25" i="3"/>
  <c r="I25" i="3"/>
  <c r="H25" i="3"/>
  <c r="F25" i="3"/>
  <c r="E25" i="3"/>
  <c r="D25" i="3"/>
  <c r="AE32" i="3"/>
  <c r="AF389" i="2"/>
  <c r="AF387" i="2"/>
  <c r="AA389" i="2"/>
  <c r="AA387" i="2"/>
  <c r="V314" i="2"/>
  <c r="V312" i="2"/>
  <c r="Q214" i="2"/>
  <c r="Q212" i="2"/>
  <c r="AF102" i="3"/>
  <c r="AA102" i="3"/>
  <c r="V102" i="3"/>
  <c r="Q102" i="3"/>
  <c r="L102" i="3"/>
  <c r="G102" i="3"/>
  <c r="AF91" i="3"/>
  <c r="L127" i="3"/>
  <c r="Q127" i="3"/>
  <c r="V127" i="3"/>
  <c r="AA127" i="3"/>
  <c r="AF127" i="3"/>
  <c r="AF122" i="3"/>
  <c r="AE122" i="3"/>
  <c r="AE121" i="3"/>
  <c r="AE117" i="3"/>
  <c r="AE116" i="3"/>
  <c r="AE86" i="3"/>
  <c r="AE85" i="3"/>
  <c r="AE71" i="3"/>
  <c r="AE70" i="3"/>
  <c r="AE55" i="3"/>
  <c r="AE54" i="3"/>
  <c r="AE52" i="3"/>
  <c r="AE51" i="3"/>
  <c r="AE36" i="3"/>
  <c r="AE35" i="3"/>
  <c r="AE29" i="3"/>
  <c r="AE21" i="3"/>
  <c r="AE20" i="3"/>
  <c r="AF117" i="3"/>
  <c r="AF86" i="3"/>
  <c r="AF71" i="3"/>
  <c r="AF58" i="3"/>
  <c r="AF55" i="3"/>
  <c r="AF52" i="3"/>
  <c r="AF36" i="3"/>
  <c r="AF21" i="3"/>
  <c r="AF17" i="3"/>
  <c r="AE15" i="3"/>
  <c r="AE16" i="3" s="1"/>
  <c r="AF13" i="3"/>
  <c r="AF519" i="2"/>
  <c r="AF515" i="2"/>
  <c r="AF274" i="2"/>
  <c r="AF276" i="2" s="1"/>
  <c r="AE503" i="2"/>
  <c r="AG501" i="2"/>
  <c r="AE458" i="2"/>
  <c r="AG459" i="2" s="1"/>
  <c r="AE473" i="2"/>
  <c r="AG474" i="2" s="1"/>
  <c r="AE490" i="2"/>
  <c r="AG491" i="2" s="1"/>
  <c r="AF399" i="2"/>
  <c r="AE397" i="2"/>
  <c r="AE398" i="2" s="1"/>
  <c r="AF379" i="2"/>
  <c r="AF363" i="2"/>
  <c r="AF358" i="2"/>
  <c r="AF352" i="2"/>
  <c r="AE350" i="2"/>
  <c r="AG351" i="2" s="1"/>
  <c r="AF330" i="2"/>
  <c r="AF327" i="2"/>
  <c r="AE325" i="2"/>
  <c r="AG326" i="2" s="1"/>
  <c r="AF324" i="2"/>
  <c r="AE322" i="2"/>
  <c r="AF318" i="2"/>
  <c r="AE316" i="2"/>
  <c r="AF343" i="2"/>
  <c r="AE341" i="2"/>
  <c r="AF309" i="2"/>
  <c r="AE307" i="2"/>
  <c r="AG308" i="2" s="1"/>
  <c r="AF306" i="2"/>
  <c r="AE304" i="2"/>
  <c r="AE305" i="2" s="1"/>
  <c r="AF297" i="2"/>
  <c r="AE295" i="2"/>
  <c r="AE296" i="2" s="1"/>
  <c r="AF294" i="2"/>
  <c r="AE292" i="2"/>
  <c r="AE293" i="2" s="1"/>
  <c r="AF291" i="2"/>
  <c r="AE289" i="2"/>
  <c r="AF279" i="2"/>
  <c r="AE277" i="2"/>
  <c r="AG278" i="2" s="1"/>
  <c r="AF288" i="2"/>
  <c r="AE286" i="2"/>
  <c r="AF285" i="2"/>
  <c r="AE283" i="2"/>
  <c r="AF282" i="2"/>
  <c r="AE280" i="2"/>
  <c r="AE281" i="2" s="1"/>
  <c r="AE252" i="2"/>
  <c r="AF250" i="2"/>
  <c r="AE248" i="2"/>
  <c r="AE249" i="2" s="1"/>
  <c r="AF236" i="2"/>
  <c r="AF228" i="2"/>
  <c r="AE226" i="2"/>
  <c r="AE222" i="2"/>
  <c r="AF221" i="2"/>
  <c r="AE219" i="2"/>
  <c r="AE220" i="2" s="1"/>
  <c r="AF218" i="2"/>
  <c r="AE216" i="2"/>
  <c r="AE217" i="2" s="1"/>
  <c r="AF225" i="2"/>
  <c r="AE223" i="2"/>
  <c r="AF209" i="2"/>
  <c r="AE207" i="2"/>
  <c r="AF203" i="2"/>
  <c r="AE201" i="2"/>
  <c r="AG202" i="2" s="1"/>
  <c r="AF197" i="2"/>
  <c r="AE195" i="2"/>
  <c r="AE196" i="2" s="1"/>
  <c r="AF200" i="2"/>
  <c r="AE198" i="2"/>
  <c r="AG199" i="2" s="1"/>
  <c r="AF75" i="2"/>
  <c r="AE73" i="2"/>
  <c r="AF72" i="2"/>
  <c r="AE70" i="2"/>
  <c r="AF69" i="2"/>
  <c r="AE67" i="2"/>
  <c r="AF66" i="2"/>
  <c r="AE64" i="2"/>
  <c r="AE65" i="2" s="1"/>
  <c r="AF63" i="2"/>
  <c r="AE61" i="2"/>
  <c r="AE62" i="2" s="1"/>
  <c r="AF60" i="2"/>
  <c r="AE58" i="2"/>
  <c r="AF57" i="2"/>
  <c r="AE55" i="2"/>
  <c r="AE90" i="2"/>
  <c r="AE89" i="2"/>
  <c r="AF87" i="2"/>
  <c r="AE85" i="2"/>
  <c r="AF28" i="2"/>
  <c r="AE26" i="2"/>
  <c r="AF25" i="2"/>
  <c r="AE23" i="2"/>
  <c r="AE18" i="2"/>
  <c r="AF17" i="2"/>
  <c r="AE15" i="2"/>
  <c r="AG16" i="2" s="1"/>
  <c r="AF14" i="2"/>
  <c r="AE12" i="2"/>
  <c r="AF34" i="2"/>
  <c r="AE32" i="2"/>
  <c r="AF22" i="2"/>
  <c r="AE20" i="2"/>
  <c r="AF11" i="2"/>
  <c r="AE9" i="2"/>
  <c r="AG10" i="2" s="1"/>
  <c r="Z12" i="3"/>
  <c r="D12" i="3"/>
  <c r="E12" i="3"/>
  <c r="F12" i="3"/>
  <c r="H12" i="3"/>
  <c r="I12" i="3"/>
  <c r="J12" i="3"/>
  <c r="K12" i="3"/>
  <c r="M12" i="3"/>
  <c r="N12" i="3"/>
  <c r="O12" i="3"/>
  <c r="P12" i="3"/>
  <c r="R12" i="3"/>
  <c r="S12" i="3"/>
  <c r="T12" i="3"/>
  <c r="U12" i="3"/>
  <c r="W12" i="3"/>
  <c r="X12" i="3"/>
  <c r="Y12" i="3"/>
  <c r="AC12" i="3"/>
  <c r="AD12" i="3"/>
  <c r="G13" i="3"/>
  <c r="H13" i="3"/>
  <c r="I13" i="3"/>
  <c r="J13" i="3"/>
  <c r="K13" i="3"/>
  <c r="L13" i="3"/>
  <c r="M13" i="3"/>
  <c r="N13" i="3"/>
  <c r="O13" i="3"/>
  <c r="P13" i="3"/>
  <c r="Q13" i="3"/>
  <c r="R13" i="3"/>
  <c r="S13" i="3"/>
  <c r="T13" i="3"/>
  <c r="U13" i="3"/>
  <c r="V13" i="3"/>
  <c r="W13" i="3"/>
  <c r="X13" i="3"/>
  <c r="Y13" i="3"/>
  <c r="AA13" i="3"/>
  <c r="AB13" i="3"/>
  <c r="AC13" i="3"/>
  <c r="AD13" i="3"/>
  <c r="F15" i="3"/>
  <c r="F16" i="3" s="1"/>
  <c r="K15" i="3"/>
  <c r="P15" i="3"/>
  <c r="P16" i="3" s="1"/>
  <c r="U15" i="3"/>
  <c r="W16" i="3" s="1"/>
  <c r="Z15" i="3"/>
  <c r="Z16" i="3" s="1"/>
  <c r="D16" i="3"/>
  <c r="E16" i="3"/>
  <c r="I16" i="3"/>
  <c r="J16" i="3"/>
  <c r="N16" i="3"/>
  <c r="O16" i="3"/>
  <c r="S16" i="3"/>
  <c r="T16" i="3"/>
  <c r="X16" i="3"/>
  <c r="Y16" i="3"/>
  <c r="AC16" i="3"/>
  <c r="AD16" i="3"/>
  <c r="G17" i="3"/>
  <c r="H17" i="3"/>
  <c r="I17" i="3"/>
  <c r="J17" i="3"/>
  <c r="L17" i="3"/>
  <c r="M17" i="3"/>
  <c r="N17" i="3"/>
  <c r="O17" i="3"/>
  <c r="Q17" i="3"/>
  <c r="R17" i="3"/>
  <c r="S17" i="3"/>
  <c r="T17" i="3"/>
  <c r="V17" i="3"/>
  <c r="W17" i="3"/>
  <c r="X17" i="3"/>
  <c r="Y17" i="3"/>
  <c r="AA17" i="3"/>
  <c r="AB17" i="3"/>
  <c r="AC17" i="3"/>
  <c r="AD17" i="3"/>
  <c r="D20" i="3"/>
  <c r="E20" i="3"/>
  <c r="F20" i="3"/>
  <c r="H20" i="3"/>
  <c r="I20" i="3"/>
  <c r="J20" i="3"/>
  <c r="K20" i="3"/>
  <c r="M20" i="3"/>
  <c r="N20" i="3"/>
  <c r="O20" i="3"/>
  <c r="P20" i="3"/>
  <c r="R20" i="3"/>
  <c r="S20" i="3"/>
  <c r="T20" i="3"/>
  <c r="U20" i="3"/>
  <c r="W20" i="3"/>
  <c r="X20" i="3"/>
  <c r="Y20" i="3"/>
  <c r="Z20" i="3"/>
  <c r="AB20" i="3"/>
  <c r="AC20" i="3"/>
  <c r="AD20" i="3"/>
  <c r="G21" i="3"/>
  <c r="H21" i="3"/>
  <c r="I21" i="3"/>
  <c r="J21" i="3"/>
  <c r="K21" i="3"/>
  <c r="L21" i="3"/>
  <c r="M21" i="3"/>
  <c r="N21" i="3"/>
  <c r="O21" i="3"/>
  <c r="P21" i="3"/>
  <c r="Q21" i="3"/>
  <c r="S21" i="3"/>
  <c r="T21" i="3"/>
  <c r="U21" i="3"/>
  <c r="V21" i="3"/>
  <c r="W21" i="3"/>
  <c r="X21" i="3"/>
  <c r="Y21" i="3"/>
  <c r="Z21" i="3"/>
  <c r="AA21" i="3"/>
  <c r="AB21" i="3"/>
  <c r="AC21" i="3"/>
  <c r="AD21" i="3"/>
  <c r="D29" i="3"/>
  <c r="E29" i="3"/>
  <c r="F29" i="3"/>
  <c r="H29" i="3"/>
  <c r="I29" i="3"/>
  <c r="J29" i="3"/>
  <c r="K29" i="3"/>
  <c r="M29" i="3"/>
  <c r="N29" i="3"/>
  <c r="O29" i="3"/>
  <c r="P29" i="3"/>
  <c r="R29" i="3"/>
  <c r="S29" i="3"/>
  <c r="T29" i="3"/>
  <c r="U29" i="3"/>
  <c r="W29" i="3"/>
  <c r="X29" i="3"/>
  <c r="Y29" i="3"/>
  <c r="Z29" i="3"/>
  <c r="AB29" i="3"/>
  <c r="AC29" i="3"/>
  <c r="AD29" i="3"/>
  <c r="D35" i="3"/>
  <c r="E35" i="3"/>
  <c r="F35" i="3"/>
  <c r="H35" i="3"/>
  <c r="I35" i="3"/>
  <c r="J35" i="3"/>
  <c r="K35" i="3"/>
  <c r="M35" i="3"/>
  <c r="N35" i="3"/>
  <c r="O35" i="3"/>
  <c r="P35" i="3"/>
  <c r="R35" i="3"/>
  <c r="S35" i="3"/>
  <c r="T35" i="3"/>
  <c r="U35" i="3"/>
  <c r="W35" i="3"/>
  <c r="X35" i="3"/>
  <c r="Y35" i="3"/>
  <c r="Z35" i="3"/>
  <c r="AB35" i="3"/>
  <c r="AC35" i="3"/>
  <c r="AD35" i="3"/>
  <c r="G36" i="3"/>
  <c r="H36" i="3"/>
  <c r="I36" i="3"/>
  <c r="J36" i="3"/>
  <c r="K36" i="3"/>
  <c r="L36" i="3"/>
  <c r="M36" i="3"/>
  <c r="N36" i="3"/>
  <c r="O36" i="3"/>
  <c r="P36" i="3"/>
  <c r="Q36" i="3"/>
  <c r="R36" i="3"/>
  <c r="S36" i="3"/>
  <c r="T36" i="3"/>
  <c r="U36" i="3"/>
  <c r="V36" i="3"/>
  <c r="W36" i="3"/>
  <c r="X36" i="3"/>
  <c r="Y36" i="3"/>
  <c r="Z36" i="3"/>
  <c r="AA36" i="3"/>
  <c r="AB36" i="3"/>
  <c r="AC36" i="3"/>
  <c r="AD36" i="3"/>
  <c r="D51" i="3"/>
  <c r="E51" i="3"/>
  <c r="F51" i="3"/>
  <c r="H51" i="3"/>
  <c r="I51" i="3"/>
  <c r="J51" i="3"/>
  <c r="K51" i="3"/>
  <c r="M51" i="3"/>
  <c r="N51" i="3"/>
  <c r="O51" i="3"/>
  <c r="P51" i="3"/>
  <c r="R51" i="3"/>
  <c r="S51" i="3"/>
  <c r="T51" i="3"/>
  <c r="U51" i="3"/>
  <c r="W51" i="3"/>
  <c r="X51" i="3"/>
  <c r="Y51" i="3"/>
  <c r="Z51" i="3"/>
  <c r="AB51" i="3"/>
  <c r="AC51" i="3"/>
  <c r="AD51" i="3"/>
  <c r="G52" i="3"/>
  <c r="H52" i="3"/>
  <c r="I52" i="3"/>
  <c r="J52" i="3"/>
  <c r="K52" i="3"/>
  <c r="L52" i="3"/>
  <c r="M52" i="3"/>
  <c r="N52" i="3"/>
  <c r="O52" i="3"/>
  <c r="P52" i="3"/>
  <c r="Q52" i="3"/>
  <c r="R52" i="3"/>
  <c r="S52" i="3"/>
  <c r="T52" i="3"/>
  <c r="U52" i="3"/>
  <c r="V52" i="3"/>
  <c r="W52" i="3"/>
  <c r="X52" i="3"/>
  <c r="Y52" i="3"/>
  <c r="Z52" i="3"/>
  <c r="AA52" i="3"/>
  <c r="AB52" i="3"/>
  <c r="AC52" i="3"/>
  <c r="AD52" i="3"/>
  <c r="D54" i="3"/>
  <c r="E54" i="3"/>
  <c r="F54" i="3"/>
  <c r="H54" i="3"/>
  <c r="I54" i="3"/>
  <c r="J54" i="3"/>
  <c r="K54" i="3"/>
  <c r="M54" i="3"/>
  <c r="N54" i="3"/>
  <c r="O54" i="3"/>
  <c r="P54" i="3"/>
  <c r="R54" i="3"/>
  <c r="S54" i="3"/>
  <c r="T54" i="3"/>
  <c r="U54" i="3"/>
  <c r="W54" i="3"/>
  <c r="X54" i="3"/>
  <c r="Y54" i="3"/>
  <c r="Z54" i="3"/>
  <c r="AB54" i="3"/>
  <c r="AC54" i="3"/>
  <c r="AD54" i="3"/>
  <c r="G55" i="3"/>
  <c r="H55" i="3"/>
  <c r="I55" i="3"/>
  <c r="J55" i="3"/>
  <c r="K55" i="3"/>
  <c r="L55" i="3"/>
  <c r="M55" i="3"/>
  <c r="N55" i="3"/>
  <c r="O55" i="3"/>
  <c r="P55" i="3"/>
  <c r="Q55" i="3"/>
  <c r="R55" i="3"/>
  <c r="S55" i="3"/>
  <c r="T55" i="3"/>
  <c r="U55" i="3"/>
  <c r="V55" i="3"/>
  <c r="W55" i="3"/>
  <c r="X55" i="3"/>
  <c r="Y55" i="3"/>
  <c r="Z55" i="3"/>
  <c r="AA55" i="3"/>
  <c r="AB55" i="3"/>
  <c r="AC55" i="3"/>
  <c r="AD55" i="3"/>
  <c r="G58" i="3"/>
  <c r="L58" i="3"/>
  <c r="Q58" i="3"/>
  <c r="V58" i="3"/>
  <c r="AA58" i="3"/>
  <c r="K69" i="3"/>
  <c r="M70" i="3" s="1"/>
  <c r="P69" i="3"/>
  <c r="R70" i="3" s="1"/>
  <c r="D70" i="3"/>
  <c r="E70" i="3"/>
  <c r="F70" i="3"/>
  <c r="H70" i="3"/>
  <c r="I70" i="3"/>
  <c r="J70" i="3"/>
  <c r="K70" i="3"/>
  <c r="N70" i="3"/>
  <c r="O70" i="3"/>
  <c r="S70" i="3"/>
  <c r="T70" i="3"/>
  <c r="U70" i="3"/>
  <c r="W70" i="3"/>
  <c r="X70" i="3"/>
  <c r="Y70" i="3"/>
  <c r="Z70" i="3"/>
  <c r="AB70" i="3"/>
  <c r="AC70" i="3"/>
  <c r="AD70" i="3"/>
  <c r="G71" i="3"/>
  <c r="H71" i="3"/>
  <c r="I71" i="3"/>
  <c r="J71" i="3"/>
  <c r="L71" i="3"/>
  <c r="M71" i="3"/>
  <c r="N71" i="3"/>
  <c r="O71" i="3"/>
  <c r="Q71" i="3"/>
  <c r="R71" i="3"/>
  <c r="S71" i="3"/>
  <c r="T71" i="3"/>
  <c r="V71" i="3"/>
  <c r="W71" i="3"/>
  <c r="X71" i="3"/>
  <c r="Y71" i="3"/>
  <c r="Z71" i="3"/>
  <c r="AA71" i="3"/>
  <c r="AB71" i="3"/>
  <c r="AC71" i="3"/>
  <c r="AD71" i="3"/>
  <c r="N85" i="3"/>
  <c r="O85" i="3"/>
  <c r="P85" i="3"/>
  <c r="R85" i="3"/>
  <c r="S85" i="3"/>
  <c r="T85" i="3"/>
  <c r="U85" i="3"/>
  <c r="W85" i="3"/>
  <c r="X85" i="3"/>
  <c r="Y85" i="3"/>
  <c r="Z85" i="3"/>
  <c r="AB85" i="3"/>
  <c r="AC85" i="3"/>
  <c r="AD85" i="3"/>
  <c r="R86" i="3"/>
  <c r="S86" i="3"/>
  <c r="T86" i="3"/>
  <c r="U86" i="3"/>
  <c r="V86" i="3"/>
  <c r="W86" i="3"/>
  <c r="X86" i="3"/>
  <c r="Y86" i="3"/>
  <c r="Z86" i="3"/>
  <c r="AA86" i="3"/>
  <c r="AB86" i="3"/>
  <c r="AC86" i="3"/>
  <c r="AD86" i="3"/>
  <c r="D116" i="3"/>
  <c r="E116" i="3"/>
  <c r="F116" i="3"/>
  <c r="H116" i="3"/>
  <c r="I116" i="3"/>
  <c r="J116" i="3"/>
  <c r="K116" i="3"/>
  <c r="M116" i="3"/>
  <c r="N116" i="3"/>
  <c r="O116" i="3"/>
  <c r="P116" i="3"/>
  <c r="R116" i="3"/>
  <c r="S116" i="3"/>
  <c r="T116" i="3"/>
  <c r="U116" i="3"/>
  <c r="W116" i="3"/>
  <c r="X116" i="3"/>
  <c r="Y116" i="3"/>
  <c r="Z116" i="3"/>
  <c r="AB116" i="3"/>
  <c r="AC116" i="3"/>
  <c r="AD116" i="3"/>
  <c r="G117" i="3"/>
  <c r="H117" i="3"/>
  <c r="I117" i="3"/>
  <c r="J117" i="3"/>
  <c r="K117" i="3"/>
  <c r="L117" i="3"/>
  <c r="M117" i="3"/>
  <c r="N117" i="3"/>
  <c r="O117" i="3"/>
  <c r="P117" i="3"/>
  <c r="Q117" i="3"/>
  <c r="R117" i="3"/>
  <c r="S117" i="3"/>
  <c r="T117" i="3"/>
  <c r="U117" i="3"/>
  <c r="V117" i="3"/>
  <c r="W117" i="3"/>
  <c r="X117" i="3"/>
  <c r="Y117" i="3"/>
  <c r="Z117" i="3"/>
  <c r="AA117" i="3"/>
  <c r="AB117" i="3"/>
  <c r="AC117" i="3"/>
  <c r="AD117" i="3"/>
  <c r="D121" i="3"/>
  <c r="E121" i="3"/>
  <c r="F121" i="3"/>
  <c r="H121" i="3"/>
  <c r="I121" i="3"/>
  <c r="J121" i="3"/>
  <c r="K121" i="3"/>
  <c r="M121" i="3"/>
  <c r="N121" i="3"/>
  <c r="O121" i="3"/>
  <c r="P121" i="3"/>
  <c r="R121" i="3"/>
  <c r="S121" i="3"/>
  <c r="T121" i="3"/>
  <c r="U121" i="3"/>
  <c r="W121" i="3"/>
  <c r="X121" i="3"/>
  <c r="Y121" i="3"/>
  <c r="Z121" i="3"/>
  <c r="AB121" i="3"/>
  <c r="AC121" i="3"/>
  <c r="AD121" i="3"/>
  <c r="G122" i="3"/>
  <c r="H122" i="3"/>
  <c r="I122" i="3"/>
  <c r="J122" i="3"/>
  <c r="K122" i="3"/>
  <c r="L122" i="3"/>
  <c r="M122" i="3"/>
  <c r="N122" i="3"/>
  <c r="O122" i="3"/>
  <c r="P122" i="3"/>
  <c r="Q122" i="3"/>
  <c r="R122" i="3"/>
  <c r="S122" i="3"/>
  <c r="T122" i="3"/>
  <c r="U122" i="3"/>
  <c r="V122" i="3"/>
  <c r="W122" i="3"/>
  <c r="X122" i="3"/>
  <c r="Y122" i="3"/>
  <c r="Z122" i="3"/>
  <c r="AB122" i="3"/>
  <c r="AC122" i="3"/>
  <c r="AD122" i="3"/>
  <c r="O230" i="3"/>
  <c r="T230" i="3"/>
  <c r="T233" i="3" s="1"/>
  <c r="K9" i="2"/>
  <c r="K10" i="2" s="1"/>
  <c r="P9" i="2"/>
  <c r="R10" i="2" s="1"/>
  <c r="U9" i="2"/>
  <c r="U10" i="2" s="1"/>
  <c r="Z9" i="2"/>
  <c r="Z10" i="2" s="1"/>
  <c r="D10" i="2"/>
  <c r="E10" i="2"/>
  <c r="F10" i="2"/>
  <c r="H10" i="2"/>
  <c r="I10" i="2"/>
  <c r="J10" i="2"/>
  <c r="N10" i="2"/>
  <c r="O10" i="2"/>
  <c r="S10" i="2"/>
  <c r="T10" i="2"/>
  <c r="X10" i="2"/>
  <c r="Y10" i="2"/>
  <c r="AC10" i="2"/>
  <c r="AD10" i="2"/>
  <c r="G11" i="2"/>
  <c r="H11" i="2"/>
  <c r="I11" i="2"/>
  <c r="J11" i="2"/>
  <c r="L11" i="2"/>
  <c r="M11" i="2"/>
  <c r="N11" i="2"/>
  <c r="O11" i="2"/>
  <c r="Q11" i="2"/>
  <c r="R11" i="2"/>
  <c r="S11" i="2"/>
  <c r="T11" i="2"/>
  <c r="V11" i="2"/>
  <c r="W11" i="2"/>
  <c r="X11" i="2"/>
  <c r="Y11" i="2"/>
  <c r="AA11" i="2"/>
  <c r="AB11" i="2"/>
  <c r="AC11" i="2"/>
  <c r="AD11" i="2"/>
  <c r="K20" i="2"/>
  <c r="P20" i="2"/>
  <c r="U20" i="2"/>
  <c r="Z20" i="2"/>
  <c r="D21" i="2"/>
  <c r="E21" i="2"/>
  <c r="F21" i="2"/>
  <c r="H21" i="2"/>
  <c r="I21" i="2"/>
  <c r="J21" i="2"/>
  <c r="N21" i="2"/>
  <c r="O21" i="2"/>
  <c r="S21" i="2"/>
  <c r="T21" i="2"/>
  <c r="X21" i="2"/>
  <c r="Y21" i="2"/>
  <c r="AC21" i="2"/>
  <c r="AD21" i="2"/>
  <c r="G22" i="2"/>
  <c r="H22" i="2"/>
  <c r="I22" i="2"/>
  <c r="J22" i="2"/>
  <c r="L22" i="2"/>
  <c r="M22" i="2"/>
  <c r="N22" i="2"/>
  <c r="O22" i="2"/>
  <c r="Q22" i="2"/>
  <c r="R22" i="2"/>
  <c r="S22" i="2"/>
  <c r="T22" i="2"/>
  <c r="V22" i="2"/>
  <c r="W22" i="2"/>
  <c r="X22" i="2"/>
  <c r="Y22" i="2"/>
  <c r="AA22" i="2"/>
  <c r="AB22" i="2"/>
  <c r="AC22" i="2"/>
  <c r="AD22" i="2"/>
  <c r="K32" i="2"/>
  <c r="K125" i="2" s="1"/>
  <c r="P32" i="2"/>
  <c r="U32" i="2"/>
  <c r="Z32" i="2"/>
  <c r="D33" i="2"/>
  <c r="E33" i="2"/>
  <c r="F33" i="2"/>
  <c r="H33" i="2"/>
  <c r="I33" i="2"/>
  <c r="J33" i="2"/>
  <c r="N33" i="2"/>
  <c r="O33" i="2"/>
  <c r="S33" i="2"/>
  <c r="T33" i="2"/>
  <c r="X33" i="2"/>
  <c r="Y33" i="2"/>
  <c r="AC33" i="2"/>
  <c r="AD33" i="2"/>
  <c r="G34" i="2"/>
  <c r="H34" i="2"/>
  <c r="I34" i="2"/>
  <c r="J34" i="2"/>
  <c r="L34" i="2"/>
  <c r="M34" i="2"/>
  <c r="N34" i="2"/>
  <c r="O34" i="2"/>
  <c r="Q34" i="2"/>
  <c r="R34" i="2"/>
  <c r="S34" i="2"/>
  <c r="T34" i="2"/>
  <c r="V34" i="2"/>
  <c r="W34" i="2"/>
  <c r="X34" i="2"/>
  <c r="Y34" i="2"/>
  <c r="AA34" i="2"/>
  <c r="AB34" i="2"/>
  <c r="AC34" i="2"/>
  <c r="AD34" i="2"/>
  <c r="F42" i="2"/>
  <c r="L42" i="2"/>
  <c r="K42" i="2" s="1"/>
  <c r="M42" i="2"/>
  <c r="U42" i="2"/>
  <c r="Z42" i="2"/>
  <c r="F48" i="2"/>
  <c r="L48" i="2"/>
  <c r="K48" i="2" s="1"/>
  <c r="M48" i="2"/>
  <c r="Z48" i="2"/>
  <c r="K12" i="2"/>
  <c r="K14" i="2" s="1"/>
  <c r="P12" i="2"/>
  <c r="U12" i="2"/>
  <c r="U13" i="2" s="1"/>
  <c r="Z12" i="2"/>
  <c r="D13" i="2"/>
  <c r="E13" i="2"/>
  <c r="F13" i="2"/>
  <c r="H13" i="2"/>
  <c r="I13" i="2"/>
  <c r="J13" i="2"/>
  <c r="N13" i="2"/>
  <c r="O13" i="2"/>
  <c r="S13" i="2"/>
  <c r="T13" i="2"/>
  <c r="X13" i="2"/>
  <c r="Y13" i="2"/>
  <c r="AC13" i="2"/>
  <c r="AD13" i="2"/>
  <c r="G14" i="2"/>
  <c r="H14" i="2"/>
  <c r="I14" i="2"/>
  <c r="J14" i="2"/>
  <c r="L14" i="2"/>
  <c r="M14" i="2"/>
  <c r="N14" i="2"/>
  <c r="O14" i="2"/>
  <c r="Q14" i="2"/>
  <c r="R14" i="2"/>
  <c r="S14" i="2"/>
  <c r="T14" i="2"/>
  <c r="V14" i="2"/>
  <c r="W14" i="2"/>
  <c r="X14" i="2"/>
  <c r="Y14" i="2"/>
  <c r="AA14" i="2"/>
  <c r="AB14" i="2"/>
  <c r="AC14" i="2"/>
  <c r="AD14" i="2"/>
  <c r="P15" i="2"/>
  <c r="U15" i="2"/>
  <c r="Z15" i="2"/>
  <c r="AB16" i="2" s="1"/>
  <c r="N16" i="2"/>
  <c r="O16" i="2"/>
  <c r="S16" i="2"/>
  <c r="T16" i="2"/>
  <c r="X16" i="2"/>
  <c r="Y16" i="2"/>
  <c r="AC16" i="2"/>
  <c r="AD16" i="2"/>
  <c r="G17" i="2"/>
  <c r="L17" i="2"/>
  <c r="Q17" i="2"/>
  <c r="R17" i="2"/>
  <c r="S17" i="2"/>
  <c r="T17" i="2"/>
  <c r="V17" i="2"/>
  <c r="W17" i="2"/>
  <c r="X17" i="2"/>
  <c r="Y17" i="2"/>
  <c r="AA17" i="2"/>
  <c r="AB17" i="2"/>
  <c r="AC17" i="2"/>
  <c r="AD17" i="2"/>
  <c r="P18" i="2"/>
  <c r="U18" i="2"/>
  <c r="Z18" i="2"/>
  <c r="P23" i="2"/>
  <c r="U23" i="2"/>
  <c r="U24" i="2" s="1"/>
  <c r="Z23" i="2"/>
  <c r="O24" i="2"/>
  <c r="S24" i="2"/>
  <c r="T24" i="2"/>
  <c r="Y24" i="2"/>
  <c r="AC24" i="2"/>
  <c r="AD24" i="2"/>
  <c r="G25" i="2"/>
  <c r="S25" i="2"/>
  <c r="T25" i="2"/>
  <c r="V25" i="2"/>
  <c r="X25" i="2"/>
  <c r="Y25" i="2"/>
  <c r="AA25" i="2"/>
  <c r="AB25" i="2"/>
  <c r="AC25" i="2"/>
  <c r="AD25" i="2"/>
  <c r="P26" i="2"/>
  <c r="U26" i="2"/>
  <c r="W27" i="2" s="1"/>
  <c r="Z26" i="2"/>
  <c r="N27" i="2"/>
  <c r="O27" i="2"/>
  <c r="S27" i="2"/>
  <c r="T27" i="2"/>
  <c r="X27" i="2"/>
  <c r="Y27" i="2"/>
  <c r="AC27" i="2"/>
  <c r="AD27" i="2"/>
  <c r="S28" i="2"/>
  <c r="T28" i="2"/>
  <c r="V28" i="2"/>
  <c r="W28" i="2"/>
  <c r="X28" i="2"/>
  <c r="Y28" i="2"/>
  <c r="AA28" i="2"/>
  <c r="AB28" i="2"/>
  <c r="AC28" i="2"/>
  <c r="AD28" i="2"/>
  <c r="C36" i="2"/>
  <c r="C126" i="2" s="1"/>
  <c r="D36" i="2"/>
  <c r="D126" i="2" s="1"/>
  <c r="E36" i="2"/>
  <c r="E126" i="2" s="1"/>
  <c r="H36" i="2"/>
  <c r="H126" i="2" s="1"/>
  <c r="I36" i="2"/>
  <c r="I126" i="2" s="1"/>
  <c r="J36" i="2"/>
  <c r="J126" i="2" s="1"/>
  <c r="B85" i="2"/>
  <c r="C85" i="2"/>
  <c r="D85" i="2"/>
  <c r="E85" i="2"/>
  <c r="J87" i="2" s="1"/>
  <c r="G85" i="2"/>
  <c r="H85" i="2"/>
  <c r="M87" i="2" s="1"/>
  <c r="I85" i="2"/>
  <c r="L85" i="2"/>
  <c r="Q87" i="2" s="1"/>
  <c r="P85" i="2"/>
  <c r="U85" i="2"/>
  <c r="U86" i="2" s="1"/>
  <c r="Z85" i="2"/>
  <c r="N86" i="2"/>
  <c r="O86" i="2"/>
  <c r="S86" i="2"/>
  <c r="T86" i="2"/>
  <c r="X86" i="2"/>
  <c r="Y86" i="2"/>
  <c r="AC86" i="2"/>
  <c r="AD86" i="2"/>
  <c r="O87" i="2"/>
  <c r="R87" i="2"/>
  <c r="S87" i="2"/>
  <c r="T87" i="2"/>
  <c r="V87" i="2"/>
  <c r="W87" i="2"/>
  <c r="X87" i="2"/>
  <c r="Y87" i="2"/>
  <c r="AA87" i="2"/>
  <c r="AB87" i="2"/>
  <c r="AC87" i="2"/>
  <c r="AD87" i="2"/>
  <c r="B88" i="2"/>
  <c r="C88" i="2"/>
  <c r="D88" i="2"/>
  <c r="E88" i="2"/>
  <c r="G88" i="2"/>
  <c r="H88" i="2"/>
  <c r="I88" i="2"/>
  <c r="J88" i="2"/>
  <c r="L88" i="2"/>
  <c r="Q90" i="2" s="1"/>
  <c r="U88" i="2"/>
  <c r="U90" i="2" s="1"/>
  <c r="AA88" i="2"/>
  <c r="AA90" i="2" s="1"/>
  <c r="N89" i="2"/>
  <c r="O89" i="2"/>
  <c r="P89" i="2"/>
  <c r="R89" i="2"/>
  <c r="S89" i="2"/>
  <c r="T89" i="2"/>
  <c r="X89" i="2"/>
  <c r="Y89" i="2"/>
  <c r="Z89" i="2"/>
  <c r="AB89" i="2"/>
  <c r="AC89" i="2"/>
  <c r="AD89" i="2"/>
  <c r="R90" i="2"/>
  <c r="S90" i="2"/>
  <c r="T90" i="2"/>
  <c r="V90" i="2"/>
  <c r="W90" i="2"/>
  <c r="X90" i="2"/>
  <c r="Y90" i="2"/>
  <c r="AB90" i="2"/>
  <c r="AC90" i="2"/>
  <c r="AD90" i="2"/>
  <c r="L54" i="2"/>
  <c r="P52" i="2"/>
  <c r="P53" i="2" s="1"/>
  <c r="R54" i="2"/>
  <c r="S54" i="2"/>
  <c r="T54" i="2"/>
  <c r="V54" i="2"/>
  <c r="AA54" i="2"/>
  <c r="AB54" i="2"/>
  <c r="N53" i="2"/>
  <c r="O53" i="2"/>
  <c r="G54" i="2"/>
  <c r="U55" i="2"/>
  <c r="U56" i="2" s="1"/>
  <c r="Z55" i="2"/>
  <c r="AB56" i="2" s="1"/>
  <c r="S56" i="2"/>
  <c r="T56" i="2"/>
  <c r="X56" i="2"/>
  <c r="Y56" i="2"/>
  <c r="AC56" i="2"/>
  <c r="AD56" i="2"/>
  <c r="Q57" i="2"/>
  <c r="V57" i="2"/>
  <c r="W57" i="2"/>
  <c r="X57" i="2"/>
  <c r="Y57" i="2"/>
  <c r="AA57" i="2"/>
  <c r="AB57" i="2"/>
  <c r="AC57" i="2"/>
  <c r="AD57" i="2"/>
  <c r="U58" i="2"/>
  <c r="U59" i="2" s="1"/>
  <c r="Z58" i="2"/>
  <c r="Z59" i="2" s="1"/>
  <c r="S59" i="2"/>
  <c r="T59" i="2"/>
  <c r="X59" i="2"/>
  <c r="Y59" i="2"/>
  <c r="AC59" i="2"/>
  <c r="AD59" i="2"/>
  <c r="Q60" i="2"/>
  <c r="V60" i="2"/>
  <c r="W60" i="2"/>
  <c r="X60" i="2"/>
  <c r="Y60" i="2"/>
  <c r="AA60" i="2"/>
  <c r="AB60" i="2"/>
  <c r="AC60" i="2"/>
  <c r="AD60" i="2"/>
  <c r="U61" i="2"/>
  <c r="Z61" i="2"/>
  <c r="AB62" i="2" s="1"/>
  <c r="S62" i="2"/>
  <c r="T62" i="2"/>
  <c r="X62" i="2"/>
  <c r="Y62" i="2"/>
  <c r="AC62" i="2"/>
  <c r="AD62" i="2"/>
  <c r="Q63" i="2"/>
  <c r="V63" i="2"/>
  <c r="W63" i="2"/>
  <c r="X63" i="2"/>
  <c r="Y63" i="2"/>
  <c r="AA63" i="2"/>
  <c r="AB63" i="2"/>
  <c r="AC63" i="2"/>
  <c r="AD63" i="2"/>
  <c r="U64" i="2"/>
  <c r="U65" i="2" s="1"/>
  <c r="Z64" i="2"/>
  <c r="S65" i="2"/>
  <c r="T65" i="2"/>
  <c r="X65" i="2"/>
  <c r="Y65" i="2"/>
  <c r="AC65" i="2"/>
  <c r="AD65" i="2"/>
  <c r="Q66" i="2"/>
  <c r="V66" i="2"/>
  <c r="W66" i="2"/>
  <c r="X66" i="2"/>
  <c r="Y66" i="2"/>
  <c r="AA66" i="2"/>
  <c r="AB66" i="2"/>
  <c r="AC66" i="2"/>
  <c r="AD66" i="2"/>
  <c r="U67" i="2"/>
  <c r="Z67" i="2"/>
  <c r="Z68" i="2" s="1"/>
  <c r="S68" i="2"/>
  <c r="T68" i="2"/>
  <c r="X68" i="2"/>
  <c r="Y68" i="2"/>
  <c r="AC68" i="2"/>
  <c r="AD68" i="2"/>
  <c r="Q69" i="2"/>
  <c r="V69" i="2"/>
  <c r="W69" i="2"/>
  <c r="X69" i="2"/>
  <c r="Y69" i="2"/>
  <c r="AA69" i="2"/>
  <c r="AB69" i="2"/>
  <c r="AC69" i="2"/>
  <c r="AD69" i="2"/>
  <c r="U70" i="2"/>
  <c r="Z70" i="2"/>
  <c r="Z71" i="2" s="1"/>
  <c r="S71" i="2"/>
  <c r="T71" i="2"/>
  <c r="X71" i="2"/>
  <c r="Y71" i="2"/>
  <c r="AC71" i="2"/>
  <c r="AD71" i="2"/>
  <c r="Q72" i="2"/>
  <c r="V72" i="2"/>
  <c r="W72" i="2"/>
  <c r="X72" i="2"/>
  <c r="Y72" i="2"/>
  <c r="AA72" i="2"/>
  <c r="AB72" i="2"/>
  <c r="AC72" i="2"/>
  <c r="AD72" i="2"/>
  <c r="U73" i="2"/>
  <c r="W74" i="2" s="1"/>
  <c r="Z73" i="2"/>
  <c r="AB74" i="2" s="1"/>
  <c r="S74" i="2"/>
  <c r="T74" i="2"/>
  <c r="X74" i="2"/>
  <c r="Y74" i="2"/>
  <c r="AC74" i="2"/>
  <c r="AD74" i="2"/>
  <c r="Q75" i="2"/>
  <c r="V75" i="2"/>
  <c r="W75" i="2"/>
  <c r="X75" i="2"/>
  <c r="Y75" i="2"/>
  <c r="AA75" i="2"/>
  <c r="AB75" i="2"/>
  <c r="AC75" i="2"/>
  <c r="AD75" i="2"/>
  <c r="D193" i="2"/>
  <c r="E193" i="2"/>
  <c r="K198" i="2"/>
  <c r="P198" i="2"/>
  <c r="R199" i="2" s="1"/>
  <c r="U198" i="2"/>
  <c r="W199" i="2" s="1"/>
  <c r="Z198" i="2"/>
  <c r="Z199" i="2" s="1"/>
  <c r="I199" i="2"/>
  <c r="J199" i="2"/>
  <c r="N199" i="2"/>
  <c r="O199" i="2"/>
  <c r="S199" i="2"/>
  <c r="T199" i="2"/>
  <c r="X199" i="2"/>
  <c r="Y199" i="2"/>
  <c r="AC199" i="2"/>
  <c r="AD199" i="2"/>
  <c r="L200" i="2"/>
  <c r="M200" i="2"/>
  <c r="N200" i="2"/>
  <c r="O200" i="2"/>
  <c r="Q200" i="2"/>
  <c r="R200" i="2"/>
  <c r="S200" i="2"/>
  <c r="T200" i="2"/>
  <c r="V200" i="2"/>
  <c r="W200" i="2"/>
  <c r="X200" i="2"/>
  <c r="Y200" i="2"/>
  <c r="AA200" i="2"/>
  <c r="AB200" i="2"/>
  <c r="AC200" i="2"/>
  <c r="AD200" i="2"/>
  <c r="K195" i="2"/>
  <c r="K196" i="2" s="1"/>
  <c r="P195" i="2"/>
  <c r="U195" i="2"/>
  <c r="W196" i="2" s="1"/>
  <c r="Z195" i="2"/>
  <c r="AB196" i="2" s="1"/>
  <c r="I196" i="2"/>
  <c r="J196" i="2"/>
  <c r="N196" i="2"/>
  <c r="O196" i="2"/>
  <c r="S196" i="2"/>
  <c r="T196" i="2"/>
  <c r="X196" i="2"/>
  <c r="Y196" i="2"/>
  <c r="AC196" i="2"/>
  <c r="AD196" i="2"/>
  <c r="L197" i="2"/>
  <c r="M197" i="2"/>
  <c r="N197" i="2"/>
  <c r="O197" i="2"/>
  <c r="Q197" i="2"/>
  <c r="R197" i="2"/>
  <c r="S197" i="2"/>
  <c r="T197" i="2"/>
  <c r="V197" i="2"/>
  <c r="W197" i="2"/>
  <c r="X197" i="2"/>
  <c r="Y197" i="2"/>
  <c r="AA197" i="2"/>
  <c r="AB197" i="2"/>
  <c r="AC197" i="2"/>
  <c r="AD197" i="2"/>
  <c r="K201" i="2"/>
  <c r="P201" i="2"/>
  <c r="R202" i="2" s="1"/>
  <c r="U201" i="2"/>
  <c r="U202" i="2" s="1"/>
  <c r="Z201" i="2"/>
  <c r="Z202" i="2" s="1"/>
  <c r="I202" i="2"/>
  <c r="J202" i="2"/>
  <c r="N202" i="2"/>
  <c r="O202" i="2"/>
  <c r="S202" i="2"/>
  <c r="T202" i="2"/>
  <c r="X202" i="2"/>
  <c r="Y202" i="2"/>
  <c r="AC202" i="2"/>
  <c r="AD202" i="2"/>
  <c r="L203" i="2"/>
  <c r="M203" i="2"/>
  <c r="N203" i="2"/>
  <c r="O203" i="2"/>
  <c r="Q203" i="2"/>
  <c r="R203" i="2"/>
  <c r="S203" i="2"/>
  <c r="T203" i="2"/>
  <c r="V203" i="2"/>
  <c r="W203" i="2"/>
  <c r="X203" i="2"/>
  <c r="Y203" i="2"/>
  <c r="AA203" i="2"/>
  <c r="AB203" i="2"/>
  <c r="AC203" i="2"/>
  <c r="AD203" i="2"/>
  <c r="K207" i="2"/>
  <c r="K208" i="2" s="1"/>
  <c r="P207" i="2"/>
  <c r="U207" i="2"/>
  <c r="Z207" i="2"/>
  <c r="I208" i="2"/>
  <c r="J208" i="2"/>
  <c r="N208" i="2"/>
  <c r="O208" i="2"/>
  <c r="S208" i="2"/>
  <c r="T208" i="2"/>
  <c r="X208" i="2"/>
  <c r="Y208" i="2"/>
  <c r="AC208" i="2"/>
  <c r="AD208" i="2"/>
  <c r="G209" i="2"/>
  <c r="L209" i="2"/>
  <c r="M209" i="2"/>
  <c r="N209" i="2"/>
  <c r="O209" i="2"/>
  <c r="Q209" i="2"/>
  <c r="R209" i="2"/>
  <c r="S209" i="2"/>
  <c r="T209" i="2"/>
  <c r="V209" i="2"/>
  <c r="W209" i="2"/>
  <c r="X209" i="2"/>
  <c r="Y209" i="2"/>
  <c r="AA209" i="2"/>
  <c r="AB209" i="2"/>
  <c r="AC209" i="2"/>
  <c r="AD209" i="2"/>
  <c r="F223" i="2"/>
  <c r="K223" i="2"/>
  <c r="P223" i="2"/>
  <c r="U223" i="2"/>
  <c r="Z223" i="2"/>
  <c r="D224" i="2"/>
  <c r="E224" i="2"/>
  <c r="I224" i="2"/>
  <c r="J224" i="2"/>
  <c r="N224" i="2"/>
  <c r="O224" i="2"/>
  <c r="S224" i="2"/>
  <c r="T224" i="2"/>
  <c r="X224" i="2"/>
  <c r="Y224" i="2"/>
  <c r="AC224" i="2"/>
  <c r="AD224" i="2"/>
  <c r="G225" i="2"/>
  <c r="H225" i="2"/>
  <c r="I225" i="2"/>
  <c r="J225" i="2"/>
  <c r="L225" i="2"/>
  <c r="M225" i="2"/>
  <c r="N225" i="2"/>
  <c r="O225" i="2"/>
  <c r="Q225" i="2"/>
  <c r="R225" i="2"/>
  <c r="S225" i="2"/>
  <c r="T225" i="2"/>
  <c r="V225" i="2"/>
  <c r="W225" i="2"/>
  <c r="X225" i="2"/>
  <c r="Y225" i="2"/>
  <c r="AA225" i="2"/>
  <c r="AB225" i="2"/>
  <c r="AC225" i="2"/>
  <c r="AD225" i="2"/>
  <c r="B232" i="2"/>
  <c r="C232" i="2"/>
  <c r="C267" i="2" s="1"/>
  <c r="D232" i="2"/>
  <c r="D267" i="2" s="1"/>
  <c r="E232" i="2"/>
  <c r="G232" i="2"/>
  <c r="H232" i="2"/>
  <c r="I232" i="2"/>
  <c r="L232" i="2"/>
  <c r="M232" i="2"/>
  <c r="N232" i="2"/>
  <c r="O232" i="2"/>
  <c r="Q232" i="2"/>
  <c r="Q267" i="2" s="1"/>
  <c r="R232" i="2"/>
  <c r="T232" i="2"/>
  <c r="W232" i="2"/>
  <c r="W267" i="2" s="1"/>
  <c r="X232" i="2"/>
  <c r="Y232" i="2"/>
  <c r="AA232" i="2"/>
  <c r="F216" i="2"/>
  <c r="K216" i="2"/>
  <c r="P216" i="2"/>
  <c r="U216" i="2"/>
  <c r="U217" i="2" s="1"/>
  <c r="Z216" i="2"/>
  <c r="D217" i="2"/>
  <c r="E217" i="2"/>
  <c r="I217" i="2"/>
  <c r="J217" i="2"/>
  <c r="N217" i="2"/>
  <c r="O217" i="2"/>
  <c r="S217" i="2"/>
  <c r="T217" i="2"/>
  <c r="X217" i="2"/>
  <c r="Y217" i="2"/>
  <c r="AC217" i="2"/>
  <c r="AD217" i="2"/>
  <c r="G218" i="2"/>
  <c r="H218" i="2"/>
  <c r="I218" i="2"/>
  <c r="J218" i="2"/>
  <c r="L218" i="2"/>
  <c r="M218" i="2"/>
  <c r="N218" i="2"/>
  <c r="O218" i="2"/>
  <c r="Q218" i="2"/>
  <c r="R218" i="2"/>
  <c r="S218" i="2"/>
  <c r="T218" i="2"/>
  <c r="V218" i="2"/>
  <c r="W218" i="2"/>
  <c r="X218" i="2"/>
  <c r="Y218" i="2"/>
  <c r="AA218" i="2"/>
  <c r="AB218" i="2"/>
  <c r="AC218" i="2"/>
  <c r="AD218" i="2"/>
  <c r="K219" i="2"/>
  <c r="K220" i="2" s="1"/>
  <c r="P219" i="2"/>
  <c r="U219" i="2"/>
  <c r="U220" i="2" s="1"/>
  <c r="Z219" i="2"/>
  <c r="I220" i="2"/>
  <c r="J220" i="2"/>
  <c r="N220" i="2"/>
  <c r="O220" i="2"/>
  <c r="S220" i="2"/>
  <c r="T220" i="2"/>
  <c r="X220" i="2"/>
  <c r="Y220" i="2"/>
  <c r="AC220" i="2"/>
  <c r="AD220" i="2"/>
  <c r="G221" i="2"/>
  <c r="L221" i="2"/>
  <c r="M221" i="2"/>
  <c r="N221" i="2"/>
  <c r="O221" i="2"/>
  <c r="Q221" i="2"/>
  <c r="R221" i="2"/>
  <c r="S221" i="2"/>
  <c r="T221" i="2"/>
  <c r="V221" i="2"/>
  <c r="W221" i="2"/>
  <c r="X221" i="2"/>
  <c r="Y221" i="2"/>
  <c r="AA221" i="2"/>
  <c r="AB221" i="2"/>
  <c r="AC221" i="2"/>
  <c r="AD221" i="2"/>
  <c r="K222" i="2"/>
  <c r="P222" i="2"/>
  <c r="U222" i="2"/>
  <c r="Z222" i="2"/>
  <c r="K226" i="2"/>
  <c r="P226" i="2"/>
  <c r="U226" i="2"/>
  <c r="U227" i="2" s="1"/>
  <c r="Z226" i="2"/>
  <c r="I227" i="2"/>
  <c r="O227" i="2"/>
  <c r="S227" i="2"/>
  <c r="T227" i="2"/>
  <c r="X227" i="2"/>
  <c r="Y227" i="2"/>
  <c r="AC227" i="2"/>
  <c r="AD227" i="2"/>
  <c r="G228" i="2"/>
  <c r="M228" i="2"/>
  <c r="N228" i="2"/>
  <c r="O228" i="2"/>
  <c r="S228" i="2"/>
  <c r="T228" i="2"/>
  <c r="V228" i="2"/>
  <c r="W228" i="2"/>
  <c r="X228" i="2"/>
  <c r="Y228" i="2"/>
  <c r="AA228" i="2"/>
  <c r="AB228" i="2"/>
  <c r="AC228" i="2"/>
  <c r="AD228" i="2"/>
  <c r="B236" i="2"/>
  <c r="C236" i="2"/>
  <c r="C268" i="2" s="1"/>
  <c r="D236" i="2"/>
  <c r="D268" i="2" s="1"/>
  <c r="E236" i="2"/>
  <c r="E268" i="2" s="1"/>
  <c r="G236" i="2"/>
  <c r="H236" i="2"/>
  <c r="I236" i="2"/>
  <c r="J236" i="2"/>
  <c r="L236" i="2"/>
  <c r="M236" i="2"/>
  <c r="N236" i="2"/>
  <c r="O236" i="2"/>
  <c r="Q236" i="2"/>
  <c r="Q268" i="2" s="1"/>
  <c r="R236" i="2"/>
  <c r="S236" i="2"/>
  <c r="T236" i="2"/>
  <c r="V236" i="2"/>
  <c r="W236" i="2"/>
  <c r="X236" i="2"/>
  <c r="Y236" i="2"/>
  <c r="AA236" i="2"/>
  <c r="AA268" i="2" s="1"/>
  <c r="AB236" i="2"/>
  <c r="AC236" i="2"/>
  <c r="AD236" i="2"/>
  <c r="K248" i="2"/>
  <c r="M249" i="2" s="1"/>
  <c r="P248" i="2"/>
  <c r="R248" i="2"/>
  <c r="Z248" i="2"/>
  <c r="I249" i="2"/>
  <c r="J249" i="2"/>
  <c r="N249" i="2"/>
  <c r="O249" i="2"/>
  <c r="T249" i="2"/>
  <c r="X249" i="2"/>
  <c r="Y249" i="2"/>
  <c r="AC249" i="2"/>
  <c r="AD249" i="2"/>
  <c r="G250" i="2"/>
  <c r="L250" i="2"/>
  <c r="M250" i="2"/>
  <c r="N250" i="2"/>
  <c r="O250" i="2"/>
  <c r="Q250" i="2"/>
  <c r="S250" i="2"/>
  <c r="T250" i="2"/>
  <c r="V250" i="2"/>
  <c r="X250" i="2"/>
  <c r="Y250" i="2"/>
  <c r="AA250" i="2"/>
  <c r="AB250" i="2"/>
  <c r="AC250" i="2"/>
  <c r="AD250" i="2"/>
  <c r="G251" i="2"/>
  <c r="G253" i="2" s="1"/>
  <c r="K251" i="2"/>
  <c r="M252" i="2" s="1"/>
  <c r="Q251" i="2"/>
  <c r="U251" i="2"/>
  <c r="AA251" i="2"/>
  <c r="AA253" i="2" s="1"/>
  <c r="D252" i="2"/>
  <c r="E252" i="2"/>
  <c r="I252" i="2"/>
  <c r="J252" i="2"/>
  <c r="N252" i="2"/>
  <c r="O252" i="2"/>
  <c r="P252" i="2"/>
  <c r="R252" i="2"/>
  <c r="S252" i="2"/>
  <c r="T252" i="2"/>
  <c r="X252" i="2"/>
  <c r="Y252" i="2"/>
  <c r="Z252" i="2"/>
  <c r="AB252" i="2"/>
  <c r="AC252" i="2"/>
  <c r="AD252" i="2"/>
  <c r="H253" i="2"/>
  <c r="I253" i="2"/>
  <c r="J253" i="2"/>
  <c r="M253" i="2"/>
  <c r="N253" i="2"/>
  <c r="O253" i="2"/>
  <c r="R253" i="2"/>
  <c r="S253" i="2"/>
  <c r="T253" i="2"/>
  <c r="W253" i="2"/>
  <c r="X253" i="2"/>
  <c r="Y253" i="2"/>
  <c r="AB253" i="2"/>
  <c r="AC253" i="2"/>
  <c r="AD253" i="2"/>
  <c r="D255" i="2"/>
  <c r="E255" i="2"/>
  <c r="J256" i="2"/>
  <c r="E258" i="2"/>
  <c r="E259" i="2" s="1"/>
  <c r="J258" i="2"/>
  <c r="S258" i="2"/>
  <c r="D259" i="2"/>
  <c r="U274" i="2"/>
  <c r="U275" i="2" s="1"/>
  <c r="Z274" i="2"/>
  <c r="Z275" i="2" s="1"/>
  <c r="AB274" i="2"/>
  <c r="AB276" i="2" s="1"/>
  <c r="AC274" i="2"/>
  <c r="AD274" i="2"/>
  <c r="S275" i="2"/>
  <c r="T275" i="2"/>
  <c r="X275" i="2"/>
  <c r="Y275" i="2"/>
  <c r="G276" i="2"/>
  <c r="L276" i="2"/>
  <c r="Q276" i="2"/>
  <c r="V276" i="2"/>
  <c r="W276" i="2"/>
  <c r="X276" i="2"/>
  <c r="Y276" i="2"/>
  <c r="AA276" i="2"/>
  <c r="U280" i="2"/>
  <c r="U281" i="2" s="1"/>
  <c r="Z280" i="2"/>
  <c r="S281" i="2"/>
  <c r="T281" i="2"/>
  <c r="X281" i="2"/>
  <c r="Y281" i="2"/>
  <c r="AC281" i="2"/>
  <c r="AD281" i="2"/>
  <c r="Q282" i="2"/>
  <c r="V282" i="2"/>
  <c r="W282" i="2"/>
  <c r="X282" i="2"/>
  <c r="Y282" i="2"/>
  <c r="AA282" i="2"/>
  <c r="AB282" i="2"/>
  <c r="AC282" i="2"/>
  <c r="AD282" i="2"/>
  <c r="U283" i="2"/>
  <c r="W284" i="2" s="1"/>
  <c r="Z283" i="2"/>
  <c r="S284" i="2"/>
  <c r="T284" i="2"/>
  <c r="X284" i="2"/>
  <c r="Y284" i="2"/>
  <c r="AC284" i="2"/>
  <c r="AD284" i="2"/>
  <c r="Q285" i="2"/>
  <c r="V285" i="2"/>
  <c r="W285" i="2"/>
  <c r="X285" i="2"/>
  <c r="Y285" i="2"/>
  <c r="AA285" i="2"/>
  <c r="AB285" i="2"/>
  <c r="AC285" i="2"/>
  <c r="AD285" i="2"/>
  <c r="U286" i="2"/>
  <c r="W287" i="2" s="1"/>
  <c r="Z286" i="2"/>
  <c r="Z287" i="2" s="1"/>
  <c r="S287" i="2"/>
  <c r="T287" i="2"/>
  <c r="X287" i="2"/>
  <c r="Y287" i="2"/>
  <c r="AC287" i="2"/>
  <c r="AD287" i="2"/>
  <c r="Q288" i="2"/>
  <c r="V288" i="2"/>
  <c r="W288" i="2"/>
  <c r="X288" i="2"/>
  <c r="Y288" i="2"/>
  <c r="AA288" i="2"/>
  <c r="AB288" i="2"/>
  <c r="AC288" i="2"/>
  <c r="AD288" i="2"/>
  <c r="U277" i="2"/>
  <c r="Z277" i="2"/>
  <c r="S278" i="2"/>
  <c r="T278" i="2"/>
  <c r="X278" i="2"/>
  <c r="Y278" i="2"/>
  <c r="AC278" i="2"/>
  <c r="AD278" i="2"/>
  <c r="Q279" i="2"/>
  <c r="V279" i="2"/>
  <c r="W279" i="2"/>
  <c r="X279" i="2"/>
  <c r="Y279" i="2"/>
  <c r="AA279" i="2"/>
  <c r="AB279" i="2"/>
  <c r="AC279" i="2"/>
  <c r="AD279" i="2"/>
  <c r="U289" i="2"/>
  <c r="Z289" i="2"/>
  <c r="S290" i="2"/>
  <c r="T290" i="2"/>
  <c r="X290" i="2"/>
  <c r="Y290" i="2"/>
  <c r="AC290" i="2"/>
  <c r="AD290" i="2"/>
  <c r="Q291" i="2"/>
  <c r="V291" i="2"/>
  <c r="W291" i="2"/>
  <c r="X291" i="2"/>
  <c r="Y291" i="2"/>
  <c r="AA291" i="2"/>
  <c r="AB291" i="2"/>
  <c r="AC291" i="2"/>
  <c r="AD291" i="2"/>
  <c r="U292" i="2"/>
  <c r="U293" i="2" s="1"/>
  <c r="Z292" i="2"/>
  <c r="S293" i="2"/>
  <c r="T293" i="2"/>
  <c r="X293" i="2"/>
  <c r="Y293" i="2"/>
  <c r="AC293" i="2"/>
  <c r="AD293" i="2"/>
  <c r="Q294" i="2"/>
  <c r="V294" i="2"/>
  <c r="W294" i="2"/>
  <c r="X294" i="2"/>
  <c r="Y294" i="2"/>
  <c r="AA294" i="2"/>
  <c r="AB294" i="2"/>
  <c r="AC294" i="2"/>
  <c r="AD294" i="2"/>
  <c r="U295" i="2"/>
  <c r="W296" i="2" s="1"/>
  <c r="Z295" i="2"/>
  <c r="AB296" i="2" s="1"/>
  <c r="S296" i="2"/>
  <c r="T296" i="2"/>
  <c r="X296" i="2"/>
  <c r="Y296" i="2"/>
  <c r="AC296" i="2"/>
  <c r="AD296" i="2"/>
  <c r="Q297" i="2"/>
  <c r="V297" i="2"/>
  <c r="W297" i="2"/>
  <c r="X297" i="2"/>
  <c r="Y297" i="2"/>
  <c r="AA297" i="2"/>
  <c r="AB297" i="2"/>
  <c r="AC297" i="2"/>
  <c r="AD297" i="2"/>
  <c r="D302" i="2"/>
  <c r="E302" i="2"/>
  <c r="X303" i="2"/>
  <c r="K304" i="2"/>
  <c r="P304" i="2"/>
  <c r="U304" i="2"/>
  <c r="U305" i="2" s="1"/>
  <c r="Z304" i="2"/>
  <c r="I305" i="2"/>
  <c r="J305" i="2"/>
  <c r="N305" i="2"/>
  <c r="O305" i="2"/>
  <c r="S305" i="2"/>
  <c r="T305" i="2"/>
  <c r="X305" i="2"/>
  <c r="Y305" i="2"/>
  <c r="AC305" i="2"/>
  <c r="AD305" i="2"/>
  <c r="G306" i="2"/>
  <c r="L306" i="2"/>
  <c r="M306" i="2"/>
  <c r="N306" i="2"/>
  <c r="O306" i="2"/>
  <c r="Q306" i="2"/>
  <c r="R306" i="2"/>
  <c r="S306" i="2"/>
  <c r="T306" i="2"/>
  <c r="V306" i="2"/>
  <c r="W306" i="2"/>
  <c r="X306" i="2"/>
  <c r="Y306" i="2"/>
  <c r="AA306" i="2"/>
  <c r="AB306" i="2"/>
  <c r="AC306" i="2"/>
  <c r="AD306" i="2"/>
  <c r="K307" i="2"/>
  <c r="P307" i="2"/>
  <c r="R308" i="2" s="1"/>
  <c r="U307" i="2"/>
  <c r="Z307" i="2"/>
  <c r="I308" i="2"/>
  <c r="J308" i="2"/>
  <c r="N308" i="2"/>
  <c r="O308" i="2"/>
  <c r="S308" i="2"/>
  <c r="T308" i="2"/>
  <c r="X308" i="2"/>
  <c r="Y308" i="2"/>
  <c r="AC308" i="2"/>
  <c r="AD308" i="2"/>
  <c r="G309" i="2"/>
  <c r="L309" i="2"/>
  <c r="M309" i="2"/>
  <c r="N309" i="2"/>
  <c r="O309" i="2"/>
  <c r="Q309" i="2"/>
  <c r="R309" i="2"/>
  <c r="S309" i="2"/>
  <c r="T309" i="2"/>
  <c r="V309" i="2"/>
  <c r="W309" i="2"/>
  <c r="X309" i="2"/>
  <c r="Y309" i="2"/>
  <c r="AA309" i="2"/>
  <c r="AB309" i="2"/>
  <c r="AC309" i="2"/>
  <c r="AD309" i="2"/>
  <c r="K319" i="2"/>
  <c r="P319" i="2"/>
  <c r="P320" i="2" s="1"/>
  <c r="U319" i="2"/>
  <c r="U320" i="2" s="1"/>
  <c r="Z319" i="2"/>
  <c r="I320" i="2"/>
  <c r="J320" i="2"/>
  <c r="N320" i="2"/>
  <c r="O320" i="2"/>
  <c r="S320" i="2"/>
  <c r="T320" i="2"/>
  <c r="X320" i="2"/>
  <c r="Y320" i="2"/>
  <c r="G321" i="2"/>
  <c r="L321" i="2"/>
  <c r="M321" i="2"/>
  <c r="N321" i="2"/>
  <c r="O321" i="2"/>
  <c r="Q321" i="2"/>
  <c r="R321" i="2"/>
  <c r="S321" i="2"/>
  <c r="T321" i="2"/>
  <c r="V321" i="2"/>
  <c r="W321" i="2"/>
  <c r="X321" i="2"/>
  <c r="Y321" i="2"/>
  <c r="AA321" i="2"/>
  <c r="F338" i="2"/>
  <c r="H339" i="2" s="1"/>
  <c r="K338" i="2"/>
  <c r="P338" i="2"/>
  <c r="R339" i="2" s="1"/>
  <c r="U338" i="2"/>
  <c r="W339" i="2" s="1"/>
  <c r="Z338" i="2"/>
  <c r="Z339" i="2" s="1"/>
  <c r="D339" i="2"/>
  <c r="E339" i="2"/>
  <c r="I339" i="2"/>
  <c r="J339" i="2"/>
  <c r="N339" i="2"/>
  <c r="O339" i="2"/>
  <c r="S339" i="2"/>
  <c r="T339" i="2"/>
  <c r="X339" i="2"/>
  <c r="Y339" i="2"/>
  <c r="G340" i="2"/>
  <c r="H340" i="2"/>
  <c r="I340" i="2"/>
  <c r="J340" i="2"/>
  <c r="L340" i="2"/>
  <c r="M340" i="2"/>
  <c r="N340" i="2"/>
  <c r="O340" i="2"/>
  <c r="Q340" i="2"/>
  <c r="R340" i="2"/>
  <c r="S340" i="2"/>
  <c r="T340" i="2"/>
  <c r="V340" i="2"/>
  <c r="W340" i="2"/>
  <c r="X340" i="2"/>
  <c r="Y340" i="2"/>
  <c r="AA340" i="2"/>
  <c r="F341" i="2"/>
  <c r="K341" i="2"/>
  <c r="P341" i="2"/>
  <c r="U341" i="2"/>
  <c r="Z341" i="2"/>
  <c r="D342" i="2"/>
  <c r="E342" i="2"/>
  <c r="I342" i="2"/>
  <c r="J342" i="2"/>
  <c r="N342" i="2"/>
  <c r="O342" i="2"/>
  <c r="S342" i="2"/>
  <c r="T342" i="2"/>
  <c r="X342" i="2"/>
  <c r="Y342" i="2"/>
  <c r="AC342" i="2"/>
  <c r="AD342" i="2"/>
  <c r="G343" i="2"/>
  <c r="H343" i="2"/>
  <c r="I343" i="2"/>
  <c r="J343" i="2"/>
  <c r="L343" i="2"/>
  <c r="M343" i="2"/>
  <c r="N343" i="2"/>
  <c r="O343" i="2"/>
  <c r="Q343" i="2"/>
  <c r="R343" i="2"/>
  <c r="S343" i="2"/>
  <c r="T343" i="2"/>
  <c r="V343" i="2"/>
  <c r="W343" i="2"/>
  <c r="X343" i="2"/>
  <c r="Y343" i="2"/>
  <c r="AA343" i="2"/>
  <c r="AB343" i="2"/>
  <c r="AC343" i="2"/>
  <c r="AD343" i="2"/>
  <c r="K316" i="2"/>
  <c r="M317" i="2" s="1"/>
  <c r="P316" i="2"/>
  <c r="U316" i="2"/>
  <c r="W317" i="2" s="1"/>
  <c r="Z316" i="2"/>
  <c r="Z317" i="2" s="1"/>
  <c r="I317" i="2"/>
  <c r="J317" i="2"/>
  <c r="N317" i="2"/>
  <c r="O317" i="2"/>
  <c r="S317" i="2"/>
  <c r="T317" i="2"/>
  <c r="X317" i="2"/>
  <c r="Y317" i="2"/>
  <c r="AC317" i="2"/>
  <c r="AD317" i="2"/>
  <c r="G318" i="2"/>
  <c r="L318" i="2"/>
  <c r="M318" i="2"/>
  <c r="N318" i="2"/>
  <c r="O318" i="2"/>
  <c r="Q318" i="2"/>
  <c r="R318" i="2"/>
  <c r="S318" i="2"/>
  <c r="T318" i="2"/>
  <c r="V318" i="2"/>
  <c r="W318" i="2"/>
  <c r="X318" i="2"/>
  <c r="Y318" i="2"/>
  <c r="AA318" i="2"/>
  <c r="AB318" i="2"/>
  <c r="AC318" i="2"/>
  <c r="AD318" i="2"/>
  <c r="K322" i="2"/>
  <c r="K323" i="2" s="1"/>
  <c r="P322" i="2"/>
  <c r="U322" i="2"/>
  <c r="U323" i="2" s="1"/>
  <c r="Z322" i="2"/>
  <c r="AB323" i="2" s="1"/>
  <c r="I323" i="2"/>
  <c r="J323" i="2"/>
  <c r="N323" i="2"/>
  <c r="O323" i="2"/>
  <c r="S323" i="2"/>
  <c r="T323" i="2"/>
  <c r="X323" i="2"/>
  <c r="Y323" i="2"/>
  <c r="AC323" i="2"/>
  <c r="AD323" i="2"/>
  <c r="G324" i="2"/>
  <c r="L324" i="2"/>
  <c r="M324" i="2"/>
  <c r="N324" i="2"/>
  <c r="O324" i="2"/>
  <c r="Q324" i="2"/>
  <c r="R324" i="2"/>
  <c r="S324" i="2"/>
  <c r="T324" i="2"/>
  <c r="V324" i="2"/>
  <c r="W324" i="2"/>
  <c r="X324" i="2"/>
  <c r="Y324" i="2"/>
  <c r="AA324" i="2"/>
  <c r="AB324" i="2"/>
  <c r="AC324" i="2"/>
  <c r="AD324" i="2"/>
  <c r="K325" i="2"/>
  <c r="M326" i="2" s="1"/>
  <c r="P325" i="2"/>
  <c r="U325" i="2"/>
  <c r="Z325" i="2"/>
  <c r="Z326" i="2" s="1"/>
  <c r="I326" i="2"/>
  <c r="J326" i="2"/>
  <c r="N326" i="2"/>
  <c r="O326" i="2"/>
  <c r="S326" i="2"/>
  <c r="T326" i="2"/>
  <c r="X326" i="2"/>
  <c r="Y326" i="2"/>
  <c r="AC326" i="2"/>
  <c r="AD326" i="2"/>
  <c r="G327" i="2"/>
  <c r="L327" i="2"/>
  <c r="M327" i="2"/>
  <c r="N327" i="2"/>
  <c r="O327" i="2"/>
  <c r="Q327" i="2"/>
  <c r="R327" i="2"/>
  <c r="S327" i="2"/>
  <c r="T327" i="2"/>
  <c r="V327" i="2"/>
  <c r="W327" i="2"/>
  <c r="X327" i="2"/>
  <c r="Y327" i="2"/>
  <c r="AA327" i="2"/>
  <c r="AB327" i="2"/>
  <c r="AC327" i="2"/>
  <c r="AD327" i="2"/>
  <c r="B328" i="2"/>
  <c r="G328" i="2"/>
  <c r="I328" i="2"/>
  <c r="L328" i="2"/>
  <c r="M328" i="2"/>
  <c r="N328" i="2"/>
  <c r="O328" i="2"/>
  <c r="Q328" i="2"/>
  <c r="V328" i="2"/>
  <c r="X328" i="2"/>
  <c r="AB328" i="2"/>
  <c r="AC328" i="2"/>
  <c r="D329" i="2"/>
  <c r="E329" i="2"/>
  <c r="S329" i="2"/>
  <c r="T329" i="2"/>
  <c r="H330" i="2"/>
  <c r="J330" i="2"/>
  <c r="W330" i="2"/>
  <c r="Y330" i="2"/>
  <c r="AD330" i="2"/>
  <c r="C344" i="2"/>
  <c r="C369" i="2" s="1"/>
  <c r="D344" i="2"/>
  <c r="E344" i="2"/>
  <c r="H344" i="2"/>
  <c r="J344" i="2"/>
  <c r="S344" i="2"/>
  <c r="T344" i="2"/>
  <c r="W344" i="2"/>
  <c r="W346" i="2" s="1"/>
  <c r="Y344" i="2"/>
  <c r="AA344" i="2"/>
  <c r="F350" i="2"/>
  <c r="K350" i="2"/>
  <c r="P350" i="2"/>
  <c r="U350" i="2"/>
  <c r="Z350" i="2"/>
  <c r="D351" i="2"/>
  <c r="E351" i="2"/>
  <c r="I351" i="2"/>
  <c r="J351" i="2"/>
  <c r="N351" i="2"/>
  <c r="O351" i="2"/>
  <c r="S351" i="2"/>
  <c r="T351" i="2"/>
  <c r="X351" i="2"/>
  <c r="Y351" i="2"/>
  <c r="AC351" i="2"/>
  <c r="AD351" i="2"/>
  <c r="G352" i="2"/>
  <c r="H352" i="2"/>
  <c r="I352" i="2"/>
  <c r="J352" i="2"/>
  <c r="L352" i="2"/>
  <c r="M352" i="2"/>
  <c r="N352" i="2"/>
  <c r="O352" i="2"/>
  <c r="Q352" i="2"/>
  <c r="R352" i="2"/>
  <c r="S352" i="2"/>
  <c r="T352" i="2"/>
  <c r="V352" i="2"/>
  <c r="W352" i="2"/>
  <c r="X352" i="2"/>
  <c r="Y352" i="2"/>
  <c r="AA352" i="2"/>
  <c r="AB352" i="2"/>
  <c r="AC352" i="2"/>
  <c r="AD352" i="2"/>
  <c r="B353" i="2"/>
  <c r="G353" i="2"/>
  <c r="F353" i="2" s="1"/>
  <c r="F354" i="2" s="1"/>
  <c r="K353" i="2"/>
  <c r="M354" i="2" s="1"/>
  <c r="Q353" i="2"/>
  <c r="V355" i="2" s="1"/>
  <c r="U353" i="2"/>
  <c r="AA353" i="2"/>
  <c r="AA355" i="2" s="1"/>
  <c r="D354" i="2"/>
  <c r="E354" i="2"/>
  <c r="I354" i="2"/>
  <c r="J354" i="2"/>
  <c r="N354" i="2"/>
  <c r="O354" i="2"/>
  <c r="P354" i="2"/>
  <c r="R354" i="2"/>
  <c r="S354" i="2"/>
  <c r="T354" i="2"/>
  <c r="X354" i="2"/>
  <c r="Y354" i="2"/>
  <c r="AC354" i="2"/>
  <c r="AD354" i="2"/>
  <c r="H355" i="2"/>
  <c r="I355" i="2"/>
  <c r="J355" i="2"/>
  <c r="M355" i="2"/>
  <c r="N355" i="2"/>
  <c r="O355" i="2"/>
  <c r="R355" i="2"/>
  <c r="S355" i="2"/>
  <c r="T355" i="2"/>
  <c r="W355" i="2"/>
  <c r="X355" i="2"/>
  <c r="Y355" i="2"/>
  <c r="AB355" i="2"/>
  <c r="AC355" i="2"/>
  <c r="AD355" i="2"/>
  <c r="S357" i="2"/>
  <c r="H358" i="2"/>
  <c r="J358" i="2"/>
  <c r="W358" i="2"/>
  <c r="AB358" i="2"/>
  <c r="AD358" i="2"/>
  <c r="C359" i="2"/>
  <c r="R359" i="2"/>
  <c r="W359" i="2"/>
  <c r="Y359" i="2"/>
  <c r="AA359" i="2"/>
  <c r="AB359" i="2"/>
  <c r="J361" i="2"/>
  <c r="E363" i="2"/>
  <c r="H363" i="2"/>
  <c r="J363" i="2"/>
  <c r="S363" i="2"/>
  <c r="C367" i="2"/>
  <c r="D367" i="2"/>
  <c r="E367" i="2"/>
  <c r="S367" i="2"/>
  <c r="V367" i="2"/>
  <c r="X367" i="2"/>
  <c r="C368" i="2"/>
  <c r="D368" i="2"/>
  <c r="E368" i="2"/>
  <c r="S368" i="2"/>
  <c r="V368" i="2"/>
  <c r="X368" i="2"/>
  <c r="D378" i="2"/>
  <c r="E378" i="2"/>
  <c r="I378" i="2"/>
  <c r="J378" i="2"/>
  <c r="N378" i="2"/>
  <c r="O378" i="2"/>
  <c r="S378" i="2"/>
  <c r="T378" i="2"/>
  <c r="X378" i="2"/>
  <c r="Y378" i="2"/>
  <c r="AC378" i="2"/>
  <c r="AD378" i="2"/>
  <c r="G379" i="2"/>
  <c r="H379" i="2"/>
  <c r="I379" i="2"/>
  <c r="J379" i="2"/>
  <c r="L379" i="2"/>
  <c r="M379" i="2"/>
  <c r="N379" i="2"/>
  <c r="O379" i="2"/>
  <c r="Q379" i="2"/>
  <c r="R379" i="2"/>
  <c r="S379" i="2"/>
  <c r="T379" i="2"/>
  <c r="V379" i="2"/>
  <c r="W379" i="2"/>
  <c r="X379" i="2"/>
  <c r="Y379" i="2"/>
  <c r="AA379" i="2"/>
  <c r="AB379" i="2"/>
  <c r="AC379" i="2"/>
  <c r="AD379" i="2"/>
  <c r="K394" i="2"/>
  <c r="P394" i="2"/>
  <c r="U394" i="2"/>
  <c r="U395" i="2" s="1"/>
  <c r="Z394" i="2"/>
  <c r="AB395" i="2" s="1"/>
  <c r="AE394" i="2"/>
  <c r="I395" i="2"/>
  <c r="J395" i="2"/>
  <c r="N395" i="2"/>
  <c r="O395" i="2"/>
  <c r="S395" i="2"/>
  <c r="T395" i="2"/>
  <c r="X395" i="2"/>
  <c r="Y395" i="2"/>
  <c r="AC395" i="2"/>
  <c r="G396" i="2"/>
  <c r="L396" i="2"/>
  <c r="M396" i="2"/>
  <c r="N396" i="2"/>
  <c r="O396" i="2"/>
  <c r="Q396" i="2"/>
  <c r="R396" i="2"/>
  <c r="S396" i="2"/>
  <c r="T396" i="2"/>
  <c r="V396" i="2"/>
  <c r="W396" i="2"/>
  <c r="X396" i="2"/>
  <c r="Y396" i="2"/>
  <c r="AA396" i="2"/>
  <c r="AB396" i="2"/>
  <c r="AD396" i="2"/>
  <c r="F414" i="2"/>
  <c r="H415" i="2" s="1"/>
  <c r="K414" i="2"/>
  <c r="P414" i="2"/>
  <c r="U414" i="2"/>
  <c r="W415" i="2" s="1"/>
  <c r="Z414" i="2"/>
  <c r="D415" i="2"/>
  <c r="E415" i="2"/>
  <c r="I415" i="2"/>
  <c r="J415" i="2"/>
  <c r="N415" i="2"/>
  <c r="O415" i="2"/>
  <c r="S415" i="2"/>
  <c r="T415" i="2"/>
  <c r="X415" i="2"/>
  <c r="Y415" i="2"/>
  <c r="G416" i="2"/>
  <c r="H416" i="2"/>
  <c r="I416" i="2"/>
  <c r="J416" i="2"/>
  <c r="L416" i="2"/>
  <c r="M416" i="2"/>
  <c r="N416" i="2"/>
  <c r="O416" i="2"/>
  <c r="Q416" i="2"/>
  <c r="R416" i="2"/>
  <c r="S416" i="2"/>
  <c r="T416" i="2"/>
  <c r="V416" i="2"/>
  <c r="W416" i="2"/>
  <c r="X416" i="2"/>
  <c r="Y416" i="2"/>
  <c r="AA416" i="2"/>
  <c r="AB416" i="2"/>
  <c r="AD416" i="2"/>
  <c r="F417" i="2"/>
  <c r="H418" i="2" s="1"/>
  <c r="K417" i="2"/>
  <c r="P417" i="2"/>
  <c r="R418" i="2" s="1"/>
  <c r="U417" i="2"/>
  <c r="Z417" i="2"/>
  <c r="D418" i="2"/>
  <c r="E418" i="2"/>
  <c r="I418" i="2"/>
  <c r="J418" i="2"/>
  <c r="N418" i="2"/>
  <c r="O418" i="2"/>
  <c r="S418" i="2"/>
  <c r="T418" i="2"/>
  <c r="X418" i="2"/>
  <c r="Y418" i="2"/>
  <c r="AC418" i="2"/>
  <c r="AD418" i="2"/>
  <c r="G419" i="2"/>
  <c r="H419" i="2"/>
  <c r="I419" i="2"/>
  <c r="J419" i="2"/>
  <c r="L419" i="2"/>
  <c r="M419" i="2"/>
  <c r="N419" i="2"/>
  <c r="O419" i="2"/>
  <c r="Q419" i="2"/>
  <c r="R419" i="2"/>
  <c r="S419" i="2"/>
  <c r="T419" i="2"/>
  <c r="V419" i="2"/>
  <c r="W419" i="2"/>
  <c r="X419" i="2"/>
  <c r="Y419" i="2"/>
  <c r="AA419" i="2"/>
  <c r="AB419" i="2"/>
  <c r="AC419" i="2"/>
  <c r="AD419" i="2"/>
  <c r="K391" i="2"/>
  <c r="P391" i="2"/>
  <c r="P392" i="2" s="1"/>
  <c r="U391" i="2"/>
  <c r="W392" i="2" s="1"/>
  <c r="Z391" i="2"/>
  <c r="AB392" i="2" s="1"/>
  <c r="I392" i="2"/>
  <c r="J392" i="2"/>
  <c r="N392" i="2"/>
  <c r="O392" i="2"/>
  <c r="S392" i="2"/>
  <c r="T392" i="2"/>
  <c r="X392" i="2"/>
  <c r="Y392" i="2"/>
  <c r="AC392" i="2"/>
  <c r="AD392" i="2"/>
  <c r="G393" i="2"/>
  <c r="L393" i="2"/>
  <c r="M393" i="2"/>
  <c r="N393" i="2"/>
  <c r="O393" i="2"/>
  <c r="Q393" i="2"/>
  <c r="R393" i="2"/>
  <c r="S393" i="2"/>
  <c r="T393" i="2"/>
  <c r="V393" i="2"/>
  <c r="W393" i="2"/>
  <c r="X393" i="2"/>
  <c r="Y393" i="2"/>
  <c r="AA393" i="2"/>
  <c r="AB393" i="2"/>
  <c r="AC393" i="2"/>
  <c r="AD393" i="2"/>
  <c r="K397" i="2"/>
  <c r="M398" i="2" s="1"/>
  <c r="P397" i="2"/>
  <c r="U397" i="2"/>
  <c r="W398" i="2" s="1"/>
  <c r="Z397" i="2"/>
  <c r="I398" i="2"/>
  <c r="J398" i="2"/>
  <c r="N398" i="2"/>
  <c r="O398" i="2"/>
  <c r="S398" i="2"/>
  <c r="T398" i="2"/>
  <c r="X398" i="2"/>
  <c r="Y398" i="2"/>
  <c r="AC398" i="2"/>
  <c r="AD398" i="2"/>
  <c r="G399" i="2"/>
  <c r="L399" i="2"/>
  <c r="M399" i="2"/>
  <c r="N399" i="2"/>
  <c r="O399" i="2"/>
  <c r="Q399" i="2"/>
  <c r="R399" i="2"/>
  <c r="S399" i="2"/>
  <c r="T399" i="2"/>
  <c r="V399" i="2"/>
  <c r="W399" i="2"/>
  <c r="X399" i="2"/>
  <c r="Y399" i="2"/>
  <c r="AA399" i="2"/>
  <c r="AB399" i="2"/>
  <c r="AC399" i="2"/>
  <c r="AD399" i="2"/>
  <c r="K400" i="2"/>
  <c r="P400" i="2"/>
  <c r="I401" i="2"/>
  <c r="J401" i="2"/>
  <c r="N401" i="2"/>
  <c r="O401" i="2"/>
  <c r="S401" i="2"/>
  <c r="T401" i="2"/>
  <c r="X401" i="2"/>
  <c r="Y401" i="2"/>
  <c r="G402" i="2"/>
  <c r="L402" i="2"/>
  <c r="M402" i="2"/>
  <c r="N402" i="2"/>
  <c r="O402" i="2"/>
  <c r="Q402" i="2"/>
  <c r="R402" i="2"/>
  <c r="S402" i="2"/>
  <c r="T402" i="2"/>
  <c r="W402" i="2"/>
  <c r="X402" i="2"/>
  <c r="Y402" i="2"/>
  <c r="AB402" i="2"/>
  <c r="B403" i="2"/>
  <c r="B420" i="2" s="1"/>
  <c r="B446" i="2" s="1"/>
  <c r="D403" i="2"/>
  <c r="E403" i="2"/>
  <c r="E420" i="2" s="1"/>
  <c r="G403" i="2"/>
  <c r="H403" i="2"/>
  <c r="H405" i="2" s="1"/>
  <c r="I403" i="2"/>
  <c r="I420" i="2" s="1"/>
  <c r="J403" i="2"/>
  <c r="L403" i="2"/>
  <c r="M403" i="2"/>
  <c r="N404" i="2" s="1"/>
  <c r="Q403" i="2"/>
  <c r="R403" i="2"/>
  <c r="S403" i="2"/>
  <c r="T403" i="2"/>
  <c r="T405" i="2" s="1"/>
  <c r="V403" i="2"/>
  <c r="W403" i="2"/>
  <c r="X403" i="2"/>
  <c r="Y403" i="2"/>
  <c r="AA403" i="2"/>
  <c r="AA420" i="2" s="1"/>
  <c r="AB403" i="2"/>
  <c r="AC403" i="2"/>
  <c r="AC420" i="2" s="1"/>
  <c r="AC446" i="2" s="1"/>
  <c r="AD403" i="2"/>
  <c r="O404" i="2"/>
  <c r="C420" i="2"/>
  <c r="C446" i="2" s="1"/>
  <c r="N420" i="2"/>
  <c r="O420" i="2"/>
  <c r="O446" i="2" s="1"/>
  <c r="F427" i="2"/>
  <c r="H427" i="2"/>
  <c r="I428" i="2" s="1"/>
  <c r="L427" i="2"/>
  <c r="L429" i="2" s="1"/>
  <c r="M427" i="2"/>
  <c r="N427" i="2"/>
  <c r="O428" i="2" s="1"/>
  <c r="Q427" i="2"/>
  <c r="R427" i="2"/>
  <c r="S427" i="2"/>
  <c r="T427" i="2"/>
  <c r="V427" i="2"/>
  <c r="W427" i="2"/>
  <c r="X427" i="2"/>
  <c r="Y427" i="2"/>
  <c r="AA427" i="2"/>
  <c r="AB427" i="2"/>
  <c r="AC427" i="2"/>
  <c r="AD427" i="2"/>
  <c r="D428" i="2"/>
  <c r="E428" i="2"/>
  <c r="J428" i="2"/>
  <c r="G429" i="2"/>
  <c r="I429" i="2"/>
  <c r="J429" i="2"/>
  <c r="O429" i="2"/>
  <c r="B430" i="2"/>
  <c r="G432" i="2" s="1"/>
  <c r="F430" i="2"/>
  <c r="K430" i="2"/>
  <c r="K431" i="2" s="1"/>
  <c r="U430" i="2"/>
  <c r="U432" i="2" s="1"/>
  <c r="Z430" i="2"/>
  <c r="D431" i="2"/>
  <c r="E431" i="2"/>
  <c r="I431" i="2"/>
  <c r="J431" i="2"/>
  <c r="N431" i="2"/>
  <c r="O431" i="2"/>
  <c r="P431" i="2"/>
  <c r="R431" i="2"/>
  <c r="S431" i="2"/>
  <c r="T431" i="2"/>
  <c r="X431" i="2"/>
  <c r="Y431" i="2"/>
  <c r="AC431" i="2"/>
  <c r="AD431" i="2"/>
  <c r="H432" i="2"/>
  <c r="I432" i="2"/>
  <c r="J432" i="2"/>
  <c r="L432" i="2"/>
  <c r="M432" i="2"/>
  <c r="N432" i="2"/>
  <c r="O432" i="2"/>
  <c r="Q432" i="2"/>
  <c r="R432" i="2"/>
  <c r="S432" i="2"/>
  <c r="T432" i="2"/>
  <c r="V432" i="2"/>
  <c r="W432" i="2"/>
  <c r="X432" i="2"/>
  <c r="Y432" i="2"/>
  <c r="AA432" i="2"/>
  <c r="AB432" i="2"/>
  <c r="AC432" i="2"/>
  <c r="AD432" i="2"/>
  <c r="C436" i="2"/>
  <c r="D436" i="2"/>
  <c r="D440" i="2" s="1"/>
  <c r="B444" i="2"/>
  <c r="C444" i="2"/>
  <c r="D444" i="2"/>
  <c r="E444" i="2"/>
  <c r="G444" i="2"/>
  <c r="H444" i="2"/>
  <c r="I444" i="2"/>
  <c r="J444" i="2"/>
  <c r="L444" i="2"/>
  <c r="M444" i="2"/>
  <c r="N444" i="2"/>
  <c r="O444" i="2"/>
  <c r="Q444" i="2"/>
  <c r="R444" i="2"/>
  <c r="S444" i="2"/>
  <c r="T444" i="2"/>
  <c r="V444" i="2"/>
  <c r="W444" i="2"/>
  <c r="X444" i="2"/>
  <c r="Y444" i="2"/>
  <c r="AA444" i="2"/>
  <c r="AB444" i="2"/>
  <c r="AC444" i="2"/>
  <c r="AD444" i="2"/>
  <c r="B445" i="2"/>
  <c r="C445" i="2"/>
  <c r="D445" i="2"/>
  <c r="E445" i="2"/>
  <c r="G445" i="2"/>
  <c r="H445" i="2"/>
  <c r="I445" i="2"/>
  <c r="J445" i="2"/>
  <c r="L445" i="2"/>
  <c r="M445" i="2"/>
  <c r="N445" i="2"/>
  <c r="O445" i="2"/>
  <c r="Q445" i="2"/>
  <c r="R445" i="2"/>
  <c r="S445" i="2"/>
  <c r="T445" i="2"/>
  <c r="V445" i="2"/>
  <c r="W445" i="2"/>
  <c r="X445" i="2"/>
  <c r="Y445" i="2"/>
  <c r="AA445" i="2"/>
  <c r="AB445" i="2"/>
  <c r="AC445" i="2"/>
  <c r="AD445" i="2"/>
  <c r="D456" i="2"/>
  <c r="E456" i="2"/>
  <c r="I456" i="2"/>
  <c r="J456" i="2"/>
  <c r="N456" i="2"/>
  <c r="O456" i="2"/>
  <c r="S456" i="2"/>
  <c r="T456" i="2"/>
  <c r="X456" i="2"/>
  <c r="Y456" i="2"/>
  <c r="AC456" i="2"/>
  <c r="AD456" i="2"/>
  <c r="G457" i="2"/>
  <c r="H457" i="2"/>
  <c r="I457" i="2"/>
  <c r="J457" i="2"/>
  <c r="L457" i="2"/>
  <c r="M457" i="2"/>
  <c r="N457" i="2"/>
  <c r="O457" i="2"/>
  <c r="Q457" i="2"/>
  <c r="R457" i="2"/>
  <c r="S457" i="2"/>
  <c r="T457" i="2"/>
  <c r="V457" i="2"/>
  <c r="W457" i="2"/>
  <c r="X457" i="2"/>
  <c r="Y457" i="2"/>
  <c r="AB457" i="2"/>
  <c r="AC457" i="2"/>
  <c r="AD457" i="2"/>
  <c r="K470" i="2"/>
  <c r="P470" i="2"/>
  <c r="U470" i="2"/>
  <c r="Z470" i="2"/>
  <c r="I471" i="2"/>
  <c r="J471" i="2"/>
  <c r="N471" i="2"/>
  <c r="O471" i="2"/>
  <c r="S471" i="2"/>
  <c r="T471" i="2"/>
  <c r="X471" i="2"/>
  <c r="Y471" i="2"/>
  <c r="G472" i="2"/>
  <c r="L472" i="2"/>
  <c r="M472" i="2"/>
  <c r="N472" i="2"/>
  <c r="O472" i="2"/>
  <c r="Q472" i="2"/>
  <c r="R472" i="2"/>
  <c r="S472" i="2"/>
  <c r="T472" i="2"/>
  <c r="V472" i="2"/>
  <c r="W472" i="2"/>
  <c r="X472" i="2"/>
  <c r="Y472" i="2"/>
  <c r="AA472" i="2"/>
  <c r="F481" i="2"/>
  <c r="K481" i="2"/>
  <c r="K482" i="2" s="1"/>
  <c r="P481" i="2"/>
  <c r="Z481" i="2"/>
  <c r="D482" i="2"/>
  <c r="E482" i="2"/>
  <c r="I482" i="2"/>
  <c r="J482" i="2"/>
  <c r="N482" i="2"/>
  <c r="O482" i="2"/>
  <c r="S482" i="2"/>
  <c r="T482" i="2"/>
  <c r="U482" i="2"/>
  <c r="W482" i="2"/>
  <c r="X482" i="2"/>
  <c r="Y482" i="2"/>
  <c r="G483" i="2"/>
  <c r="H483" i="2"/>
  <c r="I483" i="2"/>
  <c r="J483" i="2"/>
  <c r="L483" i="2"/>
  <c r="M483" i="2"/>
  <c r="N483" i="2"/>
  <c r="O483" i="2"/>
  <c r="Q483" i="2"/>
  <c r="R483" i="2"/>
  <c r="S483" i="2"/>
  <c r="T483" i="2"/>
  <c r="V483" i="2"/>
  <c r="W483" i="2"/>
  <c r="X483" i="2"/>
  <c r="Y483" i="2"/>
  <c r="AB483" i="2"/>
  <c r="F490" i="2"/>
  <c r="H491" i="2" s="1"/>
  <c r="K490" i="2"/>
  <c r="P490" i="2"/>
  <c r="P491" i="2" s="1"/>
  <c r="U490" i="2"/>
  <c r="Z490" i="2"/>
  <c r="D491" i="2"/>
  <c r="E491" i="2"/>
  <c r="I491" i="2"/>
  <c r="J491" i="2"/>
  <c r="N491" i="2"/>
  <c r="O491" i="2"/>
  <c r="S491" i="2"/>
  <c r="T491" i="2"/>
  <c r="X491" i="2"/>
  <c r="Y491" i="2"/>
  <c r="AC491" i="2"/>
  <c r="AD491" i="2"/>
  <c r="G492" i="2"/>
  <c r="H492" i="2"/>
  <c r="I492" i="2"/>
  <c r="J492" i="2"/>
  <c r="L492" i="2"/>
  <c r="M492" i="2"/>
  <c r="N492" i="2"/>
  <c r="O492" i="2"/>
  <c r="Q492" i="2"/>
  <c r="R492" i="2"/>
  <c r="S492" i="2"/>
  <c r="T492" i="2"/>
  <c r="V492" i="2"/>
  <c r="W492" i="2"/>
  <c r="X492" i="2"/>
  <c r="Y492" i="2"/>
  <c r="AB492" i="2"/>
  <c r="AC492" i="2"/>
  <c r="AD492" i="2"/>
  <c r="K467" i="2"/>
  <c r="P467" i="2"/>
  <c r="U467" i="2"/>
  <c r="Z467" i="2"/>
  <c r="I468" i="2"/>
  <c r="J468" i="2"/>
  <c r="N468" i="2"/>
  <c r="O468" i="2"/>
  <c r="S468" i="2"/>
  <c r="T468" i="2"/>
  <c r="X468" i="2"/>
  <c r="Y468" i="2"/>
  <c r="G469" i="2"/>
  <c r="L469" i="2"/>
  <c r="M469" i="2"/>
  <c r="N469" i="2"/>
  <c r="O469" i="2"/>
  <c r="Q469" i="2"/>
  <c r="R469" i="2"/>
  <c r="S469" i="2"/>
  <c r="T469" i="2"/>
  <c r="V469" i="2"/>
  <c r="W469" i="2"/>
  <c r="X469" i="2"/>
  <c r="Y469" i="2"/>
  <c r="AA469" i="2"/>
  <c r="K473" i="2"/>
  <c r="P473" i="2"/>
  <c r="U473" i="2"/>
  <c r="Z473" i="2"/>
  <c r="I474" i="2"/>
  <c r="J474" i="2"/>
  <c r="N474" i="2"/>
  <c r="O474" i="2"/>
  <c r="S474" i="2"/>
  <c r="T474" i="2"/>
  <c r="X474" i="2"/>
  <c r="Y474" i="2"/>
  <c r="AC474" i="2"/>
  <c r="AD474" i="2"/>
  <c r="G475" i="2"/>
  <c r="L475" i="2"/>
  <c r="M475" i="2"/>
  <c r="N475" i="2"/>
  <c r="O475" i="2"/>
  <c r="Q475" i="2"/>
  <c r="R475" i="2"/>
  <c r="S475" i="2"/>
  <c r="T475" i="2"/>
  <c r="V475" i="2"/>
  <c r="W475" i="2"/>
  <c r="X475" i="2"/>
  <c r="Y475" i="2"/>
  <c r="AA475" i="2"/>
  <c r="AB475" i="2"/>
  <c r="AC475" i="2"/>
  <c r="AD475" i="2"/>
  <c r="K476" i="2"/>
  <c r="P476" i="2"/>
  <c r="U476" i="2"/>
  <c r="Z476" i="2"/>
  <c r="I477" i="2"/>
  <c r="J477" i="2"/>
  <c r="N477" i="2"/>
  <c r="O477" i="2"/>
  <c r="S477" i="2"/>
  <c r="T477" i="2"/>
  <c r="X477" i="2"/>
  <c r="Y477" i="2"/>
  <c r="G478" i="2"/>
  <c r="L478" i="2"/>
  <c r="M478" i="2"/>
  <c r="N478" i="2"/>
  <c r="O478" i="2"/>
  <c r="Q478" i="2"/>
  <c r="R478" i="2"/>
  <c r="S478" i="2"/>
  <c r="T478" i="2"/>
  <c r="V478" i="2"/>
  <c r="W478" i="2"/>
  <c r="X478" i="2"/>
  <c r="Y478" i="2"/>
  <c r="AA478" i="2"/>
  <c r="F458" i="2"/>
  <c r="K458" i="2"/>
  <c r="P458" i="2"/>
  <c r="P459" i="2" s="1"/>
  <c r="U458" i="2"/>
  <c r="Z458" i="2"/>
  <c r="AB459" i="2" s="1"/>
  <c r="D459" i="2"/>
  <c r="E459" i="2"/>
  <c r="I459" i="2"/>
  <c r="J459" i="2"/>
  <c r="N459" i="2"/>
  <c r="O459" i="2"/>
  <c r="S459" i="2"/>
  <c r="T459" i="2"/>
  <c r="X459" i="2"/>
  <c r="Y459" i="2"/>
  <c r="AC459" i="2"/>
  <c r="AD459" i="2"/>
  <c r="G460" i="2"/>
  <c r="H460" i="2"/>
  <c r="I460" i="2"/>
  <c r="J460" i="2"/>
  <c r="L460" i="2"/>
  <c r="M460" i="2"/>
  <c r="N460" i="2"/>
  <c r="O460" i="2"/>
  <c r="Q460" i="2"/>
  <c r="R460" i="2"/>
  <c r="S460" i="2"/>
  <c r="T460" i="2"/>
  <c r="V460" i="2"/>
  <c r="W460" i="2"/>
  <c r="X460" i="2"/>
  <c r="Y460" i="2"/>
  <c r="AB460" i="2"/>
  <c r="AC460" i="2"/>
  <c r="AD460" i="2"/>
  <c r="B493" i="2"/>
  <c r="B520" i="2" s="1"/>
  <c r="C493" i="2"/>
  <c r="D493" i="2"/>
  <c r="D520" i="2" s="1"/>
  <c r="E493" i="2"/>
  <c r="G493" i="2"/>
  <c r="G520" i="2" s="1"/>
  <c r="H493" i="2"/>
  <c r="I493" i="2"/>
  <c r="I520" i="2" s="1"/>
  <c r="J493" i="2"/>
  <c r="J520" i="2" s="1"/>
  <c r="L493" i="2"/>
  <c r="L520" i="2" s="1"/>
  <c r="M493" i="2"/>
  <c r="M520" i="2" s="1"/>
  <c r="N493" i="2"/>
  <c r="O493" i="2"/>
  <c r="Q493" i="2"/>
  <c r="Q520" i="2" s="1"/>
  <c r="R493" i="2"/>
  <c r="S493" i="2"/>
  <c r="T493" i="2"/>
  <c r="V493" i="2"/>
  <c r="V520" i="2" s="1"/>
  <c r="X493" i="2"/>
  <c r="Y493" i="2"/>
  <c r="Y520" i="2" s="1"/>
  <c r="W494" i="2"/>
  <c r="F500" i="2"/>
  <c r="H501" i="2" s="1"/>
  <c r="K500" i="2"/>
  <c r="P500" i="2"/>
  <c r="U500" i="2"/>
  <c r="W501" i="2" s="1"/>
  <c r="Z500" i="2"/>
  <c r="D501" i="2"/>
  <c r="E501" i="2"/>
  <c r="I501" i="2"/>
  <c r="J501" i="2"/>
  <c r="N501" i="2"/>
  <c r="O501" i="2"/>
  <c r="S501" i="2"/>
  <c r="T501" i="2"/>
  <c r="X501" i="2"/>
  <c r="Y501" i="2"/>
  <c r="AC501" i="2"/>
  <c r="AD501" i="2"/>
  <c r="G502" i="2"/>
  <c r="H502" i="2"/>
  <c r="I502" i="2"/>
  <c r="J502" i="2"/>
  <c r="L502" i="2"/>
  <c r="M502" i="2"/>
  <c r="N502" i="2"/>
  <c r="O502" i="2"/>
  <c r="Q502" i="2"/>
  <c r="R502" i="2"/>
  <c r="S502" i="2"/>
  <c r="T502" i="2"/>
  <c r="V502" i="2"/>
  <c r="W502" i="2"/>
  <c r="X502" i="2"/>
  <c r="Y502" i="2"/>
  <c r="AB502" i="2"/>
  <c r="AC502" i="2"/>
  <c r="AD502" i="2"/>
  <c r="F503" i="2"/>
  <c r="K503" i="2"/>
  <c r="K504" i="2" s="1"/>
  <c r="Q503" i="2"/>
  <c r="V503" i="2"/>
  <c r="U503" i="2" s="1"/>
  <c r="U504" i="2" s="1"/>
  <c r="Z503" i="2"/>
  <c r="AB504" i="2" s="1"/>
  <c r="D504" i="2"/>
  <c r="E504" i="2"/>
  <c r="I504" i="2"/>
  <c r="J504" i="2"/>
  <c r="N504" i="2"/>
  <c r="O504" i="2"/>
  <c r="S504" i="2"/>
  <c r="T504" i="2"/>
  <c r="X504" i="2"/>
  <c r="Y504" i="2"/>
  <c r="AC504" i="2"/>
  <c r="AD504" i="2"/>
  <c r="G505" i="2"/>
  <c r="H505" i="2"/>
  <c r="I505" i="2"/>
  <c r="J505" i="2"/>
  <c r="L505" i="2"/>
  <c r="M505" i="2"/>
  <c r="N505" i="2"/>
  <c r="O505" i="2"/>
  <c r="R505" i="2"/>
  <c r="S505" i="2"/>
  <c r="T505" i="2"/>
  <c r="W505" i="2"/>
  <c r="X505" i="2"/>
  <c r="Y505" i="2"/>
  <c r="AB505" i="2"/>
  <c r="AC505" i="2"/>
  <c r="AD505" i="2"/>
  <c r="D509" i="2"/>
  <c r="C513" i="2"/>
  <c r="I513" i="2"/>
  <c r="B518" i="2"/>
  <c r="C518" i="2"/>
  <c r="D518" i="2"/>
  <c r="E518" i="2"/>
  <c r="G518" i="2"/>
  <c r="H518" i="2"/>
  <c r="I518" i="2"/>
  <c r="J518" i="2"/>
  <c r="L518" i="2"/>
  <c r="M518" i="2"/>
  <c r="N518" i="2"/>
  <c r="O518" i="2"/>
  <c r="Q518" i="2"/>
  <c r="R518" i="2"/>
  <c r="S518" i="2"/>
  <c r="T518" i="2"/>
  <c r="V518" i="2"/>
  <c r="W518" i="2"/>
  <c r="X518" i="2"/>
  <c r="Y518" i="2"/>
  <c r="AA518" i="2"/>
  <c r="AB518" i="2"/>
  <c r="B519" i="2"/>
  <c r="C519" i="2"/>
  <c r="D519" i="2"/>
  <c r="E519" i="2"/>
  <c r="G519" i="2"/>
  <c r="H519" i="2"/>
  <c r="I519" i="2"/>
  <c r="J519" i="2"/>
  <c r="L519" i="2"/>
  <c r="M519" i="2"/>
  <c r="N519" i="2"/>
  <c r="O519" i="2"/>
  <c r="Q519" i="2"/>
  <c r="R519" i="2"/>
  <c r="S519" i="2"/>
  <c r="T519" i="2"/>
  <c r="V519" i="2"/>
  <c r="W519" i="2"/>
  <c r="X519" i="2"/>
  <c r="Y519" i="2"/>
  <c r="AB519" i="2"/>
  <c r="AC519" i="2"/>
  <c r="AD519" i="2"/>
  <c r="W520" i="2"/>
  <c r="Z13" i="3"/>
  <c r="AE354" i="2"/>
  <c r="AC518" i="2"/>
  <c r="AC416" i="2"/>
  <c r="AD415" i="2"/>
  <c r="AC396" i="2"/>
  <c r="AD395" i="2"/>
  <c r="AD233" i="2"/>
  <c r="AC415" i="2"/>
  <c r="AC482" i="2"/>
  <c r="AC483" i="2"/>
  <c r="AD363" i="2"/>
  <c r="AE431" i="2"/>
  <c r="AD493" i="2"/>
  <c r="AD518" i="2"/>
  <c r="AD483" i="2"/>
  <c r="AD482" i="2"/>
  <c r="AE360" i="2"/>
  <c r="AB12" i="3"/>
  <c r="AE481" i="2"/>
  <c r="AF493" i="2"/>
  <c r="AF520" i="2" s="1"/>
  <c r="AF483" i="2"/>
  <c r="AF518" i="2"/>
  <c r="AG440" i="2"/>
  <c r="AH471" i="2"/>
  <c r="AH233" i="2"/>
  <c r="AH320" i="2"/>
  <c r="AH395" i="2"/>
  <c r="AH420" i="2"/>
  <c r="AH428" i="2"/>
  <c r="AH396" i="2"/>
  <c r="AH415" i="2"/>
  <c r="AH444" i="2"/>
  <c r="AH416" i="2"/>
  <c r="AH339" i="2"/>
  <c r="AI234" i="2"/>
  <c r="AI404" i="2"/>
  <c r="AI428" i="2"/>
  <c r="AF396" i="2"/>
  <c r="AE501" i="2"/>
  <c r="AE414" i="2"/>
  <c r="AF416" i="2"/>
  <c r="AF444" i="2"/>
  <c r="AJ470" i="2"/>
  <c r="AK416" i="2"/>
  <c r="AJ394" i="2"/>
  <c r="AK396" i="2"/>
  <c r="AK444" i="2"/>
  <c r="AJ414" i="2"/>
  <c r="AJ391" i="2"/>
  <c r="AJ392" i="2" s="1"/>
  <c r="AK472" i="2"/>
  <c r="AK518" i="2"/>
  <c r="AK493" i="2"/>
  <c r="AK483" i="2"/>
  <c r="AJ481" i="2"/>
  <c r="AJ319" i="2"/>
  <c r="AJ320" i="2" s="1"/>
  <c r="AJ338" i="2"/>
  <c r="AL234" i="2"/>
  <c r="AM401" i="2"/>
  <c r="AM429" i="2"/>
  <c r="AG234" i="2"/>
  <c r="AJ400" i="2"/>
  <c r="AL438" i="2"/>
  <c r="AM405" i="2"/>
  <c r="AH401" i="2"/>
  <c r="AI401" i="2"/>
  <c r="AM437" i="2"/>
  <c r="AM28" i="2"/>
  <c r="AM27" i="2"/>
  <c r="AM438" i="2"/>
  <c r="AH234" i="2"/>
  <c r="AC233" i="2"/>
  <c r="AM402" i="2"/>
  <c r="AH437" i="2"/>
  <c r="AH440" i="2"/>
  <c r="AN405" i="2"/>
  <c r="AI420" i="2"/>
  <c r="AN438" i="2"/>
  <c r="AN437" i="2"/>
  <c r="AN402" i="2"/>
  <c r="AN404" i="2"/>
  <c r="AN428" i="2"/>
  <c r="AN507" i="2"/>
  <c r="AI440" i="2"/>
  <c r="AI437" i="2"/>
  <c r="AE232" i="2"/>
  <c r="AG12" i="3"/>
  <c r="AG420" i="2"/>
  <c r="AH404" i="2"/>
  <c r="AL405" i="2"/>
  <c r="AG513" i="2"/>
  <c r="AL508" i="2"/>
  <c r="AH507" i="2"/>
  <c r="AI507" i="2"/>
  <c r="AN508" i="2"/>
  <c r="AM508" i="2"/>
  <c r="AM507" i="2"/>
  <c r="K16" i="3"/>
  <c r="AM428" i="2"/>
  <c r="AH513" i="2"/>
  <c r="AH510" i="2"/>
  <c r="AL429" i="2"/>
  <c r="AM510" i="2"/>
  <c r="AN510" i="2"/>
  <c r="AM511" i="2"/>
  <c r="AN511" i="2"/>
  <c r="AI510" i="2"/>
  <c r="AI513" i="2"/>
  <c r="AO504" i="2"/>
  <c r="AO89" i="2"/>
  <c r="AO252" i="2"/>
  <c r="AL511" i="2"/>
  <c r="AU45" i="3"/>
  <c r="AU36" i="3"/>
  <c r="L268" i="2" l="1"/>
  <c r="O267" i="2"/>
  <c r="AK267" i="2"/>
  <c r="I90" i="2"/>
  <c r="AD429" i="2"/>
  <c r="Z125" i="2"/>
  <c r="AA429" i="2"/>
  <c r="G87" i="2"/>
  <c r="X429" i="2"/>
  <c r="M267" i="2"/>
  <c r="AC429" i="2"/>
  <c r="V429" i="2"/>
  <c r="Y405" i="2"/>
  <c r="G90" i="2"/>
  <c r="U125" i="2"/>
  <c r="T495" i="2"/>
  <c r="Y521" i="2"/>
  <c r="AB268" i="2"/>
  <c r="T267" i="2"/>
  <c r="AD269" i="2"/>
  <c r="L267" i="2"/>
  <c r="AK268" i="2"/>
  <c r="N269" i="2"/>
  <c r="N267" i="2"/>
  <c r="AP235" i="2"/>
  <c r="AP267" i="2"/>
  <c r="AD239" i="2"/>
  <c r="AD268" i="2"/>
  <c r="O239" i="2"/>
  <c r="O268" i="2"/>
  <c r="X234" i="2"/>
  <c r="X267" i="2"/>
  <c r="J234" i="2"/>
  <c r="E267" i="2"/>
  <c r="AB224" i="2"/>
  <c r="AC239" i="2"/>
  <c r="AC268" i="2"/>
  <c r="X239" i="2"/>
  <c r="X268" i="2"/>
  <c r="S239" i="2"/>
  <c r="S268" i="2"/>
  <c r="N239" i="2"/>
  <c r="N268" i="2"/>
  <c r="I239" i="2"/>
  <c r="I268" i="2"/>
  <c r="I267" i="2"/>
  <c r="W224" i="2"/>
  <c r="AP239" i="2"/>
  <c r="AP268" i="2"/>
  <c r="AU239" i="2"/>
  <c r="AU268" i="2"/>
  <c r="B258" i="2"/>
  <c r="B262" i="2" s="1"/>
  <c r="B269" i="2"/>
  <c r="I269" i="2"/>
  <c r="R269" i="2"/>
  <c r="V258" i="2"/>
  <c r="V262" i="2" s="1"/>
  <c r="V269" i="2"/>
  <c r="X256" i="2"/>
  <c r="X269" i="2"/>
  <c r="AA269" i="2"/>
  <c r="AC258" i="2"/>
  <c r="AC269" i="2"/>
  <c r="AF258" i="2"/>
  <c r="AF262" i="2" s="1"/>
  <c r="AF269" i="2"/>
  <c r="AI267" i="2"/>
  <c r="AI266" i="2"/>
  <c r="AL256" i="2"/>
  <c r="AL269" i="2"/>
  <c r="Y239" i="2"/>
  <c r="Y268" i="2"/>
  <c r="F224" i="2"/>
  <c r="AS239" i="2"/>
  <c r="AX241" i="2" s="1"/>
  <c r="AS268" i="2"/>
  <c r="L258" i="2"/>
  <c r="L262" i="2" s="1"/>
  <c r="L269" i="2"/>
  <c r="S193" i="2"/>
  <c r="R266" i="2"/>
  <c r="V267" i="2"/>
  <c r="V266" i="2"/>
  <c r="AC267" i="2"/>
  <c r="AC266" i="2"/>
  <c r="AF214" i="2"/>
  <c r="AF267" i="2"/>
  <c r="AF266" i="2"/>
  <c r="AH255" i="2"/>
  <c r="AH269" i="2"/>
  <c r="AK258" i="2"/>
  <c r="AK262" i="2" s="1"/>
  <c r="AK269" i="2"/>
  <c r="AX256" i="2"/>
  <c r="AS269" i="2"/>
  <c r="AY266" i="2"/>
  <c r="AY267" i="2"/>
  <c r="W239" i="2"/>
  <c r="W268" i="2"/>
  <c r="R239" i="2"/>
  <c r="R268" i="2"/>
  <c r="M239" i="2"/>
  <c r="M268" i="2"/>
  <c r="H239" i="2"/>
  <c r="H268" i="2"/>
  <c r="AF234" i="2"/>
  <c r="AA267" i="2"/>
  <c r="H234" i="2"/>
  <c r="H267" i="2"/>
  <c r="AM239" i="2"/>
  <c r="AM268" i="2"/>
  <c r="AR234" i="2"/>
  <c r="AM267" i="2"/>
  <c r="AY225" i="2"/>
  <c r="AT266" i="2"/>
  <c r="J267" i="2"/>
  <c r="J266" i="2"/>
  <c r="J269" i="2"/>
  <c r="M258" i="2"/>
  <c r="M262" i="2" s="1"/>
  <c r="M269" i="2"/>
  <c r="O256" i="2"/>
  <c r="O269" i="2"/>
  <c r="AB267" i="2"/>
  <c r="AB266" i="2"/>
  <c r="AD267" i="2"/>
  <c r="AD266" i="2"/>
  <c r="AG269" i="2"/>
  <c r="AG267" i="2"/>
  <c r="AG266" i="2"/>
  <c r="AI269" i="2"/>
  <c r="AR256" i="2"/>
  <c r="AM269" i="2"/>
  <c r="AV256" i="2"/>
  <c r="AQ269" i="2"/>
  <c r="T239" i="2"/>
  <c r="T268" i="2"/>
  <c r="J239" i="2"/>
  <c r="J268" i="2"/>
  <c r="AG233" i="2"/>
  <c r="V268" i="2"/>
  <c r="G239" i="2"/>
  <c r="B239" i="2"/>
  <c r="B268" i="2"/>
  <c r="AD234" i="2"/>
  <c r="Y267" i="2"/>
  <c r="R267" i="2"/>
  <c r="B267" i="2"/>
  <c r="AF239" i="2"/>
  <c r="AF268" i="2"/>
  <c r="AG239" i="2"/>
  <c r="AG268" i="2"/>
  <c r="AH239" i="2"/>
  <c r="AH268" i="2"/>
  <c r="AJ224" i="2"/>
  <c r="AN239" i="2"/>
  <c r="AN268" i="2"/>
  <c r="AR239" i="2"/>
  <c r="AW241" i="2" s="1"/>
  <c r="AR268" i="2"/>
  <c r="AS235" i="2"/>
  <c r="AS267" i="2"/>
  <c r="H258" i="2"/>
  <c r="H260" i="2" s="1"/>
  <c r="H269" i="2"/>
  <c r="Q194" i="2"/>
  <c r="L266" i="2"/>
  <c r="T258" i="2"/>
  <c r="T262" i="2" s="1"/>
  <c r="T269" i="2"/>
  <c r="W258" i="2"/>
  <c r="AB260" i="2" s="1"/>
  <c r="W269" i="2"/>
  <c r="Y258" i="2"/>
  <c r="Y262" i="2" s="1"/>
  <c r="Y269" i="2"/>
  <c r="AB258" i="2"/>
  <c r="AB262" i="2" s="1"/>
  <c r="AB269" i="2"/>
  <c r="AH267" i="2"/>
  <c r="AH266" i="2"/>
  <c r="AV239" i="2"/>
  <c r="AW240" i="2" s="1"/>
  <c r="AV268" i="2"/>
  <c r="AY269" i="2"/>
  <c r="W363" i="2"/>
  <c r="AH330" i="2"/>
  <c r="AH329" i="2"/>
  <c r="AO342" i="2"/>
  <c r="AV330" i="2"/>
  <c r="T330" i="2"/>
  <c r="J329" i="2"/>
  <c r="Z342" i="2"/>
  <c r="H342" i="2"/>
  <c r="AM363" i="2"/>
  <c r="AY343" i="2"/>
  <c r="AP363" i="2"/>
  <c r="X344" i="2"/>
  <c r="X346" i="2" s="1"/>
  <c r="G344" i="2"/>
  <c r="G369" i="2" s="1"/>
  <c r="AH363" i="2"/>
  <c r="AL363" i="2"/>
  <c r="AD361" i="2"/>
  <c r="R330" i="2"/>
  <c r="B344" i="2"/>
  <c r="B369" i="2" s="1"/>
  <c r="P342" i="2"/>
  <c r="AG342" i="2"/>
  <c r="AK344" i="2"/>
  <c r="AK347" i="2" s="1"/>
  <c r="AX361" i="2"/>
  <c r="AN330" i="2"/>
  <c r="G363" i="2"/>
  <c r="O361" i="2"/>
  <c r="AN363" i="2"/>
  <c r="O495" i="2"/>
  <c r="AN446" i="2"/>
  <c r="AN423" i="2"/>
  <c r="AP520" i="2"/>
  <c r="AP496" i="2"/>
  <c r="AM446" i="2"/>
  <c r="AM423" i="2"/>
  <c r="AW346" i="2"/>
  <c r="AR347" i="2"/>
  <c r="AV423" i="2"/>
  <c r="AY423" i="2" s="1"/>
  <c r="AL446" i="2"/>
  <c r="AL423" i="2"/>
  <c r="AU496" i="2"/>
  <c r="AI244" i="2"/>
  <c r="AI239" i="2"/>
  <c r="AL244" i="2"/>
  <c r="AL239" i="2"/>
  <c r="AL126" i="2"/>
  <c r="AL39" i="2"/>
  <c r="AG126" i="2"/>
  <c r="AG39" i="2"/>
  <c r="AC126" i="2"/>
  <c r="AC39" i="2"/>
  <c r="Y126" i="2"/>
  <c r="Y39" i="2"/>
  <c r="M126" i="2"/>
  <c r="M39" i="2"/>
  <c r="AF126" i="2"/>
  <c r="AF39" i="2"/>
  <c r="AK41" i="2" s="1"/>
  <c r="L126" i="2"/>
  <c r="L39" i="2"/>
  <c r="B126" i="2"/>
  <c r="B39" i="2"/>
  <c r="AB244" i="2"/>
  <c r="AB239" i="2"/>
  <c r="AQ244" i="2"/>
  <c r="AQ239" i="2"/>
  <c r="AS126" i="2"/>
  <c r="AS39" i="2"/>
  <c r="AM126" i="2"/>
  <c r="AM39" i="2"/>
  <c r="AH126" i="2"/>
  <c r="AH39" i="2"/>
  <c r="AD126" i="2"/>
  <c r="AD39" i="2"/>
  <c r="R126" i="2"/>
  <c r="R39" i="2"/>
  <c r="N126" i="2"/>
  <c r="N39" i="2"/>
  <c r="AA126" i="2"/>
  <c r="AA39" i="2"/>
  <c r="G126" i="2"/>
  <c r="G39" i="2"/>
  <c r="AA244" i="2"/>
  <c r="AA239" i="2"/>
  <c r="V238" i="2"/>
  <c r="V239" i="2"/>
  <c r="Q244" i="2"/>
  <c r="Q239" i="2"/>
  <c r="L244" i="2"/>
  <c r="L239" i="2"/>
  <c r="AR126" i="2"/>
  <c r="AR39" i="2"/>
  <c r="AN126" i="2"/>
  <c r="AN39" i="2"/>
  <c r="AI126" i="2"/>
  <c r="AI39" i="2"/>
  <c r="W126" i="2"/>
  <c r="W39" i="2"/>
  <c r="S126" i="2"/>
  <c r="S39" i="2"/>
  <c r="O126" i="2"/>
  <c r="O39" i="2"/>
  <c r="V126" i="2"/>
  <c r="V39" i="2"/>
  <c r="AU41" i="2"/>
  <c r="AY39" i="2"/>
  <c r="AW40" i="2"/>
  <c r="AY239" i="2"/>
  <c r="AK244" i="2"/>
  <c r="AK239" i="2"/>
  <c r="AQ126" i="2"/>
  <c r="AQ39" i="2"/>
  <c r="AP41" i="2"/>
  <c r="AB126" i="2"/>
  <c r="AB39" i="2"/>
  <c r="X126" i="2"/>
  <c r="X39" i="2"/>
  <c r="T126" i="2"/>
  <c r="T39" i="2"/>
  <c r="L32" i="7"/>
  <c r="Q32" i="7"/>
  <c r="AQ456" i="2"/>
  <c r="AC509" i="2"/>
  <c r="AD510" i="2" s="1"/>
  <c r="U520" i="2"/>
  <c r="H90" i="2"/>
  <c r="AV234" i="2"/>
  <c r="AQ235" i="2"/>
  <c r="AU235" i="2"/>
  <c r="AK234" i="2"/>
  <c r="AK235" i="2"/>
  <c r="P70" i="3"/>
  <c r="H16" i="3"/>
  <c r="AB16" i="3"/>
  <c r="AL45" i="3"/>
  <c r="AL35" i="3"/>
  <c r="S508" i="2"/>
  <c r="AH508" i="2"/>
  <c r="AJ507" i="2"/>
  <c r="AH258" i="2"/>
  <c r="AH262" i="2" s="1"/>
  <c r="AH263" i="2" s="1"/>
  <c r="AT121" i="2"/>
  <c r="AO121" i="2"/>
  <c r="AY116" i="2"/>
  <c r="AV121" i="2"/>
  <c r="AY121" i="2" s="1"/>
  <c r="AN329" i="2"/>
  <c r="AY344" i="2"/>
  <c r="AY345" i="2" s="1"/>
  <c r="AY359" i="2"/>
  <c r="AY274" i="2"/>
  <c r="AY275" i="2" s="1"/>
  <c r="AY101" i="2"/>
  <c r="AY493" i="2"/>
  <c r="AY520" i="2" s="1"/>
  <c r="AV126" i="2"/>
  <c r="AY236" i="2"/>
  <c r="AV368" i="2"/>
  <c r="K71" i="3"/>
  <c r="P17" i="3"/>
  <c r="AO12" i="3"/>
  <c r="AE13" i="3"/>
  <c r="AL36" i="3"/>
  <c r="U16" i="3"/>
  <c r="AO46" i="3"/>
  <c r="W429" i="2"/>
  <c r="Z17" i="3"/>
  <c r="AQ36" i="3"/>
  <c r="AJ16" i="3"/>
  <c r="AQ68" i="2"/>
  <c r="AQ16" i="3"/>
  <c r="AJ13" i="3"/>
  <c r="K17" i="3"/>
  <c r="AG16" i="3"/>
  <c r="AN46" i="3"/>
  <c r="AT47" i="3"/>
  <c r="AO17" i="3"/>
  <c r="M16" i="3"/>
  <c r="AE17" i="3"/>
  <c r="AQ47" i="3"/>
  <c r="AJ17" i="3"/>
  <c r="AL12" i="3"/>
  <c r="AS46" i="3"/>
  <c r="AP47" i="3"/>
  <c r="AD507" i="2"/>
  <c r="R16" i="3"/>
  <c r="AM37" i="3"/>
  <c r="AL43" i="3"/>
  <c r="AR46" i="3"/>
  <c r="AT17" i="3"/>
  <c r="AQ46" i="3"/>
  <c r="AT48" i="3"/>
  <c r="AY47" i="3"/>
  <c r="P71" i="3"/>
  <c r="AQ12" i="3"/>
  <c r="U71" i="3"/>
  <c r="AN48" i="3"/>
  <c r="AT46" i="3"/>
  <c r="AT12" i="3"/>
  <c r="AU47" i="3"/>
  <c r="AZ47" i="3"/>
  <c r="AZ48" i="3"/>
  <c r="AU48" i="3"/>
  <c r="U17" i="3"/>
  <c r="AO13" i="3"/>
  <c r="AB436" i="2"/>
  <c r="AG438" i="2" s="1"/>
  <c r="O258" i="2"/>
  <c r="O262" i="2" s="1"/>
  <c r="R369" i="2"/>
  <c r="R368" i="2"/>
  <c r="N367" i="2"/>
  <c r="AQ401" i="2"/>
  <c r="Y508" i="2"/>
  <c r="T436" i="2"/>
  <c r="T440" i="2" s="1"/>
  <c r="AI508" i="2"/>
  <c r="U507" i="2"/>
  <c r="O521" i="2"/>
  <c r="AM367" i="2"/>
  <c r="Q368" i="2"/>
  <c r="T509" i="2"/>
  <c r="T513" i="2" s="1"/>
  <c r="U514" i="2" s="1"/>
  <c r="Q303" i="2"/>
  <c r="T508" i="2"/>
  <c r="T303" i="2"/>
  <c r="AS367" i="2"/>
  <c r="P456" i="2"/>
  <c r="AD521" i="2"/>
  <c r="AQ378" i="2"/>
  <c r="AQ86" i="2"/>
  <c r="K124" i="2"/>
  <c r="W509" i="2"/>
  <c r="W513" i="2" s="1"/>
  <c r="W514" i="2" s="1"/>
  <c r="U519" i="2"/>
  <c r="I507" i="2"/>
  <c r="AA436" i="2"/>
  <c r="AA440" i="2" s="1"/>
  <c r="W507" i="2"/>
  <c r="Q509" i="2"/>
  <c r="Q513" i="2" s="1"/>
  <c r="U457" i="2"/>
  <c r="W456" i="2"/>
  <c r="U518" i="2"/>
  <c r="P518" i="2"/>
  <c r="U456" i="2"/>
  <c r="AT483" i="2"/>
  <c r="AV45" i="2"/>
  <c r="O358" i="2"/>
  <c r="W436" i="2"/>
  <c r="AF93" i="2"/>
  <c r="M378" i="2"/>
  <c r="R33" i="2"/>
  <c r="P125" i="2"/>
  <c r="AB21" i="2"/>
  <c r="Z124" i="2"/>
  <c r="AE124" i="2"/>
  <c r="AO33" i="2"/>
  <c r="AO125" i="2"/>
  <c r="AY22" i="2"/>
  <c r="AT124" i="2"/>
  <c r="AU126" i="2"/>
  <c r="U21" i="2"/>
  <c r="U124" i="2"/>
  <c r="AJ124" i="2"/>
  <c r="AO124" i="2"/>
  <c r="AP126" i="2"/>
  <c r="AK126" i="2"/>
  <c r="Q186" i="2"/>
  <c r="Q126" i="2"/>
  <c r="AB97" i="2"/>
  <c r="AB127" i="2"/>
  <c r="AG97" i="2"/>
  <c r="AG127" i="2"/>
  <c r="AL97" i="2"/>
  <c r="AL127" i="2"/>
  <c r="R21" i="2"/>
  <c r="P124" i="2"/>
  <c r="AE125" i="2"/>
  <c r="AT125" i="2"/>
  <c r="I97" i="2"/>
  <c r="I127" i="2"/>
  <c r="N97" i="2"/>
  <c r="N101" i="2" s="1"/>
  <c r="N127" i="2"/>
  <c r="AL33" i="2"/>
  <c r="AJ125" i="2"/>
  <c r="AC45" i="2"/>
  <c r="M45" i="2"/>
  <c r="AF45" i="2"/>
  <c r="AF186" i="2" s="1"/>
  <c r="Q97" i="2"/>
  <c r="Q101" i="2" s="1"/>
  <c r="AY36" i="2"/>
  <c r="AH357" i="2"/>
  <c r="AA97" i="2"/>
  <c r="AF212" i="2"/>
  <c r="AO305" i="2"/>
  <c r="S302" i="2"/>
  <c r="AM256" i="2"/>
  <c r="L436" i="2"/>
  <c r="AX38" i="2"/>
  <c r="AM45" i="2"/>
  <c r="AH45" i="2"/>
  <c r="AD45" i="2"/>
  <c r="R45" i="2"/>
  <c r="N45" i="2"/>
  <c r="AA45" i="2"/>
  <c r="AA186" i="2" s="1"/>
  <c r="G45" i="2"/>
  <c r="G186" i="2" s="1"/>
  <c r="C97" i="2"/>
  <c r="C101" i="2" s="1"/>
  <c r="M97" i="2"/>
  <c r="M101" i="2" s="1"/>
  <c r="R97" i="2"/>
  <c r="R101" i="2" s="1"/>
  <c r="W97" i="2"/>
  <c r="W101" i="2" s="1"/>
  <c r="AV93" i="2"/>
  <c r="AQ97" i="2"/>
  <c r="AV99" i="2" s="1"/>
  <c r="AF97" i="2"/>
  <c r="AF101" i="2" s="1"/>
  <c r="AK97" i="2"/>
  <c r="AK101" i="2" s="1"/>
  <c r="Q93" i="2"/>
  <c r="AM258" i="2"/>
  <c r="AM262" i="2" s="1"/>
  <c r="W368" i="2"/>
  <c r="AW38" i="2"/>
  <c r="AN45" i="2"/>
  <c r="AI45" i="2"/>
  <c r="W45" i="2"/>
  <c r="S45" i="2"/>
  <c r="O45" i="2"/>
  <c r="V45" i="2"/>
  <c r="V186" i="2" s="1"/>
  <c r="S97" i="2"/>
  <c r="S101" i="2" s="1"/>
  <c r="X97" i="2"/>
  <c r="X101" i="2" s="1"/>
  <c r="AC97" i="2"/>
  <c r="AC101" i="2" s="1"/>
  <c r="AH97" i="2"/>
  <c r="AM97" i="2"/>
  <c r="AM101" i="2" s="1"/>
  <c r="AW93" i="2"/>
  <c r="AR97" i="2"/>
  <c r="AW99" i="2" s="1"/>
  <c r="AL45" i="2"/>
  <c r="AG45" i="2"/>
  <c r="Y45" i="2"/>
  <c r="L45" i="2"/>
  <c r="L186" i="2" s="1"/>
  <c r="L97" i="2"/>
  <c r="L101" i="2" s="1"/>
  <c r="AP97" i="2"/>
  <c r="AG359" i="2"/>
  <c r="J507" i="2"/>
  <c r="AS358" i="2"/>
  <c r="V93" i="2"/>
  <c r="X302" i="2"/>
  <c r="O436" i="2"/>
  <c r="AK93" i="2"/>
  <c r="AC302" i="2"/>
  <c r="W303" i="2"/>
  <c r="AQ45" i="2"/>
  <c r="AB45" i="2"/>
  <c r="J97" i="2"/>
  <c r="J101" i="2" s="1"/>
  <c r="O97" i="2"/>
  <c r="O101" i="2" s="1"/>
  <c r="T97" i="2"/>
  <c r="T101" i="2" s="1"/>
  <c r="Y97" i="2"/>
  <c r="Y101" i="2" s="1"/>
  <c r="AD97" i="2"/>
  <c r="AI97" i="2"/>
  <c r="AN97" i="2"/>
  <c r="AN101" i="2" s="1"/>
  <c r="AX93" i="2"/>
  <c r="AS97" i="2"/>
  <c r="H97" i="2"/>
  <c r="AU97" i="2"/>
  <c r="G508" i="2"/>
  <c r="AJ232" i="2"/>
  <c r="W54" i="2"/>
  <c r="AP495" i="2"/>
  <c r="S303" i="2"/>
  <c r="N303" i="2"/>
  <c r="AL38" i="2"/>
  <c r="AO74" i="2"/>
  <c r="AM37" i="2"/>
  <c r="AQ10" i="2"/>
  <c r="J509" i="2"/>
  <c r="J510" i="2" s="1"/>
  <c r="AQ495" i="2"/>
  <c r="L369" i="2"/>
  <c r="AC256" i="2"/>
  <c r="L312" i="2"/>
  <c r="AL520" i="2"/>
  <c r="Y369" i="2"/>
  <c r="AO11" i="2"/>
  <c r="AO379" i="2"/>
  <c r="O508" i="2"/>
  <c r="AP367" i="2"/>
  <c r="H368" i="2"/>
  <c r="AO402" i="2"/>
  <c r="L367" i="2"/>
  <c r="T193" i="2"/>
  <c r="B368" i="2"/>
  <c r="X358" i="2"/>
  <c r="AO293" i="2"/>
  <c r="O507" i="2"/>
  <c r="AC93" i="2"/>
  <c r="N521" i="2"/>
  <c r="AC507" i="2"/>
  <c r="AL258" i="2"/>
  <c r="AL262" i="2" s="1"/>
  <c r="AL264" i="2" s="1"/>
  <c r="Y447" i="2"/>
  <c r="AJ290" i="2"/>
  <c r="AL351" i="2"/>
  <c r="O435" i="2"/>
  <c r="Y37" i="2"/>
  <c r="Z21" i="2"/>
  <c r="AE199" i="2"/>
  <c r="AE351" i="2"/>
  <c r="V402" i="2"/>
  <c r="AG256" i="2"/>
  <c r="AJ87" i="2"/>
  <c r="AJ494" i="2"/>
  <c r="L90" i="2"/>
  <c r="AJ24" i="2"/>
  <c r="AB59" i="2"/>
  <c r="V405" i="2"/>
  <c r="AD434" i="2"/>
  <c r="AN357" i="2"/>
  <c r="AT340" i="2"/>
  <c r="AT352" i="2"/>
  <c r="Z62" i="2"/>
  <c r="R436" i="2"/>
  <c r="R440" i="2" s="1"/>
  <c r="AJ509" i="2"/>
  <c r="AJ510" i="2" s="1"/>
  <c r="W65" i="2"/>
  <c r="AU256" i="2"/>
  <c r="AG435" i="2"/>
  <c r="AC402" i="2"/>
  <c r="AC494" i="2"/>
  <c r="AR238" i="2"/>
  <c r="AH53" i="2"/>
  <c r="AM369" i="2"/>
  <c r="AI368" i="2"/>
  <c r="AQ428" i="2"/>
  <c r="AB303" i="2"/>
  <c r="AG249" i="2"/>
  <c r="X255" i="2"/>
  <c r="AD38" i="2"/>
  <c r="V97" i="2"/>
  <c r="V101" i="2" s="1"/>
  <c r="AA93" i="2"/>
  <c r="T507" i="2"/>
  <c r="AD508" i="2"/>
  <c r="S434" i="2"/>
  <c r="N509" i="2"/>
  <c r="N513" i="2" s="1"/>
  <c r="N515" i="2" s="1"/>
  <c r="AJ278" i="2"/>
  <c r="W367" i="2"/>
  <c r="AO392" i="2"/>
  <c r="AO278" i="2"/>
  <c r="AO308" i="2"/>
  <c r="S436" i="2"/>
  <c r="AM434" i="2"/>
  <c r="AM442" i="2"/>
  <c r="R367" i="2"/>
  <c r="AB368" i="2"/>
  <c r="AL367" i="2"/>
  <c r="B436" i="2"/>
  <c r="B440" i="2" s="1"/>
  <c r="K445" i="2"/>
  <c r="AB319" i="2"/>
  <c r="AB321" i="2" s="1"/>
  <c r="AJ285" i="2"/>
  <c r="AO197" i="2"/>
  <c r="AA256" i="2"/>
  <c r="AK256" i="2"/>
  <c r="O302" i="2"/>
  <c r="AL303" i="2"/>
  <c r="AN358" i="2"/>
  <c r="AE379" i="2"/>
  <c r="AF435" i="2"/>
  <c r="AO501" i="2"/>
  <c r="AN495" i="2"/>
  <c r="AQ358" i="2"/>
  <c r="J193" i="2"/>
  <c r="F456" i="2"/>
  <c r="AL435" i="2"/>
  <c r="AO343" i="2"/>
  <c r="AO502" i="2"/>
  <c r="U27" i="2"/>
  <c r="AO395" i="2"/>
  <c r="AO199" i="2"/>
  <c r="J436" i="2"/>
  <c r="Y256" i="2"/>
  <c r="W220" i="2"/>
  <c r="AI255" i="2"/>
  <c r="AO285" i="2"/>
  <c r="AO323" i="2"/>
  <c r="AL515" i="2"/>
  <c r="AJ68" i="2"/>
  <c r="J357" i="2"/>
  <c r="I359" i="2"/>
  <c r="AJ342" i="2"/>
  <c r="AJ305" i="2"/>
  <c r="AJ208" i="2"/>
  <c r="N193" i="2"/>
  <c r="W194" i="2"/>
  <c r="AJ254" i="2"/>
  <c r="AA435" i="2"/>
  <c r="H194" i="2"/>
  <c r="AC255" i="2"/>
  <c r="AM368" i="2"/>
  <c r="AO324" i="2"/>
  <c r="AH256" i="2"/>
  <c r="O367" i="2"/>
  <c r="L38" i="2"/>
  <c r="O368" i="2"/>
  <c r="AM302" i="2"/>
  <c r="AJ196" i="2"/>
  <c r="AG368" i="2"/>
  <c r="AH434" i="2"/>
  <c r="AQ194" i="2"/>
  <c r="AM53" i="2"/>
  <c r="AM275" i="2"/>
  <c r="AD447" i="2"/>
  <c r="AM447" i="2"/>
  <c r="AJ56" i="2"/>
  <c r="AQ71" i="2"/>
  <c r="AS194" i="2"/>
  <c r="L508" i="2"/>
  <c r="J194" i="2"/>
  <c r="Q314" i="2"/>
  <c r="AO415" i="2"/>
  <c r="Y367" i="2"/>
  <c r="AH435" i="2"/>
  <c r="AC303" i="2"/>
  <c r="T368" i="2"/>
  <c r="AL342" i="2"/>
  <c r="AI359" i="2"/>
  <c r="L314" i="2"/>
  <c r="T367" i="2"/>
  <c r="M93" i="2"/>
  <c r="AO444" i="2"/>
  <c r="AQ320" i="2"/>
  <c r="AM38" i="2"/>
  <c r="AD37" i="2"/>
  <c r="Q312" i="2"/>
  <c r="T302" i="2"/>
  <c r="Q435" i="2"/>
  <c r="AO306" i="2"/>
  <c r="AJ284" i="2"/>
  <c r="AJ74" i="2"/>
  <c r="P379" i="2"/>
  <c r="AP312" i="2"/>
  <c r="AO519" i="2"/>
  <c r="AO279" i="2"/>
  <c r="AO69" i="2"/>
  <c r="Y368" i="2"/>
  <c r="T434" i="2"/>
  <c r="AF38" i="2"/>
  <c r="H303" i="2"/>
  <c r="AM435" i="2"/>
  <c r="AA258" i="2"/>
  <c r="AA262" i="2" s="1"/>
  <c r="AL217" i="2"/>
  <c r="AJ75" i="2"/>
  <c r="AJ323" i="2"/>
  <c r="AJ62" i="2"/>
  <c r="L368" i="2"/>
  <c r="L509" i="2"/>
  <c r="L511" i="2" s="1"/>
  <c r="AB478" i="2"/>
  <c r="Q367" i="2"/>
  <c r="X258" i="2"/>
  <c r="AS255" i="2"/>
  <c r="AO249" i="2"/>
  <c r="Z254" i="2"/>
  <c r="Y435" i="2"/>
  <c r="V303" i="2"/>
  <c r="W435" i="2"/>
  <c r="P446" i="2"/>
  <c r="AP314" i="2"/>
  <c r="H436" i="2"/>
  <c r="M438" i="2" s="1"/>
  <c r="AI357" i="2"/>
  <c r="AF256" i="2"/>
  <c r="P378" i="2"/>
  <c r="H369" i="2"/>
  <c r="H93" i="2"/>
  <c r="AO287" i="2"/>
  <c r="AH38" i="2"/>
  <c r="AH37" i="2"/>
  <c r="AL495" i="2"/>
  <c r="N255" i="2"/>
  <c r="R38" i="2"/>
  <c r="W13" i="2"/>
  <c r="AE36" i="2"/>
  <c r="AE126" i="2" s="1"/>
  <c r="N37" i="2"/>
  <c r="L495" i="2"/>
  <c r="AG303" i="2"/>
  <c r="T435" i="2"/>
  <c r="Q508" i="2"/>
  <c r="Q436" i="2"/>
  <c r="Y302" i="2"/>
  <c r="H367" i="2"/>
  <c r="AN194" i="2"/>
  <c r="AJ352" i="2"/>
  <c r="AJ69" i="2"/>
  <c r="R93" i="2"/>
  <c r="Y303" i="2"/>
  <c r="AJ209" i="2"/>
  <c r="AM276" i="2"/>
  <c r="AP276" i="2"/>
  <c r="AN275" i="2"/>
  <c r="I302" i="2"/>
  <c r="O255" i="2"/>
  <c r="T256" i="2"/>
  <c r="AP238" i="2"/>
  <c r="Y194" i="2"/>
  <c r="Q358" i="2"/>
  <c r="AM441" i="2"/>
  <c r="AO218" i="2"/>
  <c r="R358" i="2"/>
  <c r="B367" i="2"/>
  <c r="Q359" i="2"/>
  <c r="K192" i="2"/>
  <c r="K193" i="2" s="1"/>
  <c r="I368" i="2"/>
  <c r="T359" i="2"/>
  <c r="AL252" i="2"/>
  <c r="I358" i="2"/>
  <c r="I194" i="2"/>
  <c r="AL194" i="2"/>
  <c r="AL354" i="2"/>
  <c r="I303" i="2"/>
  <c r="Y93" i="2"/>
  <c r="AJ378" i="2"/>
  <c r="AB509" i="2"/>
  <c r="AG511" i="2" s="1"/>
  <c r="AB469" i="2"/>
  <c r="AS93" i="2"/>
  <c r="AO460" i="2"/>
  <c r="AE192" i="2"/>
  <c r="AE267" i="2" s="1"/>
  <c r="AN256" i="2"/>
  <c r="H256" i="2"/>
  <c r="AO471" i="2"/>
  <c r="AQ474" i="2"/>
  <c r="AQ342" i="2"/>
  <c r="AQ220" i="2"/>
  <c r="AC193" i="2"/>
  <c r="N90" i="2"/>
  <c r="AI194" i="2"/>
  <c r="AO355" i="2"/>
  <c r="AO518" i="2"/>
  <c r="AQ395" i="2"/>
  <c r="AG194" i="2"/>
  <c r="Z33" i="2"/>
  <c r="I193" i="2"/>
  <c r="AB199" i="2"/>
  <c r="Y255" i="2"/>
  <c r="AI369" i="2"/>
  <c r="Z357" i="2"/>
  <c r="D434" i="2"/>
  <c r="Z16" i="2"/>
  <c r="X359" i="2"/>
  <c r="AO87" i="2"/>
  <c r="AD435" i="2"/>
  <c r="AJ86" i="2"/>
  <c r="AJ354" i="2"/>
  <c r="L214" i="2"/>
  <c r="T93" i="2"/>
  <c r="AN54" i="2"/>
  <c r="AN360" i="2"/>
  <c r="AO459" i="2"/>
  <c r="AN258" i="2"/>
  <c r="AN262" i="2" s="1"/>
  <c r="AI258" i="2"/>
  <c r="AI262" i="2" s="1"/>
  <c r="Q258" i="2"/>
  <c r="Q262" i="2" s="1"/>
  <c r="L358" i="2"/>
  <c r="AH93" i="2"/>
  <c r="M256" i="2"/>
  <c r="AM255" i="2"/>
  <c r="AD303" i="2"/>
  <c r="M359" i="2"/>
  <c r="AJ459" i="2"/>
  <c r="E357" i="2"/>
  <c r="Y357" i="2"/>
  <c r="AJ252" i="2"/>
  <c r="AL474" i="2"/>
  <c r="S194" i="2"/>
  <c r="AN53" i="2"/>
  <c r="Q256" i="2"/>
  <c r="AB256" i="2"/>
  <c r="AO254" i="2"/>
  <c r="AQ65" i="2"/>
  <c r="Z91" i="2"/>
  <c r="AD92" i="2"/>
  <c r="AB194" i="2"/>
  <c r="AD194" i="2"/>
  <c r="S234" i="2"/>
  <c r="K249" i="2"/>
  <c r="P254" i="2"/>
  <c r="AQ256" i="2"/>
  <c r="I367" i="2"/>
  <c r="AD368" i="2"/>
  <c r="AO281" i="2"/>
  <c r="D357" i="2"/>
  <c r="AO253" i="2"/>
  <c r="AD302" i="2"/>
  <c r="T358" i="2"/>
  <c r="AN255" i="2"/>
  <c r="AJ491" i="2"/>
  <c r="AI303" i="2"/>
  <c r="L212" i="2"/>
  <c r="AL276" i="2"/>
  <c r="AM345" i="2"/>
  <c r="AB326" i="2"/>
  <c r="AS303" i="2"/>
  <c r="AE326" i="2"/>
  <c r="AE308" i="2"/>
  <c r="AB202" i="2"/>
  <c r="X92" i="2"/>
  <c r="AD193" i="2"/>
  <c r="AA234" i="2"/>
  <c r="V256" i="2"/>
  <c r="AD319" i="2"/>
  <c r="Y358" i="2"/>
  <c r="AP330" i="2"/>
  <c r="X357" i="2"/>
  <c r="AJ398" i="2"/>
  <c r="AJ203" i="2"/>
  <c r="AO429" i="2"/>
  <c r="I92" i="2"/>
  <c r="J434" i="2"/>
  <c r="M508" i="2"/>
  <c r="Y507" i="2"/>
  <c r="T420" i="2"/>
  <c r="T422" i="2" s="1"/>
  <c r="AO482" i="2"/>
  <c r="AQ62" i="2"/>
  <c r="AQ13" i="2"/>
  <c r="AI54" i="2"/>
  <c r="AL358" i="2"/>
  <c r="AG494" i="2"/>
  <c r="T255" i="2"/>
  <c r="Y92" i="2"/>
  <c r="U196" i="2"/>
  <c r="S256" i="2"/>
  <c r="J508" i="2"/>
  <c r="AB508" i="2"/>
  <c r="AR303" i="2"/>
  <c r="AI93" i="2"/>
  <c r="E509" i="2"/>
  <c r="E510" i="2" s="1"/>
  <c r="AG508" i="2"/>
  <c r="AB435" i="2"/>
  <c r="H509" i="2"/>
  <c r="H511" i="2" s="1"/>
  <c r="O93" i="2"/>
  <c r="AC434" i="2"/>
  <c r="AP435" i="2"/>
  <c r="AO351" i="2"/>
  <c r="B509" i="2"/>
  <c r="B513" i="2" s="1"/>
  <c r="N258" i="2"/>
  <c r="S260" i="2" s="1"/>
  <c r="AN234" i="2"/>
  <c r="AD93" i="2"/>
  <c r="AQ351" i="2"/>
  <c r="AO352" i="2"/>
  <c r="AG38" i="2"/>
  <c r="AG220" i="2"/>
  <c r="AC37" i="2"/>
  <c r="U224" i="2"/>
  <c r="W431" i="2"/>
  <c r="AI92" i="2"/>
  <c r="N194" i="2"/>
  <c r="AN92" i="2"/>
  <c r="AN93" i="2"/>
  <c r="O434" i="2"/>
  <c r="AH402" i="2"/>
  <c r="H508" i="2"/>
  <c r="AM357" i="2"/>
  <c r="S509" i="2"/>
  <c r="S513" i="2" s="1"/>
  <c r="N436" i="2"/>
  <c r="U379" i="2"/>
  <c r="P457" i="2"/>
  <c r="AM193" i="2"/>
  <c r="AS234" i="2"/>
  <c r="AG238" i="2"/>
  <c r="AH54" i="2"/>
  <c r="AJ10" i="2"/>
  <c r="AO250" i="2"/>
  <c r="Q489" i="2"/>
  <c r="AS233" i="2"/>
  <c r="AT444" i="2"/>
  <c r="AC92" i="2"/>
  <c r="M194" i="2"/>
  <c r="T53" i="2"/>
  <c r="AI494" i="2"/>
  <c r="Z225" i="2"/>
  <c r="I238" i="2"/>
  <c r="X233" i="2"/>
  <c r="AJ11" i="2"/>
  <c r="Q234" i="2"/>
  <c r="F501" i="2"/>
  <c r="AH494" i="2"/>
  <c r="U501" i="2"/>
  <c r="D360" i="2"/>
  <c r="Z472" i="2"/>
  <c r="AJ218" i="2"/>
  <c r="AQ435" i="2"/>
  <c r="AS357" i="2"/>
  <c r="AQ54" i="2"/>
  <c r="AR53" i="2"/>
  <c r="AG370" i="2"/>
  <c r="AJ393" i="2"/>
  <c r="AE342" i="2"/>
  <c r="AG276" i="2"/>
  <c r="AE225" i="2"/>
  <c r="P200" i="2"/>
  <c r="M323" i="2"/>
  <c r="W395" i="2"/>
  <c r="AO34" i="2"/>
  <c r="AJ16" i="2"/>
  <c r="AL10" i="2"/>
  <c r="Z224" i="2"/>
  <c r="AM514" i="2"/>
  <c r="AN441" i="2"/>
  <c r="AT203" i="2"/>
  <c r="AU54" i="2"/>
  <c r="AO17" i="2"/>
  <c r="AO209" i="2"/>
  <c r="AM494" i="2"/>
  <c r="AO28" i="2"/>
  <c r="AO399" i="2"/>
  <c r="AO91" i="2"/>
  <c r="L256" i="2"/>
  <c r="W256" i="2"/>
  <c r="U192" i="2"/>
  <c r="U266" i="2" s="1"/>
  <c r="AC358" i="2"/>
  <c r="AO393" i="2"/>
  <c r="AM54" i="2"/>
  <c r="Q54" i="2"/>
  <c r="X428" i="2"/>
  <c r="P199" i="2"/>
  <c r="P202" i="2"/>
  <c r="V234" i="2"/>
  <c r="F339" i="2"/>
  <c r="W471" i="2"/>
  <c r="U431" i="2"/>
  <c r="Z196" i="2"/>
  <c r="AJ33" i="2"/>
  <c r="AD511" i="2"/>
  <c r="U478" i="2"/>
  <c r="I233" i="2"/>
  <c r="U225" i="2"/>
  <c r="U197" i="2"/>
  <c r="E86" i="2"/>
  <c r="AF238" i="2"/>
  <c r="AI237" i="2"/>
  <c r="AO282" i="2"/>
  <c r="AT200" i="2"/>
  <c r="Z197" i="2"/>
  <c r="U471" i="2"/>
  <c r="AL392" i="2"/>
  <c r="AB317" i="2"/>
  <c r="H224" i="2"/>
  <c r="AI238" i="2"/>
  <c r="P218" i="2"/>
  <c r="K225" i="2"/>
  <c r="AJ34" i="2"/>
  <c r="AU420" i="2"/>
  <c r="AO327" i="2"/>
  <c r="N93" i="2"/>
  <c r="E89" i="2"/>
  <c r="I37" i="2"/>
  <c r="AE17" i="2"/>
  <c r="AE209" i="2"/>
  <c r="AI370" i="2"/>
  <c r="AO321" i="2"/>
  <c r="AE200" i="2"/>
  <c r="AG86" i="2"/>
  <c r="T37" i="2"/>
  <c r="AA238" i="2"/>
  <c r="L253" i="2"/>
  <c r="P445" i="2"/>
  <c r="Y420" i="2"/>
  <c r="T520" i="2"/>
  <c r="P421" i="2"/>
  <c r="Y363" i="2"/>
  <c r="AD365" i="2" s="1"/>
  <c r="M420" i="2"/>
  <c r="M446" i="2" s="1"/>
  <c r="AK238" i="2"/>
  <c r="AR507" i="2"/>
  <c r="AO468" i="2"/>
  <c r="AO202" i="2"/>
  <c r="AE87" i="2"/>
  <c r="S53" i="2"/>
  <c r="AF253" i="2"/>
  <c r="AQ16" i="2"/>
  <c r="AM360" i="2"/>
  <c r="AO221" i="2"/>
  <c r="AO225" i="2"/>
  <c r="AQ59" i="2"/>
  <c r="G330" i="2"/>
  <c r="O363" i="2"/>
  <c r="O365" i="2" s="1"/>
  <c r="AI37" i="2"/>
  <c r="N234" i="2"/>
  <c r="Q238" i="2"/>
  <c r="AE86" i="2"/>
  <c r="AI38" i="2"/>
  <c r="Z221" i="2"/>
  <c r="F251" i="2"/>
  <c r="H252" i="2" s="1"/>
  <c r="AB71" i="2"/>
  <c r="AG281" i="2"/>
  <c r="U74" i="2"/>
  <c r="AM233" i="2"/>
  <c r="AO340" i="2"/>
  <c r="Z63" i="2"/>
  <c r="AC53" i="2"/>
  <c r="U14" i="2"/>
  <c r="AO469" i="2"/>
  <c r="AO432" i="2"/>
  <c r="AO208" i="2"/>
  <c r="AO472" i="2"/>
  <c r="AO445" i="2"/>
  <c r="AJ428" i="2"/>
  <c r="AM495" i="2"/>
  <c r="AQ418" i="2"/>
  <c r="AO16" i="2"/>
  <c r="AQ27" i="2"/>
  <c r="I330" i="2"/>
  <c r="AK393" i="2"/>
  <c r="AB38" i="2"/>
  <c r="G256" i="2"/>
  <c r="AG196" i="2"/>
  <c r="W38" i="2"/>
  <c r="W86" i="2"/>
  <c r="Z56" i="2"/>
  <c r="AJ53" i="2"/>
  <c r="AQ238" i="2"/>
  <c r="I329" i="2"/>
  <c r="AO291" i="2"/>
  <c r="AO339" i="2"/>
  <c r="AF419" i="2"/>
  <c r="AL418" i="2"/>
  <c r="AN233" i="2"/>
  <c r="AN37" i="2"/>
  <c r="AM234" i="2"/>
  <c r="S38" i="2"/>
  <c r="AM520" i="2"/>
  <c r="AL330" i="2"/>
  <c r="V505" i="2"/>
  <c r="U502" i="2"/>
  <c r="J369" i="2"/>
  <c r="AE28" i="2"/>
  <c r="AG53" i="2"/>
  <c r="AE400" i="2"/>
  <c r="AG401" i="2" s="1"/>
  <c r="AN38" i="2"/>
  <c r="AJ22" i="2"/>
  <c r="AJ200" i="2"/>
  <c r="AS37" i="2"/>
  <c r="AO63" i="2"/>
  <c r="AO475" i="2"/>
  <c r="Z36" i="2"/>
  <c r="U36" i="2"/>
  <c r="U126" i="2" s="1"/>
  <c r="AL428" i="2"/>
  <c r="AN494" i="2"/>
  <c r="AO56" i="2"/>
  <c r="AO27" i="2"/>
  <c r="AE392" i="2"/>
  <c r="N434" i="2"/>
  <c r="O344" i="2"/>
  <c r="O346" i="2" s="1"/>
  <c r="AK495" i="2"/>
  <c r="AI53" i="2"/>
  <c r="AJ36" i="2"/>
  <c r="AJ37" i="2" s="1"/>
  <c r="AE33" i="2"/>
  <c r="O37" i="2"/>
  <c r="X37" i="2"/>
  <c r="AR38" i="2"/>
  <c r="AJ249" i="2"/>
  <c r="AO290" i="2"/>
  <c r="AF445" i="2"/>
  <c r="O520" i="2"/>
  <c r="AE418" i="2"/>
  <c r="AA38" i="2"/>
  <c r="AF393" i="2"/>
  <c r="AK429" i="2"/>
  <c r="P308" i="2"/>
  <c r="AG344" i="2"/>
  <c r="AC472" i="2"/>
  <c r="S237" i="2"/>
  <c r="U296" i="2"/>
  <c r="R508" i="2"/>
  <c r="AS361" i="2"/>
  <c r="AO491" i="2"/>
  <c r="AO492" i="2"/>
  <c r="AP54" i="2"/>
  <c r="I344" i="2"/>
  <c r="K344" i="2" s="1"/>
  <c r="K345" i="2" s="1"/>
  <c r="O330" i="2"/>
  <c r="AK520" i="2"/>
  <c r="AJ250" i="2"/>
  <c r="AF436" i="2"/>
  <c r="AF440" i="2" s="1"/>
  <c r="AE250" i="2"/>
  <c r="P225" i="2"/>
  <c r="T38" i="2"/>
  <c r="S37" i="2"/>
  <c r="AL249" i="2"/>
  <c r="W320" i="2"/>
  <c r="U494" i="2"/>
  <c r="AO57" i="2"/>
  <c r="AK419" i="2"/>
  <c r="AB342" i="2"/>
  <c r="AL369" i="2"/>
  <c r="F342" i="2"/>
  <c r="T345" i="2"/>
  <c r="Z203" i="2"/>
  <c r="J89" i="2"/>
  <c r="Z28" i="2"/>
  <c r="AQ339" i="2"/>
  <c r="AS404" i="2"/>
  <c r="U87" i="2"/>
  <c r="AG495" i="2"/>
  <c r="AB520" i="2"/>
  <c r="D420" i="2"/>
  <c r="D446" i="2" s="1"/>
  <c r="D404" i="2"/>
  <c r="R351" i="2"/>
  <c r="P351" i="2"/>
  <c r="AB290" i="2"/>
  <c r="Z290" i="2"/>
  <c r="Z281" i="2"/>
  <c r="AB281" i="2"/>
  <c r="P27" i="2"/>
  <c r="R27" i="2"/>
  <c r="AB13" i="2"/>
  <c r="Z14" i="2"/>
  <c r="Z400" i="2"/>
  <c r="Z401" i="2" s="1"/>
  <c r="AF402" i="2"/>
  <c r="AG244" i="2"/>
  <c r="AJ236" i="2"/>
  <c r="AI275" i="2"/>
  <c r="AH275" i="2"/>
  <c r="O92" i="2"/>
  <c r="U91" i="2"/>
  <c r="T92" i="2"/>
  <c r="S93" i="2"/>
  <c r="I258" i="2"/>
  <c r="I255" i="2"/>
  <c r="AD256" i="2"/>
  <c r="AD258" i="2"/>
  <c r="AD262" i="2" s="1"/>
  <c r="AI256" i="2"/>
  <c r="AJ192" i="2"/>
  <c r="AJ266" i="2" s="1"/>
  <c r="AK214" i="2"/>
  <c r="AR194" i="2"/>
  <c r="S358" i="2"/>
  <c r="N359" i="2"/>
  <c r="AH367" i="2"/>
  <c r="AI302" i="2"/>
  <c r="P321" i="2"/>
  <c r="AJ225" i="2"/>
  <c r="AE254" i="2"/>
  <c r="AE278" i="2"/>
  <c r="U355" i="2"/>
  <c r="U354" i="2"/>
  <c r="P253" i="2"/>
  <c r="K252" i="2"/>
  <c r="P249" i="2"/>
  <c r="P250" i="2"/>
  <c r="Z220" i="2"/>
  <c r="AB220" i="2"/>
  <c r="AB217" i="2"/>
  <c r="Z217" i="2"/>
  <c r="AB234" i="2"/>
  <c r="O234" i="2"/>
  <c r="O233" i="2"/>
  <c r="I234" i="2"/>
  <c r="J233" i="2"/>
  <c r="D233" i="2"/>
  <c r="W208" i="2"/>
  <c r="U209" i="2"/>
  <c r="Z209" i="2"/>
  <c r="U208" i="2"/>
  <c r="M202" i="2"/>
  <c r="K202" i="2"/>
  <c r="P203" i="2"/>
  <c r="M199" i="2"/>
  <c r="K199" i="2"/>
  <c r="Z74" i="2"/>
  <c r="Z75" i="2"/>
  <c r="AB24" i="2"/>
  <c r="Z24" i="2"/>
  <c r="Z25" i="2"/>
  <c r="R16" i="2"/>
  <c r="P16" i="2"/>
  <c r="P33" i="2"/>
  <c r="P10" i="2"/>
  <c r="AE14" i="2"/>
  <c r="AJ57" i="2"/>
  <c r="AG56" i="2"/>
  <c r="AG62" i="2"/>
  <c r="AJ63" i="2"/>
  <c r="AE63" i="2"/>
  <c r="AG68" i="2"/>
  <c r="AE68" i="2"/>
  <c r="AG74" i="2"/>
  <c r="AE74" i="2"/>
  <c r="AE75" i="2"/>
  <c r="AE202" i="2"/>
  <c r="AE203" i="2"/>
  <c r="AG224" i="2"/>
  <c r="AE224" i="2"/>
  <c r="AE221" i="2"/>
  <c r="W401" i="2"/>
  <c r="U401" i="2"/>
  <c r="U402" i="2"/>
  <c r="AH469" i="2"/>
  <c r="AC468" i="2"/>
  <c r="AD468" i="2"/>
  <c r="AC469" i="2"/>
  <c r="AI478" i="2"/>
  <c r="AD478" i="2"/>
  <c r="AK405" i="2"/>
  <c r="AK420" i="2"/>
  <c r="D510" i="2"/>
  <c r="I511" i="2"/>
  <c r="D513" i="2"/>
  <c r="Z328" i="2"/>
  <c r="X330" i="2"/>
  <c r="X329" i="2"/>
  <c r="W33" i="2"/>
  <c r="U33" i="2"/>
  <c r="W10" i="2"/>
  <c r="U11" i="2"/>
  <c r="AG323" i="2"/>
  <c r="AE323" i="2"/>
  <c r="O193" i="2"/>
  <c r="N302" i="2"/>
  <c r="AQ398" i="2"/>
  <c r="AC508" i="2"/>
  <c r="I434" i="2"/>
  <c r="G358" i="2"/>
  <c r="AJ274" i="2"/>
  <c r="AL275" i="2" s="1"/>
  <c r="AE519" i="2"/>
  <c r="R194" i="2"/>
  <c r="U284" i="2"/>
  <c r="Y329" i="2"/>
  <c r="Z13" i="2"/>
  <c r="F328" i="2"/>
  <c r="AO318" i="2"/>
  <c r="AO228" i="2"/>
  <c r="AO398" i="2"/>
  <c r="P352" i="2"/>
  <c r="Z323" i="2"/>
  <c r="AL238" i="2"/>
  <c r="X507" i="2"/>
  <c r="E507" i="2"/>
  <c r="W354" i="2"/>
  <c r="W293" i="2"/>
  <c r="S520" i="2"/>
  <c r="T494" i="2"/>
  <c r="N405" i="2"/>
  <c r="I405" i="2"/>
  <c r="S330" i="2"/>
  <c r="N330" i="2"/>
  <c r="R320" i="2"/>
  <c r="U321" i="2"/>
  <c r="W16" i="2"/>
  <c r="U17" i="2"/>
  <c r="Z17" i="2"/>
  <c r="K21" i="2"/>
  <c r="M21" i="2"/>
  <c r="K22" i="2"/>
  <c r="AG27" i="2"/>
  <c r="AE27" i="2"/>
  <c r="AJ28" i="2"/>
  <c r="AJ492" i="2"/>
  <c r="AE491" i="2"/>
  <c r="AJ505" i="2"/>
  <c r="J92" i="2"/>
  <c r="Y193" i="2"/>
  <c r="X193" i="2"/>
  <c r="AA194" i="2"/>
  <c r="Z192" i="2"/>
  <c r="AB193" i="2" s="1"/>
  <c r="AH193" i="2"/>
  <c r="K379" i="2"/>
  <c r="F378" i="2"/>
  <c r="F444" i="2"/>
  <c r="H378" i="2"/>
  <c r="AO14" i="2"/>
  <c r="U28" i="2"/>
  <c r="AJ343" i="2"/>
  <c r="AH276" i="2"/>
  <c r="AJ324" i="2"/>
  <c r="K254" i="2"/>
  <c r="U34" i="2"/>
  <c r="P91" i="2"/>
  <c r="T194" i="2"/>
  <c r="K91" i="2"/>
  <c r="K127" i="2" s="1"/>
  <c r="AO505" i="2"/>
  <c r="AO288" i="2"/>
  <c r="AL308" i="2"/>
  <c r="AE456" i="2"/>
  <c r="Y495" i="2"/>
  <c r="Z324" i="2"/>
  <c r="AE343" i="2"/>
  <c r="AH237" i="2"/>
  <c r="AJ327" i="2"/>
  <c r="AJ306" i="2"/>
  <c r="AD255" i="2"/>
  <c r="AJ14" i="2"/>
  <c r="I89" i="2"/>
  <c r="S92" i="2"/>
  <c r="O194" i="2"/>
  <c r="I404" i="2"/>
  <c r="W378" i="2"/>
  <c r="AK368" i="2"/>
  <c r="K457" i="2"/>
  <c r="AP303" i="2"/>
  <c r="AO317" i="2"/>
  <c r="AN193" i="2"/>
  <c r="Q38" i="2"/>
  <c r="L361" i="2"/>
  <c r="P36" i="2"/>
  <c r="P126" i="2" s="1"/>
  <c r="R468" i="2"/>
  <c r="P468" i="2"/>
  <c r="R482" i="2"/>
  <c r="P482" i="2"/>
  <c r="V244" i="2"/>
  <c r="AI469" i="2"/>
  <c r="AD469" i="2"/>
  <c r="AG472" i="2"/>
  <c r="AC471" i="2"/>
  <c r="AM244" i="2"/>
  <c r="AM237" i="2"/>
  <c r="K518" i="2"/>
  <c r="J404" i="2"/>
  <c r="P326" i="2"/>
  <c r="R326" i="2"/>
  <c r="J260" i="2"/>
  <c r="AC38" i="2"/>
  <c r="AL442" i="2"/>
  <c r="H435" i="2"/>
  <c r="U218" i="2"/>
  <c r="W234" i="2"/>
  <c r="N233" i="2"/>
  <c r="L234" i="2"/>
  <c r="AE69" i="2"/>
  <c r="D86" i="2"/>
  <c r="U25" i="2"/>
  <c r="AJ309" i="2"/>
  <c r="AE318" i="2"/>
  <c r="AP258" i="2"/>
  <c r="AP262" i="2" s="1"/>
  <c r="AT60" i="2"/>
  <c r="AT285" i="2"/>
  <c r="AT416" i="2"/>
  <c r="AT250" i="2"/>
  <c r="AB471" i="2"/>
  <c r="S435" i="2"/>
  <c r="Y404" i="2"/>
  <c r="T404" i="2"/>
  <c r="K328" i="2"/>
  <c r="AI276" i="2"/>
  <c r="E233" i="2"/>
  <c r="AD53" i="2"/>
  <c r="AR276" i="2"/>
  <c r="AR275" i="2"/>
  <c r="U71" i="2"/>
  <c r="Z72" i="2"/>
  <c r="R13" i="2"/>
  <c r="P13" i="2"/>
  <c r="AG24" i="2"/>
  <c r="AE24" i="2"/>
  <c r="AG287" i="2"/>
  <c r="AE287" i="2"/>
  <c r="AJ291" i="2"/>
  <c r="AG290" i="2"/>
  <c r="AE290" i="2"/>
  <c r="AE291" i="2"/>
  <c r="AJ460" i="2"/>
  <c r="AE459" i="2"/>
  <c r="AF429" i="2"/>
  <c r="AE427" i="2"/>
  <c r="AG428" i="2" s="1"/>
  <c r="AQ227" i="2"/>
  <c r="AO227" i="2"/>
  <c r="AO21" i="2"/>
  <c r="AQ217" i="2"/>
  <c r="AO217" i="2"/>
  <c r="AP38" i="2"/>
  <c r="X45" i="2"/>
  <c r="X38" i="2"/>
  <c r="T45" i="2"/>
  <c r="Y38" i="2"/>
  <c r="AK45" i="2"/>
  <c r="AK186" i="2" s="1"/>
  <c r="AK38" i="2"/>
  <c r="Q45" i="2"/>
  <c r="V38" i="2"/>
  <c r="AQ224" i="2"/>
  <c r="AO224" i="2"/>
  <c r="AQ326" i="2"/>
  <c r="AO326" i="2"/>
  <c r="AX330" i="2"/>
  <c r="AS344" i="2"/>
  <c r="N92" i="2"/>
  <c r="X93" i="2"/>
  <c r="AE91" i="2"/>
  <c r="AJ91" i="2"/>
  <c r="AJ127" i="2" s="1"/>
  <c r="AG93" i="2"/>
  <c r="AH92" i="2"/>
  <c r="AL93" i="2"/>
  <c r="AM92" i="2"/>
  <c r="F254" i="2"/>
  <c r="G258" i="2"/>
  <c r="I256" i="2"/>
  <c r="J255" i="2"/>
  <c r="N256" i="2"/>
  <c r="P192" i="2"/>
  <c r="P193" i="2" s="1"/>
  <c r="R258" i="2"/>
  <c r="S255" i="2"/>
  <c r="R256" i="2"/>
  <c r="U254" i="2"/>
  <c r="V214" i="2"/>
  <c r="V212" i="2"/>
  <c r="V194" i="2"/>
  <c r="AC194" i="2"/>
  <c r="X194" i="2"/>
  <c r="AA214" i="2"/>
  <c r="AF194" i="2"/>
  <c r="AA212" i="2"/>
  <c r="AH194" i="2"/>
  <c r="AI193" i="2"/>
  <c r="AK194" i="2"/>
  <c r="AK212" i="2"/>
  <c r="AM194" i="2"/>
  <c r="AP212" i="2"/>
  <c r="F301" i="2"/>
  <c r="L303" i="2"/>
  <c r="G303" i="2"/>
  <c r="G368" i="2"/>
  <c r="G314" i="2"/>
  <c r="G312" i="2"/>
  <c r="J370" i="2"/>
  <c r="O303" i="2"/>
  <c r="J303" i="2"/>
  <c r="J368" i="2"/>
  <c r="J367" i="2"/>
  <c r="J302" i="2"/>
  <c r="M368" i="2"/>
  <c r="M303" i="2"/>
  <c r="M367" i="2"/>
  <c r="R303" i="2"/>
  <c r="N357" i="2"/>
  <c r="N358" i="2"/>
  <c r="O357" i="2"/>
  <c r="V370" i="2"/>
  <c r="AA358" i="2"/>
  <c r="V358" i="2"/>
  <c r="V359" i="2"/>
  <c r="AA370" i="2"/>
  <c r="AA367" i="2"/>
  <c r="AA314" i="2"/>
  <c r="AA312" i="2"/>
  <c r="AA368" i="2"/>
  <c r="AE356" i="2"/>
  <c r="AE358" i="2" s="1"/>
  <c r="AC357" i="2"/>
  <c r="AC359" i="2"/>
  <c r="AH358" i="2"/>
  <c r="AD357" i="2"/>
  <c r="AH370" i="2"/>
  <c r="AM303" i="2"/>
  <c r="AH302" i="2"/>
  <c r="AH303" i="2"/>
  <c r="AH368" i="2"/>
  <c r="AK314" i="2"/>
  <c r="AK312" i="2"/>
  <c r="AK367" i="2"/>
  <c r="AN302" i="2"/>
  <c r="AN367" i="2"/>
  <c r="AN303" i="2"/>
  <c r="AQ303" i="2"/>
  <c r="G447" i="2"/>
  <c r="G436" i="2"/>
  <c r="L435" i="2"/>
  <c r="G435" i="2"/>
  <c r="I447" i="2"/>
  <c r="I436" i="2"/>
  <c r="I438" i="2" s="1"/>
  <c r="N435" i="2"/>
  <c r="I435" i="2"/>
  <c r="M447" i="2"/>
  <c r="R435" i="2"/>
  <c r="M435" i="2"/>
  <c r="U378" i="2"/>
  <c r="V447" i="2"/>
  <c r="V436" i="2"/>
  <c r="V435" i="2"/>
  <c r="X447" i="2"/>
  <c r="X436" i="2"/>
  <c r="X440" i="2" s="1"/>
  <c r="X434" i="2"/>
  <c r="X435" i="2"/>
  <c r="AC435" i="2"/>
  <c r="Y434" i="2"/>
  <c r="AE378" i="2"/>
  <c r="AE445" i="2"/>
  <c r="AG378" i="2"/>
  <c r="AJ379" i="2"/>
  <c r="AF447" i="2"/>
  <c r="AK435" i="2"/>
  <c r="D521" i="2"/>
  <c r="D507" i="2"/>
  <c r="M456" i="2"/>
  <c r="K456" i="2"/>
  <c r="K519" i="2"/>
  <c r="N507" i="2"/>
  <c r="M509" i="2"/>
  <c r="M513" i="2" s="1"/>
  <c r="R521" i="2"/>
  <c r="S507" i="2"/>
  <c r="W508" i="2"/>
  <c r="R509" i="2"/>
  <c r="R513" i="2" s="1"/>
  <c r="V521" i="2"/>
  <c r="V509" i="2"/>
  <c r="V513" i="2" s="1"/>
  <c r="V508" i="2"/>
  <c r="X508" i="2"/>
  <c r="X509" i="2"/>
  <c r="X513" i="2" s="1"/>
  <c r="AF521" i="2"/>
  <c r="AK508" i="2"/>
  <c r="AF508" i="2"/>
  <c r="AJ456" i="2"/>
  <c r="AL456" i="2"/>
  <c r="AO457" i="2"/>
  <c r="AJ520" i="2"/>
  <c r="AJ457" i="2"/>
  <c r="AJ519" i="2"/>
  <c r="W305" i="2"/>
  <c r="AB275" i="2"/>
  <c r="AE327" i="2"/>
  <c r="Y233" i="2"/>
  <c r="AB429" i="2"/>
  <c r="AG429" i="2"/>
  <c r="G420" i="2"/>
  <c r="G405" i="2"/>
  <c r="P398" i="2"/>
  <c r="R398" i="2"/>
  <c r="U399" i="2"/>
  <c r="AL30" i="2"/>
  <c r="AJ30" i="2"/>
  <c r="R30" i="2"/>
  <c r="P30" i="2"/>
  <c r="AN421" i="2"/>
  <c r="AM421" i="2"/>
  <c r="AN244" i="2"/>
  <c r="AN237" i="2"/>
  <c r="AN238" i="2"/>
  <c r="AB351" i="2"/>
  <c r="Z351" i="2"/>
  <c r="AE352" i="2"/>
  <c r="H351" i="2"/>
  <c r="F351" i="2"/>
  <c r="R317" i="2"/>
  <c r="P317" i="2"/>
  <c r="K320" i="2"/>
  <c r="M320" i="2"/>
  <c r="AB278" i="2"/>
  <c r="Z278" i="2"/>
  <c r="AB249" i="2"/>
  <c r="Z249" i="2"/>
  <c r="P209" i="2"/>
  <c r="AL404" i="2"/>
  <c r="U54" i="2"/>
  <c r="G234" i="2"/>
  <c r="Z69" i="2"/>
  <c r="AE460" i="2"/>
  <c r="U203" i="2"/>
  <c r="W71" i="2"/>
  <c r="AB68" i="2"/>
  <c r="Z200" i="2"/>
  <c r="M208" i="2"/>
  <c r="K352" i="2"/>
  <c r="S495" i="2"/>
  <c r="AE297" i="2"/>
  <c r="W323" i="2"/>
  <c r="AQ367" i="2"/>
  <c r="Q505" i="2"/>
  <c r="P503" i="2"/>
  <c r="R504" i="2" s="1"/>
  <c r="R501" i="2"/>
  <c r="P501" i="2"/>
  <c r="N495" i="2"/>
  <c r="O494" i="2"/>
  <c r="N520" i="2"/>
  <c r="U472" i="2"/>
  <c r="R471" i="2"/>
  <c r="C440" i="2"/>
  <c r="D437" i="2"/>
  <c r="AO22" i="2"/>
  <c r="AJ65" i="2"/>
  <c r="AL65" i="2"/>
  <c r="AJ199" i="2"/>
  <c r="AO200" i="2"/>
  <c r="AO294" i="2"/>
  <c r="AL504" i="2"/>
  <c r="AJ504" i="2"/>
  <c r="AQ21" i="2"/>
  <c r="K432" i="2"/>
  <c r="F403" i="2"/>
  <c r="F404" i="2" s="1"/>
  <c r="F445" i="2"/>
  <c r="U324" i="2"/>
  <c r="Z279" i="2"/>
  <c r="AM361" i="2"/>
  <c r="AS237" i="2"/>
  <c r="AC428" i="2"/>
  <c r="S428" i="2"/>
  <c r="U483" i="2"/>
  <c r="AL320" i="2"/>
  <c r="Y428" i="2"/>
  <c r="AJ356" i="2"/>
  <c r="AL357" i="2" s="1"/>
  <c r="AJ301" i="2"/>
  <c r="AL302" i="2" s="1"/>
  <c r="AC275" i="2"/>
  <c r="AS510" i="2"/>
  <c r="AS276" i="2"/>
  <c r="AT209" i="2"/>
  <c r="AI441" i="2"/>
  <c r="AR511" i="2"/>
  <c r="AS363" i="2"/>
  <c r="AX365" i="2" s="1"/>
  <c r="AR513" i="2"/>
  <c r="AR54" i="2"/>
  <c r="AQ202" i="2"/>
  <c r="AU276" i="2"/>
  <c r="AT221" i="2"/>
  <c r="AT378" i="2"/>
  <c r="AU38" i="2"/>
  <c r="AT69" i="2"/>
  <c r="AT472" i="2"/>
  <c r="K505" i="2"/>
  <c r="M504" i="2"/>
  <c r="C520" i="2"/>
  <c r="D494" i="2"/>
  <c r="R477" i="2"/>
  <c r="P477" i="2"/>
  <c r="K474" i="2"/>
  <c r="M474" i="2"/>
  <c r="Z468" i="2"/>
  <c r="AB468" i="2"/>
  <c r="H482" i="2"/>
  <c r="F518" i="2"/>
  <c r="F482" i="2"/>
  <c r="K471" i="2"/>
  <c r="M471" i="2"/>
  <c r="Y440" i="2"/>
  <c r="AB420" i="2"/>
  <c r="AC421" i="2" s="1"/>
  <c r="AG405" i="2"/>
  <c r="P401" i="2"/>
  <c r="R401" i="2"/>
  <c r="AB418" i="2"/>
  <c r="AE419" i="2"/>
  <c r="P444" i="2"/>
  <c r="P415" i="2"/>
  <c r="U416" i="2"/>
  <c r="R415" i="2"/>
  <c r="AE395" i="2"/>
  <c r="K395" i="2"/>
  <c r="AB363" i="2"/>
  <c r="S360" i="2"/>
  <c r="R363" i="2"/>
  <c r="S364" i="2" s="1"/>
  <c r="W361" i="2"/>
  <c r="AF346" i="2"/>
  <c r="S369" i="2"/>
  <c r="S345" i="2"/>
  <c r="AC329" i="2"/>
  <c r="U327" i="2"/>
  <c r="Z327" i="2"/>
  <c r="S262" i="2"/>
  <c r="V253" i="2"/>
  <c r="Q253" i="2"/>
  <c r="U248" i="2"/>
  <c r="W250" i="2"/>
  <c r="AC238" i="2"/>
  <c r="AC237" i="2"/>
  <c r="X238" i="2"/>
  <c r="Y237" i="2"/>
  <c r="S244" i="2"/>
  <c r="U236" i="2"/>
  <c r="S238" i="2"/>
  <c r="N244" i="2"/>
  <c r="N237" i="2"/>
  <c r="N238" i="2"/>
  <c r="I244" i="2"/>
  <c r="I237" i="2"/>
  <c r="F236" i="2"/>
  <c r="D237" i="2"/>
  <c r="K227" i="2"/>
  <c r="P228" i="2"/>
  <c r="P221" i="2"/>
  <c r="M220" i="2"/>
  <c r="K218" i="2"/>
  <c r="K217" i="2"/>
  <c r="M217" i="2"/>
  <c r="AL471" i="2"/>
  <c r="AG415" i="2"/>
  <c r="AE444" i="2"/>
  <c r="AE415" i="2"/>
  <c r="AH446" i="2"/>
  <c r="AH421" i="2"/>
  <c r="AH422" i="2"/>
  <c r="M395" i="2"/>
  <c r="AN422" i="2"/>
  <c r="AI421" i="2"/>
  <c r="AI446" i="2"/>
  <c r="E446" i="2"/>
  <c r="L363" i="2"/>
  <c r="AS495" i="2"/>
  <c r="AQ482" i="2"/>
  <c r="AS436" i="2"/>
  <c r="AX438" i="2" s="1"/>
  <c r="AT10" i="2"/>
  <c r="AT301" i="2"/>
  <c r="AT368" i="2" s="1"/>
  <c r="AC370" i="2"/>
  <c r="AT379" i="2"/>
  <c r="Z232" i="2"/>
  <c r="AC234" i="2"/>
  <c r="H346" i="2"/>
  <c r="AE324" i="2"/>
  <c r="P309" i="2"/>
  <c r="AE467" i="2"/>
  <c r="AG468" i="2" s="1"/>
  <c r="AP429" i="2"/>
  <c r="AC477" i="2"/>
  <c r="AE470" i="2"/>
  <c r="AJ472" i="2" s="1"/>
  <c r="AQ368" i="2"/>
  <c r="AR37" i="2"/>
  <c r="AP256" i="2"/>
  <c r="K356" i="2"/>
  <c r="AB361" i="2"/>
  <c r="E237" i="2"/>
  <c r="AF54" i="2"/>
  <c r="Z87" i="2"/>
  <c r="AE25" i="2"/>
  <c r="AE282" i="2"/>
  <c r="AF90" i="2"/>
  <c r="AQ508" i="2"/>
  <c r="AR329" i="2"/>
  <c r="Z31" i="2"/>
  <c r="AT445" i="2"/>
  <c r="K326" i="2"/>
  <c r="H520" i="2"/>
  <c r="H495" i="2"/>
  <c r="K459" i="2"/>
  <c r="P460" i="2"/>
  <c r="M459" i="2"/>
  <c r="P327" i="2"/>
  <c r="W369" i="2"/>
  <c r="P86" i="2"/>
  <c r="R86" i="2"/>
  <c r="V344" i="2"/>
  <c r="U344" i="2" s="1"/>
  <c r="U328" i="2"/>
  <c r="AA330" i="2"/>
  <c r="U317" i="2"/>
  <c r="Z318" i="2"/>
  <c r="U342" i="2"/>
  <c r="Z343" i="2"/>
  <c r="W342" i="2"/>
  <c r="B244" i="2"/>
  <c r="R224" i="2"/>
  <c r="P224" i="2"/>
  <c r="P208" i="2"/>
  <c r="R208" i="2"/>
  <c r="R196" i="2"/>
  <c r="P196" i="2"/>
  <c r="U62" i="2"/>
  <c r="W62" i="2"/>
  <c r="U477" i="2"/>
  <c r="W477" i="2"/>
  <c r="P474" i="2"/>
  <c r="P475" i="2"/>
  <c r="K468" i="2"/>
  <c r="P469" i="2"/>
  <c r="M468" i="2"/>
  <c r="F519" i="2"/>
  <c r="K492" i="2"/>
  <c r="P483" i="2"/>
  <c r="M482" i="2"/>
  <c r="K483" i="2"/>
  <c r="P471" i="2"/>
  <c r="P472" i="2"/>
  <c r="M431" i="2"/>
  <c r="P432" i="2"/>
  <c r="N446" i="2"/>
  <c r="O421" i="2"/>
  <c r="AH405" i="2"/>
  <c r="AC404" i="2"/>
  <c r="AC405" i="2"/>
  <c r="X405" i="2"/>
  <c r="X420" i="2"/>
  <c r="X446" i="2" s="1"/>
  <c r="S420" i="2"/>
  <c r="S404" i="2"/>
  <c r="S405" i="2"/>
  <c r="M392" i="2"/>
  <c r="K392" i="2"/>
  <c r="U415" i="2"/>
  <c r="U444" i="2"/>
  <c r="N38" i="2"/>
  <c r="I38" i="2"/>
  <c r="D37" i="2"/>
  <c r="Z27" i="2"/>
  <c r="AB27" i="2"/>
  <c r="AF244" i="2"/>
  <c r="Q429" i="2"/>
  <c r="U318" i="2"/>
  <c r="U221" i="2"/>
  <c r="F232" i="2"/>
  <c r="L87" i="2"/>
  <c r="F85" i="2"/>
  <c r="AE60" i="2"/>
  <c r="AE72" i="2"/>
  <c r="AS38" i="2"/>
  <c r="AS238" i="2"/>
  <c r="AK436" i="2"/>
  <c r="AF509" i="2"/>
  <c r="AR357" i="2"/>
  <c r="AR92" i="2"/>
  <c r="AR368" i="2"/>
  <c r="AR367" i="2"/>
  <c r="AP436" i="2"/>
  <c r="AO436" i="2" s="1"/>
  <c r="AO437" i="2" s="1"/>
  <c r="AT460" i="2"/>
  <c r="AT478" i="2"/>
  <c r="AT419" i="2"/>
  <c r="AT63" i="2"/>
  <c r="AV370" i="2"/>
  <c r="AL202" i="2"/>
  <c r="AL21" i="2"/>
  <c r="AJ90" i="2"/>
  <c r="AL326" i="2"/>
  <c r="AG395" i="2"/>
  <c r="AD472" i="2"/>
  <c r="L330" i="2"/>
  <c r="P343" i="2"/>
  <c r="K232" i="2"/>
  <c r="AR404" i="2"/>
  <c r="AR369" i="2"/>
  <c r="AR358" i="2"/>
  <c r="AR405" i="2"/>
  <c r="Z30" i="2"/>
  <c r="AS329" i="2"/>
  <c r="AR346" i="2"/>
  <c r="AQ509" i="2"/>
  <c r="AT518" i="2"/>
  <c r="AT471" i="2"/>
  <c r="AU495" i="2"/>
  <c r="E91" i="2"/>
  <c r="H521" i="2"/>
  <c r="AV367" i="2"/>
  <c r="AO90" i="2"/>
  <c r="AL281" i="2"/>
  <c r="AL89" i="2"/>
  <c r="AJ21" i="2"/>
  <c r="AJ287" i="2"/>
  <c r="AC319" i="2"/>
  <c r="AC321" i="2" s="1"/>
  <c r="AN276" i="2"/>
  <c r="AQ38" i="2"/>
  <c r="AQ208" i="2"/>
  <c r="AQ459" i="2"/>
  <c r="AR302" i="2"/>
  <c r="AQ359" i="2"/>
  <c r="AS275" i="2"/>
  <c r="AR359" i="2"/>
  <c r="AS520" i="2"/>
  <c r="F30" i="2"/>
  <c r="AQ332" i="2"/>
  <c r="AS54" i="2"/>
  <c r="AU435" i="2"/>
  <c r="AU405" i="2"/>
  <c r="AT197" i="2"/>
  <c r="B91" i="2"/>
  <c r="G192" i="2"/>
  <c r="G266" i="2" s="1"/>
  <c r="AD513" i="2"/>
  <c r="AI515" i="2" s="1"/>
  <c r="AI511" i="2"/>
  <c r="F504" i="2"/>
  <c r="H504" i="2"/>
  <c r="AE502" i="2"/>
  <c r="AB501" i="2"/>
  <c r="M501" i="2"/>
  <c r="K501" i="2"/>
  <c r="P502" i="2"/>
  <c r="R520" i="2"/>
  <c r="R495" i="2"/>
  <c r="S494" i="2"/>
  <c r="M495" i="2"/>
  <c r="P493" i="2"/>
  <c r="P520" i="2" s="1"/>
  <c r="N494" i="2"/>
  <c r="L405" i="2"/>
  <c r="L420" i="2"/>
  <c r="L446" i="2" s="1"/>
  <c r="AF446" i="2"/>
  <c r="AF422" i="2"/>
  <c r="W420" i="2"/>
  <c r="AB405" i="2"/>
  <c r="T244" i="2"/>
  <c r="T238" i="2"/>
  <c r="T237" i="2"/>
  <c r="O244" i="2"/>
  <c r="P236" i="2"/>
  <c r="O237" i="2"/>
  <c r="R227" i="2"/>
  <c r="U228" i="2"/>
  <c r="P227" i="2"/>
  <c r="P217" i="2"/>
  <c r="R217" i="2"/>
  <c r="S233" i="2"/>
  <c r="U232" i="2"/>
  <c r="R234" i="2"/>
  <c r="P232" i="2"/>
  <c r="M234" i="2"/>
  <c r="M224" i="2"/>
  <c r="K224" i="2"/>
  <c r="P197" i="2"/>
  <c r="M196" i="2"/>
  <c r="U199" i="2"/>
  <c r="U200" i="2"/>
  <c r="Z60" i="2"/>
  <c r="W59" i="2"/>
  <c r="M38" i="2"/>
  <c r="H38" i="2"/>
  <c r="K36" i="2"/>
  <c r="K126" i="2" s="1"/>
  <c r="K13" i="2"/>
  <c r="M13" i="2"/>
  <c r="P14" i="2"/>
  <c r="AB33" i="2"/>
  <c r="Z34" i="2"/>
  <c r="P21" i="2"/>
  <c r="P22" i="2"/>
  <c r="Z11" i="2"/>
  <c r="AB10" i="2"/>
  <c r="AE10" i="2"/>
  <c r="AE11" i="2"/>
  <c r="AE34" i="2"/>
  <c r="AG33" i="2"/>
  <c r="AJ17" i="2"/>
  <c r="AE16" i="2"/>
  <c r="AJ197" i="2"/>
  <c r="AE197" i="2"/>
  <c r="AE208" i="2"/>
  <c r="AG208" i="2"/>
  <c r="AE218" i="2"/>
  <c r="AG217" i="2"/>
  <c r="M440" i="2"/>
  <c r="U459" i="2"/>
  <c r="W459" i="2"/>
  <c r="AI429" i="2"/>
  <c r="AD428" i="2"/>
  <c r="T428" i="2"/>
  <c r="T429" i="2"/>
  <c r="N429" i="2"/>
  <c r="N428" i="2"/>
  <c r="S429" i="2"/>
  <c r="F428" i="2"/>
  <c r="H428" i="2"/>
  <c r="AF405" i="2"/>
  <c r="Z403" i="2"/>
  <c r="AB404" i="2" s="1"/>
  <c r="M401" i="2"/>
  <c r="P402" i="2"/>
  <c r="K401" i="2"/>
  <c r="AB398" i="2"/>
  <c r="Z398" i="2"/>
  <c r="W418" i="2"/>
  <c r="U445" i="2"/>
  <c r="U418" i="2"/>
  <c r="K415" i="2"/>
  <c r="M415" i="2"/>
  <c r="AA363" i="2"/>
  <c r="AF365" i="2" s="1"/>
  <c r="AF361" i="2"/>
  <c r="C363" i="2"/>
  <c r="H365" i="2" s="1"/>
  <c r="H361" i="2"/>
  <c r="P355" i="2"/>
  <c r="K354" i="2"/>
  <c r="U351" i="2"/>
  <c r="U352" i="2"/>
  <c r="D345" i="2"/>
  <c r="D369" i="2"/>
  <c r="AG330" i="2"/>
  <c r="AB330" i="2"/>
  <c r="AE328" i="2"/>
  <c r="P323" i="2"/>
  <c r="P324" i="2"/>
  <c r="R323" i="2"/>
  <c r="K317" i="2"/>
  <c r="P318" i="2"/>
  <c r="K339" i="2"/>
  <c r="K340" i="2"/>
  <c r="Z320" i="2"/>
  <c r="Z321" i="2"/>
  <c r="W308" i="2"/>
  <c r="U309" i="2"/>
  <c r="U308" i="2"/>
  <c r="R305" i="2"/>
  <c r="P305" i="2"/>
  <c r="P306" i="2"/>
  <c r="U306" i="2"/>
  <c r="Z291" i="2"/>
  <c r="W290" i="2"/>
  <c r="W281" i="2"/>
  <c r="Z282" i="2"/>
  <c r="R250" i="2"/>
  <c r="S249" i="2"/>
  <c r="R249" i="2"/>
  <c r="AC244" i="2"/>
  <c r="AH238" i="2"/>
  <c r="AE236" i="2"/>
  <c r="X244" i="2"/>
  <c r="X237" i="2"/>
  <c r="W504" i="2"/>
  <c r="U392" i="2"/>
  <c r="X404" i="2"/>
  <c r="W202" i="2"/>
  <c r="W351" i="2"/>
  <c r="U290" i="2"/>
  <c r="AJ518" i="2"/>
  <c r="AJ482" i="2"/>
  <c r="I494" i="2"/>
  <c r="K493" i="2"/>
  <c r="K494" i="2" s="1"/>
  <c r="J494" i="2"/>
  <c r="AI488" i="2"/>
  <c r="W30" i="2"/>
  <c r="AS405" i="2"/>
  <c r="AT228" i="2"/>
  <c r="B45" i="2"/>
  <c r="B186" i="2" s="1"/>
  <c r="AG260" i="2"/>
  <c r="AA402" i="2"/>
  <c r="AL199" i="2"/>
  <c r="AJ13" i="2"/>
  <c r="AE475" i="2"/>
  <c r="AO72" i="2"/>
  <c r="AG264" i="2"/>
  <c r="AK276" i="2"/>
  <c r="AJ220" i="2"/>
  <c r="AJ72" i="2"/>
  <c r="AJ282" i="2"/>
  <c r="AL227" i="2"/>
  <c r="AJ475" i="2"/>
  <c r="AJ288" i="2"/>
  <c r="AJ281" i="2"/>
  <c r="K502" i="2"/>
  <c r="I495" i="2"/>
  <c r="AS420" i="2"/>
  <c r="AS423" i="2" s="1"/>
  <c r="AT11" i="2"/>
  <c r="B370" i="2"/>
  <c r="F356" i="2"/>
  <c r="AL224" i="2"/>
  <c r="AO66" i="2"/>
  <c r="AK432" i="2"/>
  <c r="AJ221" i="2"/>
  <c r="AL317" i="2"/>
  <c r="AJ66" i="2"/>
  <c r="AJ59" i="2"/>
  <c r="AE474" i="2"/>
  <c r="AO60" i="2"/>
  <c r="AJ71" i="2"/>
  <c r="Z309" i="2"/>
  <c r="AD237" i="2"/>
  <c r="AQ276" i="2"/>
  <c r="AT288" i="2"/>
  <c r="AT17" i="2"/>
  <c r="AJ339" i="2"/>
  <c r="AL339" i="2"/>
  <c r="AL482" i="2"/>
  <c r="AO483" i="2"/>
  <c r="AB482" i="2"/>
  <c r="Z518" i="2"/>
  <c r="Z471" i="2"/>
  <c r="AB431" i="2"/>
  <c r="AE432" i="2"/>
  <c r="Z427" i="2"/>
  <c r="AB428" i="2" s="1"/>
  <c r="Y429" i="2"/>
  <c r="Z395" i="2"/>
  <c r="AE396" i="2"/>
  <c r="Z396" i="2"/>
  <c r="R24" i="2"/>
  <c r="P24" i="2"/>
  <c r="AG59" i="2"/>
  <c r="AE59" i="2"/>
  <c r="AJ60" i="2"/>
  <c r="AG65" i="2"/>
  <c r="AE66" i="2"/>
  <c r="AE71" i="2"/>
  <c r="AG71" i="2"/>
  <c r="R459" i="2"/>
  <c r="U460" i="2"/>
  <c r="U475" i="2"/>
  <c r="W474" i="2"/>
  <c r="U474" i="2"/>
  <c r="M491" i="2"/>
  <c r="K491" i="2"/>
  <c r="AI405" i="2"/>
  <c r="AE403" i="2"/>
  <c r="AJ405" i="2" s="1"/>
  <c r="AD404" i="2"/>
  <c r="AD420" i="2"/>
  <c r="AD421" i="2" s="1"/>
  <c r="AD405" i="2"/>
  <c r="V420" i="2"/>
  <c r="AA422" i="2" s="1"/>
  <c r="U403" i="2"/>
  <c r="Q420" i="2"/>
  <c r="Q446" i="2" s="1"/>
  <c r="P403" i="2"/>
  <c r="Q405" i="2"/>
  <c r="J405" i="2"/>
  <c r="O405" i="2"/>
  <c r="J420" i="2"/>
  <c r="J422" i="2" s="1"/>
  <c r="U398" i="2"/>
  <c r="Z399" i="2"/>
  <c r="R392" i="2"/>
  <c r="P393" i="2"/>
  <c r="U419" i="2"/>
  <c r="P419" i="2"/>
  <c r="P418" i="2"/>
  <c r="AE416" i="2"/>
  <c r="AB415" i="2"/>
  <c r="F415" i="2"/>
  <c r="K416" i="2"/>
  <c r="AB208" i="2"/>
  <c r="Z208" i="2"/>
  <c r="W68" i="2"/>
  <c r="U68" i="2"/>
  <c r="Z65" i="2"/>
  <c r="AB65" i="2"/>
  <c r="Z66" i="2"/>
  <c r="Z57" i="2"/>
  <c r="W56" i="2"/>
  <c r="O90" i="2"/>
  <c r="J90" i="2"/>
  <c r="J86" i="2"/>
  <c r="N87" i="2"/>
  <c r="I87" i="2"/>
  <c r="Z352" i="2"/>
  <c r="M308" i="2"/>
  <c r="K308" i="2"/>
  <c r="AB305" i="2"/>
  <c r="Z305" i="2"/>
  <c r="AD275" i="2"/>
  <c r="AC276" i="2"/>
  <c r="R244" i="2"/>
  <c r="R238" i="2"/>
  <c r="M244" i="2"/>
  <c r="M238" i="2"/>
  <c r="H244" i="2"/>
  <c r="H238" i="2"/>
  <c r="AB227" i="2"/>
  <c r="Z227" i="2"/>
  <c r="AJ395" i="2"/>
  <c r="AL395" i="2"/>
  <c r="AJ396" i="2"/>
  <c r="AO396" i="2"/>
  <c r="AE494" i="2"/>
  <c r="AD494" i="2"/>
  <c r="H429" i="2"/>
  <c r="K427" i="2"/>
  <c r="M428" i="2" s="1"/>
  <c r="T369" i="2"/>
  <c r="Y346" i="2"/>
  <c r="E369" i="2"/>
  <c r="J346" i="2"/>
  <c r="E345" i="2"/>
  <c r="AC330" i="2"/>
  <c r="AD329" i="2"/>
  <c r="M330" i="2"/>
  <c r="M344" i="2"/>
  <c r="M369" i="2" s="1"/>
  <c r="N329" i="2"/>
  <c r="P339" i="2"/>
  <c r="P340" i="2"/>
  <c r="AG317" i="2"/>
  <c r="AE317" i="2"/>
  <c r="AJ318" i="2"/>
  <c r="AE505" i="2"/>
  <c r="AE504" i="2"/>
  <c r="AG504" i="2"/>
  <c r="AD402" i="2"/>
  <c r="AD401" i="2"/>
  <c r="AI402" i="2"/>
  <c r="AA489" i="2"/>
  <c r="G489" i="2"/>
  <c r="U31" i="2"/>
  <c r="AT193" i="2"/>
  <c r="AV27" i="2"/>
  <c r="AY28" i="2"/>
  <c r="AV227" i="2"/>
  <c r="AY228" i="2"/>
  <c r="AV308" i="2"/>
  <c r="AY309" i="2"/>
  <c r="AV323" i="2"/>
  <c r="AY324" i="2"/>
  <c r="AT339" i="2"/>
  <c r="AY340" i="2"/>
  <c r="AV351" i="2"/>
  <c r="AY352" i="2"/>
  <c r="AV395" i="2"/>
  <c r="AY396" i="2"/>
  <c r="AV428" i="2"/>
  <c r="AY429" i="2"/>
  <c r="AV482" i="2"/>
  <c r="AY483" i="2"/>
  <c r="AV488" i="2"/>
  <c r="AY489" i="2"/>
  <c r="AW302" i="2"/>
  <c r="AY301" i="2"/>
  <c r="AY434" i="2"/>
  <c r="AY447" i="2"/>
  <c r="AO419" i="2"/>
  <c r="AJ431" i="2"/>
  <c r="AJ445" i="2"/>
  <c r="AU214" i="2"/>
  <c r="AV13" i="2"/>
  <c r="AY14" i="2"/>
  <c r="AV24" i="2"/>
  <c r="AY25" i="2"/>
  <c r="AT24" i="2"/>
  <c r="AV33" i="2"/>
  <c r="AY34" i="2"/>
  <c r="AV59" i="2"/>
  <c r="AY60" i="2"/>
  <c r="AV71" i="2"/>
  <c r="AY72" i="2"/>
  <c r="AV196" i="2"/>
  <c r="AY197" i="2"/>
  <c r="AV208" i="2"/>
  <c r="AY209" i="2"/>
  <c r="AV220" i="2"/>
  <c r="AY221" i="2"/>
  <c r="AU244" i="2"/>
  <c r="AV281" i="2"/>
  <c r="AY282" i="2"/>
  <c r="AV287" i="2"/>
  <c r="AY288" i="2"/>
  <c r="AV392" i="2"/>
  <c r="AY393" i="2"/>
  <c r="AV418" i="2"/>
  <c r="AY419" i="2"/>
  <c r="AV456" i="2"/>
  <c r="AY457" i="2"/>
  <c r="AV471" i="2"/>
  <c r="AY472" i="2"/>
  <c r="AV477" i="2"/>
  <c r="AY478" i="2"/>
  <c r="AV459" i="2"/>
  <c r="AY460" i="2"/>
  <c r="N370" i="2"/>
  <c r="T370" i="2"/>
  <c r="AP370" i="2"/>
  <c r="AT457" i="2"/>
  <c r="AY53" i="2"/>
  <c r="AY193" i="2"/>
  <c r="AV440" i="2"/>
  <c r="AY436" i="2"/>
  <c r="AW421" i="2"/>
  <c r="AY420" i="2"/>
  <c r="AY404" i="2"/>
  <c r="AJ419" i="2"/>
  <c r="AL431" i="2"/>
  <c r="AV86" i="2"/>
  <c r="AY87" i="2"/>
  <c r="AV332" i="2"/>
  <c r="AY333" i="2"/>
  <c r="AV378" i="2"/>
  <c r="AY379" i="2"/>
  <c r="AU258" i="2"/>
  <c r="AU436" i="2"/>
  <c r="AY98" i="2"/>
  <c r="AY259" i="2"/>
  <c r="AY507" i="2"/>
  <c r="AY521" i="2"/>
  <c r="AH441" i="2"/>
  <c r="Z475" i="2"/>
  <c r="AU212" i="2"/>
  <c r="AV10" i="2"/>
  <c r="AY11" i="2"/>
  <c r="AV16" i="2"/>
  <c r="AY17" i="2"/>
  <c r="AV30" i="2"/>
  <c r="AY31" i="2"/>
  <c r="AV62" i="2"/>
  <c r="AY63" i="2"/>
  <c r="AV68" i="2"/>
  <c r="AY69" i="2"/>
  <c r="AV199" i="2"/>
  <c r="AY200" i="2"/>
  <c r="AV202" i="2"/>
  <c r="AY203" i="2"/>
  <c r="AV249" i="2"/>
  <c r="AY250" i="2"/>
  <c r="AV284" i="2"/>
  <c r="AY285" i="2"/>
  <c r="AV290" i="2"/>
  <c r="AY291" i="2"/>
  <c r="AU312" i="2"/>
  <c r="AV317" i="2"/>
  <c r="AY318" i="2"/>
  <c r="AV326" i="2"/>
  <c r="AY327" i="2"/>
  <c r="AV415" i="2"/>
  <c r="AY416" i="2"/>
  <c r="AT482" i="2"/>
  <c r="AU520" i="2"/>
  <c r="AT488" i="2"/>
  <c r="X370" i="2"/>
  <c r="AL370" i="2"/>
  <c r="AO356" i="2"/>
  <c r="AU344" i="2"/>
  <c r="AU347" i="2" s="1"/>
  <c r="AU509" i="2"/>
  <c r="AV513" i="2"/>
  <c r="AY509" i="2"/>
  <c r="G495" i="2"/>
  <c r="U427" i="2"/>
  <c r="AO203" i="2"/>
  <c r="AO309" i="2"/>
  <c r="AR93" i="2"/>
  <c r="AP405" i="2"/>
  <c r="AQ234" i="2"/>
  <c r="AR233" i="2"/>
  <c r="AQ258" i="2"/>
  <c r="AR259" i="2" s="1"/>
  <c r="AS494" i="2"/>
  <c r="AS92" i="2"/>
  <c r="AO407" i="2"/>
  <c r="AT14" i="2"/>
  <c r="AT36" i="2"/>
  <c r="AT126" i="2" s="1"/>
  <c r="AU368" i="2"/>
  <c r="AT317" i="2"/>
  <c r="AS45" i="2"/>
  <c r="AX47" i="2" s="1"/>
  <c r="AT62" i="2"/>
  <c r="D91" i="2"/>
  <c r="O370" i="2"/>
  <c r="U433" i="2"/>
  <c r="AE433" i="2"/>
  <c r="AU521" i="2"/>
  <c r="E404" i="2"/>
  <c r="U393" i="2"/>
  <c r="O329" i="2"/>
  <c r="Z228" i="2"/>
  <c r="AG54" i="2"/>
  <c r="AK54" i="2"/>
  <c r="AQ196" i="2"/>
  <c r="AQ477" i="2"/>
  <c r="AR255" i="2"/>
  <c r="P31" i="2"/>
  <c r="AS258" i="2"/>
  <c r="AS259" i="2" s="1"/>
  <c r="AP420" i="2"/>
  <c r="AQ344" i="2"/>
  <c r="AQ347" i="2" s="1"/>
  <c r="AT72" i="2"/>
  <c r="AT351" i="2"/>
  <c r="AU367" i="2"/>
  <c r="AT291" i="2"/>
  <c r="AT91" i="2"/>
  <c r="AT199" i="2"/>
  <c r="AT208" i="2"/>
  <c r="AT284" i="2"/>
  <c r="AT294" i="2"/>
  <c r="I370" i="2"/>
  <c r="U396" i="2"/>
  <c r="G38" i="2"/>
  <c r="AP93" i="2"/>
  <c r="AQ93" i="2"/>
  <c r="AR495" i="2"/>
  <c r="AS256" i="2"/>
  <c r="AR494" i="2"/>
  <c r="AQ330" i="2"/>
  <c r="AR520" i="2"/>
  <c r="AS302" i="2"/>
  <c r="AO408" i="2"/>
  <c r="AO403" i="2"/>
  <c r="AQ404" i="2" s="1"/>
  <c r="AT282" i="2"/>
  <c r="AT506" i="2"/>
  <c r="AT507" i="2" s="1"/>
  <c r="AT87" i="2"/>
  <c r="AU303" i="2"/>
  <c r="AU314" i="2"/>
  <c r="AT326" i="2"/>
  <c r="AU45" i="2"/>
  <c r="AT333" i="2"/>
  <c r="AT13" i="2"/>
  <c r="AT27" i="2"/>
  <c r="AT86" i="2"/>
  <c r="AU93" i="2"/>
  <c r="AT202" i="2"/>
  <c r="AT254" i="2"/>
  <c r="AT269" i="2" s="1"/>
  <c r="AT290" i="2"/>
  <c r="AT332" i="2"/>
  <c r="AT328" i="2"/>
  <c r="Q370" i="2"/>
  <c r="U301" i="2"/>
  <c r="AJ415" i="2"/>
  <c r="AJ416" i="2"/>
  <c r="AE482" i="2"/>
  <c r="AJ483" i="2"/>
  <c r="AK346" i="2"/>
  <c r="AF370" i="2"/>
  <c r="AE301" i="2"/>
  <c r="AF314" i="2"/>
  <c r="AK303" i="2"/>
  <c r="AF369" i="2"/>
  <c r="AF319" i="2"/>
  <c r="AF303" i="2"/>
  <c r="AF312" i="2"/>
  <c r="AK370" i="2"/>
  <c r="AK359" i="2"/>
  <c r="AK358" i="2"/>
  <c r="AP358" i="2"/>
  <c r="E436" i="2"/>
  <c r="E434" i="2"/>
  <c r="AI447" i="2"/>
  <c r="AI435" i="2"/>
  <c r="AI434" i="2"/>
  <c r="AN435" i="2"/>
  <c r="AN434" i="2"/>
  <c r="AS435" i="2"/>
  <c r="AE457" i="2"/>
  <c r="AA521" i="2"/>
  <c r="AA509" i="2"/>
  <c r="AA446" i="2"/>
  <c r="AC440" i="2"/>
  <c r="AH438" i="2"/>
  <c r="AN515" i="2"/>
  <c r="AN514" i="2"/>
  <c r="AG482" i="2"/>
  <c r="AK369" i="2"/>
  <c r="AE483" i="2"/>
  <c r="AJ444" i="2"/>
  <c r="AO416" i="2"/>
  <c r="J435" i="2"/>
  <c r="AN442" i="2"/>
  <c r="AE518" i="2"/>
  <c r="M477" i="2"/>
  <c r="K477" i="2"/>
  <c r="P478" i="2"/>
  <c r="U468" i="2"/>
  <c r="U469" i="2"/>
  <c r="Z469" i="2"/>
  <c r="R491" i="2"/>
  <c r="P519" i="2"/>
  <c r="P492" i="2"/>
  <c r="M429" i="2"/>
  <c r="R429" i="2"/>
  <c r="H420" i="2"/>
  <c r="K403" i="2"/>
  <c r="P399" i="2"/>
  <c r="K398" i="2"/>
  <c r="Z393" i="2"/>
  <c r="Z392" i="2"/>
  <c r="AE393" i="2"/>
  <c r="B363" i="2"/>
  <c r="G361" i="2"/>
  <c r="AF355" i="2"/>
  <c r="Z353" i="2"/>
  <c r="L355" i="2"/>
  <c r="G355" i="2"/>
  <c r="R342" i="2"/>
  <c r="U343" i="2"/>
  <c r="U339" i="2"/>
  <c r="Z340" i="2"/>
  <c r="U340" i="2"/>
  <c r="K305" i="2"/>
  <c r="M305" i="2"/>
  <c r="Z297" i="2"/>
  <c r="Z296" i="2"/>
  <c r="U278" i="2"/>
  <c r="W278" i="2"/>
  <c r="AB287" i="2"/>
  <c r="AE288" i="2"/>
  <c r="R220" i="2"/>
  <c r="P220" i="2"/>
  <c r="W217" i="2"/>
  <c r="Z218" i="2"/>
  <c r="Y54" i="2"/>
  <c r="AD54" i="2"/>
  <c r="W89" i="2"/>
  <c r="U89" i="2"/>
  <c r="Z90" i="2"/>
  <c r="M90" i="2"/>
  <c r="K88" i="2"/>
  <c r="D89" i="2"/>
  <c r="F88" i="2"/>
  <c r="H87" i="2"/>
  <c r="K85" i="2"/>
  <c r="I86" i="2"/>
  <c r="J38" i="2"/>
  <c r="O38" i="2"/>
  <c r="J37" i="2"/>
  <c r="F36" i="2"/>
  <c r="E37" i="2"/>
  <c r="K34" i="2"/>
  <c r="P34" i="2"/>
  <c r="M10" i="2"/>
  <c r="K11" i="2"/>
  <c r="AE22" i="2"/>
  <c r="AG21" i="2"/>
  <c r="AE21" i="2"/>
  <c r="AE13" i="2"/>
  <c r="AG13" i="2"/>
  <c r="AE56" i="2"/>
  <c r="AE57" i="2"/>
  <c r="AG227" i="2"/>
  <c r="AE227" i="2"/>
  <c r="AJ228" i="2"/>
  <c r="AE228" i="2"/>
  <c r="AE279" i="2"/>
  <c r="AJ279" i="2"/>
  <c r="AG293" i="2"/>
  <c r="AJ294" i="2"/>
  <c r="AE306" i="2"/>
  <c r="AG305" i="2"/>
  <c r="AJ399" i="2"/>
  <c r="AG398" i="2"/>
  <c r="AE399" i="2"/>
  <c r="AI345" i="2"/>
  <c r="AH369" i="2"/>
  <c r="AM346" i="2"/>
  <c r="AC520" i="2"/>
  <c r="AH495" i="2"/>
  <c r="AL468" i="2"/>
  <c r="AJ468" i="2"/>
  <c r="AL477" i="2"/>
  <c r="AO478" i="2"/>
  <c r="AJ477" i="2"/>
  <c r="AL501" i="2"/>
  <c r="AJ501" i="2"/>
  <c r="I446" i="2"/>
  <c r="N422" i="2"/>
  <c r="W468" i="2"/>
  <c r="P427" i="2"/>
  <c r="P428" i="2" s="1"/>
  <c r="Z474" i="2"/>
  <c r="AB474" i="2"/>
  <c r="AJ401" i="2"/>
  <c r="AL401" i="2"/>
  <c r="AF368" i="2"/>
  <c r="AL54" i="2"/>
  <c r="AM422" i="2"/>
  <c r="R405" i="2"/>
  <c r="R420" i="2"/>
  <c r="W405" i="2"/>
  <c r="J365" i="2"/>
  <c r="K364" i="2"/>
  <c r="J262" i="2"/>
  <c r="AH244" i="2"/>
  <c r="AM238" i="2"/>
  <c r="AJ293" i="2"/>
  <c r="AL293" i="2"/>
  <c r="AD477" i="2"/>
  <c r="AC478" i="2"/>
  <c r="AH478" i="2"/>
  <c r="AE476" i="2"/>
  <c r="AE478" i="2" s="1"/>
  <c r="AI472" i="2"/>
  <c r="AD471" i="2"/>
  <c r="AO488" i="2"/>
  <c r="AN489" i="2"/>
  <c r="AS489" i="2"/>
  <c r="AF489" i="2"/>
  <c r="AK489" i="2"/>
  <c r="AB93" i="2"/>
  <c r="W93" i="2"/>
  <c r="AM93" i="2"/>
  <c r="AU194" i="2"/>
  <c r="AP194" i="2"/>
  <c r="AW194" i="2"/>
  <c r="AS193" i="2"/>
  <c r="AR193" i="2"/>
  <c r="AJ471" i="2"/>
  <c r="AE492" i="2"/>
  <c r="AB491" i="2"/>
  <c r="Y244" i="2"/>
  <c r="Y238" i="2"/>
  <c r="AK330" i="2"/>
  <c r="AJ328" i="2"/>
  <c r="AW260" i="2"/>
  <c r="AR262" i="2"/>
  <c r="AV21" i="2"/>
  <c r="AT21" i="2"/>
  <c r="AO30" i="2"/>
  <c r="AQ30" i="2"/>
  <c r="AO31" i="2"/>
  <c r="AV74" i="2"/>
  <c r="AT74" i="2"/>
  <c r="AU234" i="2"/>
  <c r="AO232" i="2"/>
  <c r="AO267" i="2" s="1"/>
  <c r="AV278" i="2"/>
  <c r="AT279" i="2"/>
  <c r="AV293" i="2"/>
  <c r="AT293" i="2"/>
  <c r="AV305" i="2"/>
  <c r="AT305" i="2"/>
  <c r="AV320" i="2"/>
  <c r="AN344" i="2"/>
  <c r="AN347" i="2" s="1"/>
  <c r="AS330" i="2"/>
  <c r="AU330" i="2"/>
  <c r="AP344" i="2"/>
  <c r="AP347" i="2" s="1"/>
  <c r="AV401" i="2"/>
  <c r="AT402" i="2"/>
  <c r="AT401" i="2"/>
  <c r="U16" i="2"/>
  <c r="W227" i="2"/>
  <c r="L238" i="2"/>
  <c r="Z236" i="2"/>
  <c r="N344" i="2"/>
  <c r="R474" i="2"/>
  <c r="F491" i="2"/>
  <c r="AF495" i="2"/>
  <c r="AJ25" i="2"/>
  <c r="V495" i="2"/>
  <c r="Q495" i="2"/>
  <c r="M418" i="2"/>
  <c r="K418" i="2"/>
  <c r="F217" i="2"/>
  <c r="H217" i="2"/>
  <c r="R53" i="2"/>
  <c r="AT34" i="2"/>
  <c r="AQ33" i="2"/>
  <c r="X54" i="2"/>
  <c r="AP234" i="2"/>
  <c r="AQ284" i="2"/>
  <c r="AO333" i="2"/>
  <c r="AJ332" i="2"/>
  <c r="AL332" i="2"/>
  <c r="AX511" i="2"/>
  <c r="AS511" i="2"/>
  <c r="AP244" i="2"/>
  <c r="AU238" i="2"/>
  <c r="AO236" i="2"/>
  <c r="AO268" i="2" s="1"/>
  <c r="AO36" i="2"/>
  <c r="AP45" i="2"/>
  <c r="AP186" i="2" s="1"/>
  <c r="AV398" i="2"/>
  <c r="AT398" i="2"/>
  <c r="AV468" i="2"/>
  <c r="AT468" i="2"/>
  <c r="AT469" i="2"/>
  <c r="AV474" i="2"/>
  <c r="AT475" i="2"/>
  <c r="AV491" i="2"/>
  <c r="AT519" i="2"/>
  <c r="AV501" i="2"/>
  <c r="AT501" i="2"/>
  <c r="AV303" i="2"/>
  <c r="AQ370" i="2"/>
  <c r="AP521" i="2"/>
  <c r="AO506" i="2"/>
  <c r="AU508" i="2"/>
  <c r="AP509" i="2"/>
  <c r="AU359" i="2"/>
  <c r="AU370" i="2"/>
  <c r="AU358" i="2"/>
  <c r="AT356" i="2"/>
  <c r="AY358" i="2" s="1"/>
  <c r="AN488" i="2"/>
  <c r="AO116" i="2"/>
  <c r="AV405" i="2"/>
  <c r="AQ420" i="2"/>
  <c r="AQ423" i="2" s="1"/>
  <c r="AV65" i="2"/>
  <c r="AT65" i="2"/>
  <c r="AV224" i="2"/>
  <c r="AT225" i="2"/>
  <c r="AT224" i="2"/>
  <c r="L370" i="2"/>
  <c r="G521" i="2"/>
  <c r="G91" i="2"/>
  <c r="G127" i="2" s="1"/>
  <c r="K444" i="2"/>
  <c r="AH429" i="2"/>
  <c r="Z306" i="2"/>
  <c r="M339" i="2"/>
  <c r="Q355" i="2"/>
  <c r="AA405" i="2"/>
  <c r="M405" i="2"/>
  <c r="AR237" i="2"/>
  <c r="AO359" i="2"/>
  <c r="AE31" i="2"/>
  <c r="AE30" i="2"/>
  <c r="AJ31" i="2"/>
  <c r="AG30" i="2"/>
  <c r="K31" i="2"/>
  <c r="K30" i="2"/>
  <c r="AW438" i="2"/>
  <c r="AR440" i="2"/>
  <c r="AT321" i="2"/>
  <c r="AT236" i="2"/>
  <c r="AT268" i="2" s="1"/>
  <c r="AT66" i="2"/>
  <c r="AW54" i="2"/>
  <c r="AS53" i="2"/>
  <c r="AT428" i="2"/>
  <c r="AV56" i="2"/>
  <c r="AT56" i="2"/>
  <c r="AT57" i="2"/>
  <c r="AV217" i="2"/>
  <c r="AT217" i="2"/>
  <c r="AT218" i="2"/>
  <c r="AV342" i="2"/>
  <c r="AT342" i="2"/>
  <c r="AT343" i="2"/>
  <c r="AV407" i="2"/>
  <c r="AT408" i="2"/>
  <c r="AT407" i="2"/>
  <c r="Z301" i="2"/>
  <c r="AV435" i="2"/>
  <c r="AQ447" i="2"/>
  <c r="AQ436" i="2"/>
  <c r="AT433" i="2"/>
  <c r="AY435" i="2" s="1"/>
  <c r="AT52" i="2"/>
  <c r="AY54" i="2" s="1"/>
  <c r="AX54" i="2"/>
  <c r="AO301" i="2"/>
  <c r="K506" i="2"/>
  <c r="AE407" i="2"/>
  <c r="AO54" i="2"/>
  <c r="AS244" i="2"/>
  <c r="AX246" i="2" s="1"/>
  <c r="AX238" i="2"/>
  <c r="AT22" i="2"/>
  <c r="AT68" i="2"/>
  <c r="AT116" i="2"/>
  <c r="AT227" i="2"/>
  <c r="AT232" i="2"/>
  <c r="AX234" i="2"/>
  <c r="AT415" i="2"/>
  <c r="AN370" i="2"/>
  <c r="AS370" i="2"/>
  <c r="AX303" i="2"/>
  <c r="AS447" i="2"/>
  <c r="AX435" i="2"/>
  <c r="F506" i="2"/>
  <c r="Z506" i="2"/>
  <c r="AJ333" i="2"/>
  <c r="AT429" i="2"/>
  <c r="D370" i="2"/>
  <c r="AR370" i="2"/>
  <c r="K433" i="2"/>
  <c r="AO433" i="2"/>
  <c r="AJ521" i="2"/>
  <c r="AI514" i="2"/>
  <c r="AJ513" i="2"/>
  <c r="AM515" i="2"/>
  <c r="AH514" i="2"/>
  <c r="AD440" i="2"/>
  <c r="AD438" i="2"/>
  <c r="AD437" i="2"/>
  <c r="X494" i="2"/>
  <c r="X495" i="2"/>
  <c r="Z493" i="2"/>
  <c r="AB494" i="2" s="1"/>
  <c r="AC495" i="2"/>
  <c r="X520" i="2"/>
  <c r="Y494" i="2"/>
  <c r="E520" i="2"/>
  <c r="E494" i="2"/>
  <c r="J495" i="2"/>
  <c r="F493" i="2"/>
  <c r="H459" i="2"/>
  <c r="F459" i="2"/>
  <c r="K460" i="2"/>
  <c r="AB477" i="2"/>
  <c r="Z477" i="2"/>
  <c r="Z478" i="2"/>
  <c r="K419" i="2"/>
  <c r="F418" i="2"/>
  <c r="P395" i="2"/>
  <c r="R395" i="2"/>
  <c r="P396" i="2"/>
  <c r="Q344" i="2"/>
  <c r="P328" i="2"/>
  <c r="V330" i="2"/>
  <c r="Q330" i="2"/>
  <c r="F344" i="2"/>
  <c r="M342" i="2"/>
  <c r="K342" i="2"/>
  <c r="K343" i="2"/>
  <c r="Z308" i="2"/>
  <c r="AE309" i="2"/>
  <c r="AB308" i="2"/>
  <c r="Z293" i="2"/>
  <c r="Z294" i="2"/>
  <c r="AE294" i="2"/>
  <c r="AB293" i="2"/>
  <c r="U287" i="2"/>
  <c r="Z288" i="2"/>
  <c r="AB284" i="2"/>
  <c r="Z285" i="2"/>
  <c r="Z284" i="2"/>
  <c r="AE274" i="2"/>
  <c r="AD276" i="2"/>
  <c r="W275" i="2"/>
  <c r="Z276" i="2"/>
  <c r="W252" i="2"/>
  <c r="U252" i="2"/>
  <c r="U253" i="2"/>
  <c r="Z253" i="2"/>
  <c r="J244" i="2"/>
  <c r="J238" i="2"/>
  <c r="O238" i="2"/>
  <c r="K236" i="2"/>
  <c r="J237" i="2"/>
  <c r="T233" i="2"/>
  <c r="Y234" i="2"/>
  <c r="T234" i="2"/>
  <c r="F359" i="2"/>
  <c r="E360" i="2"/>
  <c r="D363" i="2"/>
  <c r="AE233" i="2"/>
  <c r="AD495" i="2"/>
  <c r="AD520" i="2"/>
  <c r="AI495" i="2"/>
  <c r="H354" i="2"/>
  <c r="K355" i="2"/>
  <c r="AL422" i="2"/>
  <c r="AG446" i="2"/>
  <c r="AG284" i="2"/>
  <c r="AE285" i="2"/>
  <c r="X53" i="2"/>
  <c r="P11" i="2"/>
  <c r="Z22" i="2"/>
  <c r="W21" i="2"/>
  <c r="M33" i="2"/>
  <c r="M351" i="2"/>
  <c r="K351" i="2"/>
  <c r="W244" i="2"/>
  <c r="W238" i="2"/>
  <c r="AB238" i="2"/>
  <c r="Y53" i="2"/>
  <c r="U22" i="2"/>
  <c r="K33" i="2"/>
  <c r="AE284" i="2"/>
  <c r="AB86" i="2"/>
  <c r="Z86" i="2"/>
  <c r="AC54" i="2"/>
  <c r="H431" i="2"/>
  <c r="F431" i="2"/>
  <c r="U326" i="2"/>
  <c r="W326" i="2"/>
  <c r="AD244" i="2"/>
  <c r="AD238" i="2"/>
  <c r="G244" i="2"/>
  <c r="G238" i="2"/>
  <c r="AM488" i="2"/>
  <c r="V489" i="2"/>
  <c r="AL407" i="2"/>
  <c r="AJ408" i="2"/>
  <c r="AS513" i="2"/>
  <c r="AX515" i="2" s="1"/>
  <c r="AO274" i="2"/>
  <c r="AW405" i="2"/>
  <c r="AR420" i="2"/>
  <c r="AR423" i="2" s="1"/>
  <c r="AO493" i="2"/>
  <c r="AT493" i="2"/>
  <c r="AE332" i="2"/>
  <c r="AT403" i="2"/>
  <c r="AY405" i="2" s="1"/>
  <c r="AT274" i="2"/>
  <c r="AM489" i="2"/>
  <c r="AR489" i="2"/>
  <c r="AN47" i="3"/>
  <c r="AO48" i="3"/>
  <c r="AQ48" i="3"/>
  <c r="AT28" i="2"/>
  <c r="AT324" i="2"/>
  <c r="AT327" i="2"/>
  <c r="AT474" i="2"/>
  <c r="AT502" i="2"/>
  <c r="AT16" i="3"/>
  <c r="AS48" i="3"/>
  <c r="G370" i="2"/>
  <c r="K301" i="2"/>
  <c r="K368" i="2" s="1"/>
  <c r="AW238" i="2"/>
  <c r="AR244" i="2"/>
  <c r="AR45" i="2"/>
  <c r="AO47" i="3"/>
  <c r="AS47" i="3"/>
  <c r="AT16" i="2"/>
  <c r="AT31" i="2"/>
  <c r="AT33" i="2"/>
  <c r="AT59" i="2"/>
  <c r="AT71" i="2"/>
  <c r="AT196" i="2"/>
  <c r="AT220" i="2"/>
  <c r="AT278" i="2"/>
  <c r="AT306" i="2"/>
  <c r="AT309" i="2"/>
  <c r="AT318" i="2"/>
  <c r="AT320" i="2"/>
  <c r="AO328" i="2"/>
  <c r="AT393" i="2"/>
  <c r="AT396" i="2"/>
  <c r="AT399" i="2"/>
  <c r="P301" i="2"/>
  <c r="AV47" i="3"/>
  <c r="AR48" i="3"/>
  <c r="AW47" i="3"/>
  <c r="M370" i="2"/>
  <c r="AR47" i="3"/>
  <c r="AM48" i="3"/>
  <c r="X521" i="2"/>
  <c r="AQ521" i="2"/>
  <c r="AV238" i="2"/>
  <c r="AW237" i="2"/>
  <c r="AW345" i="2"/>
  <c r="U356" i="2"/>
  <c r="P433" i="2"/>
  <c r="AJ433" i="2"/>
  <c r="AW53" i="2"/>
  <c r="AW193" i="2"/>
  <c r="AW437" i="2"/>
  <c r="AV446" i="2"/>
  <c r="AV48" i="3"/>
  <c r="AW48" i="3"/>
  <c r="AW46" i="3"/>
  <c r="AC447" i="2"/>
  <c r="AW275" i="2"/>
  <c r="AW510" i="2"/>
  <c r="AV520" i="2"/>
  <c r="AW494" i="2"/>
  <c r="P356" i="2"/>
  <c r="F433" i="2"/>
  <c r="Z433" i="2"/>
  <c r="P506" i="2"/>
  <c r="AE506" i="2"/>
  <c r="AW37" i="2"/>
  <c r="AV363" i="2"/>
  <c r="AW360" i="2"/>
  <c r="AV46" i="3"/>
  <c r="AW102" i="2"/>
  <c r="AV262" i="2"/>
  <c r="AV54" i="2"/>
  <c r="AV38" i="2"/>
  <c r="AV276" i="2"/>
  <c r="AV244" i="2"/>
  <c r="AV194" i="2"/>
  <c r="AV369" i="2"/>
  <c r="AV495" i="2"/>
  <c r="L346" i="2" l="1"/>
  <c r="W262" i="2"/>
  <c r="AB264" i="2" s="1"/>
  <c r="G346" i="2"/>
  <c r="J240" i="2"/>
  <c r="AN364" i="2"/>
  <c r="AM365" i="2"/>
  <c r="AC241" i="2"/>
  <c r="S241" i="2"/>
  <c r="P268" i="2"/>
  <c r="L365" i="2"/>
  <c r="R241" i="2"/>
  <c r="Y345" i="2"/>
  <c r="AN240" i="2"/>
  <c r="Y240" i="2"/>
  <c r="O240" i="2"/>
  <c r="AC513" i="2"/>
  <c r="AH515" i="2" s="1"/>
  <c r="AL246" i="2"/>
  <c r="I240" i="2"/>
  <c r="P267" i="2"/>
  <c r="W241" i="2"/>
  <c r="Z344" i="2"/>
  <c r="Z345" i="2" s="1"/>
  <c r="AM245" i="2"/>
  <c r="S240" i="2"/>
  <c r="AH241" i="2"/>
  <c r="O241" i="2"/>
  <c r="AR241" i="2"/>
  <c r="K267" i="2"/>
  <c r="AD264" i="2"/>
  <c r="AD240" i="2"/>
  <c r="T259" i="2"/>
  <c r="AF264" i="2"/>
  <c r="T240" i="2"/>
  <c r="AU241" i="2"/>
  <c r="N241" i="2"/>
  <c r="G260" i="2"/>
  <c r="AR240" i="2"/>
  <c r="Z266" i="2"/>
  <c r="Z267" i="2"/>
  <c r="K269" i="2"/>
  <c r="G268" i="2"/>
  <c r="AM241" i="2"/>
  <c r="AC259" i="2"/>
  <c r="G269" i="2"/>
  <c r="X240" i="2"/>
  <c r="AD241" i="2"/>
  <c r="Z268" i="2"/>
  <c r="AE269" i="2"/>
  <c r="K266" i="2"/>
  <c r="G241" i="2"/>
  <c r="AS240" i="2"/>
  <c r="K268" i="2"/>
  <c r="T241" i="2"/>
  <c r="AH240" i="2"/>
  <c r="M241" i="2"/>
  <c r="R255" i="2"/>
  <c r="P269" i="2"/>
  <c r="AY234" i="2"/>
  <c r="AT267" i="2"/>
  <c r="X345" i="2"/>
  <c r="R260" i="2"/>
  <c r="AJ255" i="2"/>
  <c r="AJ269" i="2"/>
  <c r="Y260" i="2"/>
  <c r="G365" i="2"/>
  <c r="X369" i="2"/>
  <c r="AC262" i="2"/>
  <c r="AH264" i="2" s="1"/>
  <c r="AK260" i="2"/>
  <c r="W255" i="2"/>
  <c r="U269" i="2"/>
  <c r="AL237" i="2"/>
  <c r="AJ268" i="2"/>
  <c r="M260" i="2"/>
  <c r="H262" i="2"/>
  <c r="M264" i="2" s="1"/>
  <c r="AB255" i="2"/>
  <c r="Z269" i="2"/>
  <c r="AS241" i="2"/>
  <c r="Y241" i="2"/>
  <c r="AG241" i="2"/>
  <c r="AM240" i="2"/>
  <c r="N240" i="2"/>
  <c r="X241" i="2"/>
  <c r="G267" i="2"/>
  <c r="AE266" i="2"/>
  <c r="AQ255" i="2"/>
  <c r="AO269" i="2"/>
  <c r="AY237" i="2"/>
  <c r="AY268" i="2"/>
  <c r="AG237" i="2"/>
  <c r="AE268" i="2"/>
  <c r="AC260" i="2"/>
  <c r="AL233" i="2"/>
  <c r="AJ267" i="2"/>
  <c r="U233" i="2"/>
  <c r="U267" i="2"/>
  <c r="U237" i="2"/>
  <c r="U268" i="2"/>
  <c r="K258" i="2"/>
  <c r="K259" i="2" s="1"/>
  <c r="P266" i="2"/>
  <c r="AO363" i="2"/>
  <c r="AM364" i="2"/>
  <c r="AS360" i="2"/>
  <c r="K329" i="2"/>
  <c r="R361" i="2"/>
  <c r="Q363" i="2"/>
  <c r="I360" i="2"/>
  <c r="AI361" i="2"/>
  <c r="AG363" i="2"/>
  <c r="AH364" i="2" s="1"/>
  <c r="AE329" i="2"/>
  <c r="X363" i="2"/>
  <c r="X365" i="2" s="1"/>
  <c r="T363" i="2"/>
  <c r="T364" i="2" s="1"/>
  <c r="AY330" i="2"/>
  <c r="Z329" i="2"/>
  <c r="S361" i="2"/>
  <c r="AQ246" i="2"/>
  <c r="Q246" i="2"/>
  <c r="AO239" i="2"/>
  <c r="AO240" i="2" s="1"/>
  <c r="AE239" i="2"/>
  <c r="AG240" i="2" s="1"/>
  <c r="P39" i="2"/>
  <c r="AO39" i="2"/>
  <c r="AO40" i="2" s="1"/>
  <c r="AH511" i="2"/>
  <c r="AJ39" i="2"/>
  <c r="AJ40" i="2" s="1"/>
  <c r="M363" i="2"/>
  <c r="R365" i="2" s="1"/>
  <c r="AA246" i="2"/>
  <c r="AT39" i="2"/>
  <c r="AY41" i="2" s="1"/>
  <c r="AP246" i="2"/>
  <c r="AF246" i="2"/>
  <c r="AH345" i="2"/>
  <c r="AG347" i="2"/>
  <c r="AJ347" i="2" s="1"/>
  <c r="AT239" i="2"/>
  <c r="AV240" i="2" s="1"/>
  <c r="AI246" i="2"/>
  <c r="AV241" i="2"/>
  <c r="AO420" i="2"/>
  <c r="AQ421" i="2" s="1"/>
  <c r="AP423" i="2"/>
  <c r="AO423" i="2" s="1"/>
  <c r="AX346" i="2"/>
  <c r="AS347" i="2"/>
  <c r="AT347" i="2" s="1"/>
  <c r="Z39" i="2"/>
  <c r="AO347" i="2"/>
  <c r="AJ420" i="2"/>
  <c r="AJ421" i="2" s="1"/>
  <c r="AK423" i="2"/>
  <c r="AU446" i="2"/>
  <c r="AU423" i="2"/>
  <c r="AT423" i="2" s="1"/>
  <c r="AC245" i="2"/>
  <c r="AN246" i="2"/>
  <c r="T437" i="2"/>
  <c r="AN41" i="2"/>
  <c r="AN40" i="2"/>
  <c r="AL41" i="2"/>
  <c r="AL241" i="2"/>
  <c r="AV41" i="2"/>
  <c r="Q241" i="2"/>
  <c r="P239" i="2"/>
  <c r="AA241" i="2"/>
  <c r="Z239" i="2"/>
  <c r="AB240" i="2" s="1"/>
  <c r="AH41" i="2"/>
  <c r="AH40" i="2"/>
  <c r="AS41" i="2"/>
  <c r="AS40" i="2"/>
  <c r="AX41" i="2"/>
  <c r="AB241" i="2"/>
  <c r="AQ41" i="2"/>
  <c r="AY240" i="2"/>
  <c r="U39" i="2"/>
  <c r="AI41" i="2"/>
  <c r="AI40" i="2"/>
  <c r="AR41" i="2"/>
  <c r="AR40" i="2"/>
  <c r="AW41" i="2"/>
  <c r="AF241" i="2"/>
  <c r="AE39" i="2"/>
  <c r="AF41" i="2"/>
  <c r="AG41" i="2"/>
  <c r="AI241" i="2"/>
  <c r="AI240" i="2"/>
  <c r="AC240" i="2"/>
  <c r="AK241" i="2"/>
  <c r="AJ239" i="2"/>
  <c r="AY40" i="2"/>
  <c r="AN241" i="2"/>
  <c r="L241" i="2"/>
  <c r="K239" i="2"/>
  <c r="V241" i="2"/>
  <c r="U239" i="2"/>
  <c r="AM41" i="2"/>
  <c r="AM40" i="2"/>
  <c r="AQ241" i="2"/>
  <c r="AP241" i="2"/>
  <c r="AU186" i="2"/>
  <c r="L513" i="2"/>
  <c r="Q515" i="2" s="1"/>
  <c r="AN47" i="2"/>
  <c r="AY495" i="2"/>
  <c r="AY238" i="2"/>
  <c r="AY276" i="2"/>
  <c r="AY494" i="2"/>
  <c r="AT235" i="2"/>
  <c r="AJ234" i="2"/>
  <c r="AC437" i="2"/>
  <c r="AL46" i="3"/>
  <c r="AM46" i="3"/>
  <c r="AL47" i="3"/>
  <c r="AH260" i="2"/>
  <c r="AK47" i="2"/>
  <c r="AH259" i="2"/>
  <c r="AF260" i="2"/>
  <c r="AR260" i="2"/>
  <c r="AB440" i="2"/>
  <c r="AG442" i="2" s="1"/>
  <c r="G47" i="2"/>
  <c r="AK246" i="2"/>
  <c r="AY513" i="2"/>
  <c r="AJ357" i="2"/>
  <c r="E513" i="2"/>
  <c r="F513" i="2" s="1"/>
  <c r="F514" i="2" s="1"/>
  <c r="AY360" i="2"/>
  <c r="Q47" i="2"/>
  <c r="AY102" i="2"/>
  <c r="AL510" i="2"/>
  <c r="S46" i="2"/>
  <c r="AA47" i="2"/>
  <c r="AI46" i="2"/>
  <c r="AY440" i="2"/>
  <c r="AY37" i="2"/>
  <c r="AY45" i="2"/>
  <c r="AH47" i="2"/>
  <c r="AF47" i="2"/>
  <c r="T446" i="2"/>
  <c r="AL260" i="2"/>
  <c r="AE45" i="2"/>
  <c r="AJ233" i="2"/>
  <c r="AW46" i="2"/>
  <c r="O99" i="2"/>
  <c r="R438" i="2"/>
  <c r="Y438" i="2"/>
  <c r="Z258" i="2"/>
  <c r="Z259" i="2" s="1"/>
  <c r="X260" i="2"/>
  <c r="V47" i="2"/>
  <c r="AD99" i="2"/>
  <c r="K97" i="2"/>
  <c r="M98" i="2" s="1"/>
  <c r="T515" i="2"/>
  <c r="W47" i="2"/>
  <c r="AB438" i="2"/>
  <c r="U510" i="2"/>
  <c r="Y511" i="2"/>
  <c r="X47" i="2"/>
  <c r="T511" i="2"/>
  <c r="N363" i="2"/>
  <c r="S365" i="2" s="1"/>
  <c r="AV47" i="2"/>
  <c r="T438" i="2"/>
  <c r="W440" i="2"/>
  <c r="W442" i="2" s="1"/>
  <c r="T260" i="2"/>
  <c r="F509" i="2"/>
  <c r="H510" i="2" s="1"/>
  <c r="O260" i="2"/>
  <c r="AA438" i="2"/>
  <c r="U505" i="2"/>
  <c r="AG47" i="2"/>
  <c r="AH46" i="2"/>
  <c r="AD46" i="2"/>
  <c r="P256" i="2"/>
  <c r="AM47" i="2"/>
  <c r="AC46" i="2"/>
  <c r="X99" i="2"/>
  <c r="H99" i="2"/>
  <c r="P255" i="2"/>
  <c r="AM98" i="2"/>
  <c r="AI360" i="2"/>
  <c r="O440" i="2"/>
  <c r="W510" i="2"/>
  <c r="O437" i="2"/>
  <c r="G511" i="2"/>
  <c r="J513" i="2"/>
  <c r="J514" i="2" s="1"/>
  <c r="AL47" i="2"/>
  <c r="AM99" i="2"/>
  <c r="AB47" i="2"/>
  <c r="O46" i="2"/>
  <c r="Z97" i="2"/>
  <c r="AB98" i="2" s="1"/>
  <c r="AK99" i="2"/>
  <c r="O514" i="2"/>
  <c r="AA101" i="2"/>
  <c r="AF103" i="2" s="1"/>
  <c r="Y510" i="2"/>
  <c r="AB320" i="2"/>
  <c r="X98" i="2"/>
  <c r="AI98" i="2"/>
  <c r="AA264" i="2"/>
  <c r="T99" i="2"/>
  <c r="J511" i="2"/>
  <c r="AB338" i="2"/>
  <c r="AB344" i="2" s="1"/>
  <c r="AB347" i="2" s="1"/>
  <c r="W438" i="2"/>
  <c r="T360" i="2"/>
  <c r="O438" i="2"/>
  <c r="AN46" i="2"/>
  <c r="M193" i="2"/>
  <c r="F420" i="2"/>
  <c r="F421" i="2" s="1"/>
  <c r="L47" i="2"/>
  <c r="P505" i="2"/>
  <c r="AN98" i="2"/>
  <c r="Y361" i="2"/>
  <c r="AH98" i="2"/>
  <c r="U359" i="2"/>
  <c r="T47" i="2"/>
  <c r="T361" i="2"/>
  <c r="B97" i="2"/>
  <c r="B101" i="2" s="1"/>
  <c r="B127" i="2"/>
  <c r="AQ47" i="2"/>
  <c r="AM263" i="2"/>
  <c r="Q438" i="2"/>
  <c r="AY126" i="2"/>
  <c r="F126" i="2"/>
  <c r="AY93" i="2"/>
  <c r="AT127" i="2"/>
  <c r="D97" i="2"/>
  <c r="D127" i="2"/>
  <c r="E97" i="2"/>
  <c r="E127" i="2"/>
  <c r="AE92" i="2"/>
  <c r="AE127" i="2"/>
  <c r="P92" i="2"/>
  <c r="P127" i="2"/>
  <c r="AJ126" i="2"/>
  <c r="AQ92" i="2"/>
  <c r="AO127" i="2"/>
  <c r="AB92" i="2"/>
  <c r="Z127" i="2"/>
  <c r="T98" i="2"/>
  <c r="S47" i="2"/>
  <c r="AM46" i="2"/>
  <c r="R47" i="2"/>
  <c r="W92" i="2"/>
  <c r="U127" i="2"/>
  <c r="Z126" i="2"/>
  <c r="W103" i="2"/>
  <c r="AO126" i="2"/>
  <c r="Y422" i="2"/>
  <c r="Y98" i="2"/>
  <c r="AD47" i="2"/>
  <c r="AY38" i="2"/>
  <c r="P37" i="2"/>
  <c r="AM259" i="2"/>
  <c r="AG360" i="2"/>
  <c r="N46" i="2"/>
  <c r="Z436" i="2"/>
  <c r="AB437" i="2" s="1"/>
  <c r="AH101" i="2"/>
  <c r="AM103" i="2" s="1"/>
  <c r="H101" i="2"/>
  <c r="H103" i="2" s="1"/>
  <c r="AI47" i="2"/>
  <c r="U193" i="2"/>
  <c r="AH360" i="2"/>
  <c r="L440" i="2"/>
  <c r="AL361" i="2"/>
  <c r="Q99" i="2"/>
  <c r="O511" i="2"/>
  <c r="Y99" i="2"/>
  <c r="X361" i="2"/>
  <c r="AG361" i="2"/>
  <c r="X102" i="2"/>
  <c r="V446" i="2"/>
  <c r="AG255" i="2"/>
  <c r="Z37" i="2"/>
  <c r="AJ237" i="2"/>
  <c r="AE255" i="2"/>
  <c r="K359" i="2"/>
  <c r="AE37" i="2"/>
  <c r="AM260" i="2"/>
  <c r="U37" i="2"/>
  <c r="AL255" i="2"/>
  <c r="P45" i="2"/>
  <c r="P46" i="2" s="1"/>
  <c r="H438" i="2"/>
  <c r="I422" i="2"/>
  <c r="F252" i="2"/>
  <c r="AG37" i="2"/>
  <c r="Z92" i="2"/>
  <c r="Y437" i="2"/>
  <c r="H440" i="2"/>
  <c r="M442" i="2" s="1"/>
  <c r="AN259" i="2"/>
  <c r="I363" i="2"/>
  <c r="AC438" i="2"/>
  <c r="M361" i="2"/>
  <c r="AS345" i="2"/>
  <c r="AJ256" i="2"/>
  <c r="S437" i="2"/>
  <c r="AA361" i="2"/>
  <c r="T46" i="2"/>
  <c r="AJ370" i="2"/>
  <c r="AJ258" i="2"/>
  <c r="AJ259" i="2" s="1"/>
  <c r="F258" i="2"/>
  <c r="H259" i="2" s="1"/>
  <c r="U255" i="2"/>
  <c r="K520" i="2"/>
  <c r="AO92" i="2"/>
  <c r="AB511" i="2"/>
  <c r="AH99" i="2"/>
  <c r="N360" i="2"/>
  <c r="AC99" i="2"/>
  <c r="AE53" i="2"/>
  <c r="J360" i="2"/>
  <c r="S440" i="2"/>
  <c r="X442" i="2" s="1"/>
  <c r="AJ429" i="2"/>
  <c r="AB37" i="2"/>
  <c r="P504" i="2"/>
  <c r="AO358" i="2"/>
  <c r="I437" i="2"/>
  <c r="I361" i="2"/>
  <c r="AA260" i="2"/>
  <c r="AG321" i="2"/>
  <c r="AS99" i="2"/>
  <c r="AN245" i="2"/>
  <c r="AP47" i="2"/>
  <c r="K253" i="2"/>
  <c r="W37" i="2"/>
  <c r="Z193" i="2"/>
  <c r="N262" i="2"/>
  <c r="O263" i="2" s="1"/>
  <c r="V440" i="2"/>
  <c r="AG246" i="2"/>
  <c r="AJ45" i="2"/>
  <c r="I98" i="2"/>
  <c r="K92" i="2"/>
  <c r="O510" i="2"/>
  <c r="M494" i="2"/>
  <c r="AI422" i="2"/>
  <c r="Z194" i="2"/>
  <c r="Z513" i="2"/>
  <c r="P436" i="2"/>
  <c r="R437" i="2" s="1"/>
  <c r="G262" i="2"/>
  <c r="G264" i="2" s="1"/>
  <c r="AE234" i="2"/>
  <c r="AE256" i="2"/>
  <c r="X259" i="2"/>
  <c r="AJ92" i="2"/>
  <c r="AB365" i="2"/>
  <c r="AI363" i="2"/>
  <c r="AN365" i="2" s="1"/>
  <c r="U256" i="2"/>
  <c r="P194" i="2"/>
  <c r="J440" i="2"/>
  <c r="X510" i="2"/>
  <c r="Y259" i="2"/>
  <c r="S98" i="2"/>
  <c r="AJ344" i="2"/>
  <c r="AJ345" i="2" s="1"/>
  <c r="Z234" i="2"/>
  <c r="R193" i="2"/>
  <c r="U194" i="2"/>
  <c r="X514" i="2"/>
  <c r="Z255" i="2"/>
  <c r="N510" i="2"/>
  <c r="S515" i="2"/>
  <c r="Q365" i="2"/>
  <c r="R103" i="2"/>
  <c r="H513" i="2"/>
  <c r="H515" i="2" s="1"/>
  <c r="L260" i="2"/>
  <c r="X262" i="2"/>
  <c r="K509" i="2"/>
  <c r="M510" i="2" s="1"/>
  <c r="AC511" i="2"/>
  <c r="N511" i="2"/>
  <c r="AB233" i="2"/>
  <c r="Q511" i="2"/>
  <c r="W99" i="2"/>
  <c r="AN361" i="2"/>
  <c r="Q440" i="2"/>
  <c r="AO45" i="2"/>
  <c r="AP264" i="2"/>
  <c r="AF99" i="2"/>
  <c r="O259" i="2"/>
  <c r="AC510" i="2"/>
  <c r="Y47" i="2"/>
  <c r="U45" i="2"/>
  <c r="U46" i="2" s="1"/>
  <c r="AJ275" i="2"/>
  <c r="AB513" i="2"/>
  <c r="Y360" i="2"/>
  <c r="AA99" i="2"/>
  <c r="N102" i="2"/>
  <c r="G246" i="2"/>
  <c r="T510" i="2"/>
  <c r="N259" i="2"/>
  <c r="V99" i="2"/>
  <c r="U97" i="2"/>
  <c r="W98" i="2" s="1"/>
  <c r="Z359" i="2"/>
  <c r="AO256" i="2"/>
  <c r="AC361" i="2"/>
  <c r="M99" i="2"/>
  <c r="AE428" i="2"/>
  <c r="V361" i="2"/>
  <c r="X360" i="2"/>
  <c r="Q361" i="2"/>
  <c r="G438" i="2"/>
  <c r="R99" i="2"/>
  <c r="X103" i="2"/>
  <c r="T263" i="2"/>
  <c r="E421" i="2"/>
  <c r="AE194" i="2"/>
  <c r="Q260" i="2"/>
  <c r="Z93" i="2"/>
  <c r="AU422" i="2"/>
  <c r="D421" i="2"/>
  <c r="U92" i="2"/>
  <c r="V264" i="2"/>
  <c r="Q264" i="2"/>
  <c r="N246" i="2"/>
  <c r="G446" i="2"/>
  <c r="AM264" i="2"/>
  <c r="AJ194" i="2"/>
  <c r="AO244" i="2"/>
  <c r="AQ245" i="2" s="1"/>
  <c r="V260" i="2"/>
  <c r="AE193" i="2"/>
  <c r="AE93" i="2"/>
  <c r="AG193" i="2"/>
  <c r="AD321" i="2"/>
  <c r="AI321" i="2"/>
  <c r="AD338" i="2"/>
  <c r="AT302" i="2"/>
  <c r="P509" i="2"/>
  <c r="U511" i="2" s="1"/>
  <c r="O246" i="2"/>
  <c r="AC338" i="2"/>
  <c r="AG404" i="2"/>
  <c r="X511" i="2"/>
  <c r="P258" i="2"/>
  <c r="I245" i="2"/>
  <c r="AN260" i="2"/>
  <c r="W511" i="2"/>
  <c r="T514" i="2"/>
  <c r="AD320" i="2"/>
  <c r="AE404" i="2"/>
  <c r="AO255" i="2"/>
  <c r="AI259" i="2"/>
  <c r="T346" i="2"/>
  <c r="R511" i="2"/>
  <c r="V369" i="2"/>
  <c r="K330" i="2"/>
  <c r="S511" i="2"/>
  <c r="X246" i="2"/>
  <c r="X515" i="2"/>
  <c r="N260" i="2"/>
  <c r="AT344" i="2"/>
  <c r="AY346" i="2" s="1"/>
  <c r="N98" i="2"/>
  <c r="S438" i="2"/>
  <c r="AN99" i="2"/>
  <c r="AD259" i="2"/>
  <c r="N440" i="2"/>
  <c r="N441" i="2" s="1"/>
  <c r="N437" i="2"/>
  <c r="AX99" i="2"/>
  <c r="AS101" i="2"/>
  <c r="AX103" i="2" s="1"/>
  <c r="I510" i="2"/>
  <c r="AE238" i="2"/>
  <c r="AI101" i="2"/>
  <c r="AN103" i="2" s="1"/>
  <c r="M255" i="2"/>
  <c r="P97" i="2"/>
  <c r="R98" i="2" s="1"/>
  <c r="P429" i="2"/>
  <c r="AE370" i="2"/>
  <c r="U420" i="2"/>
  <c r="W421" i="2" s="1"/>
  <c r="M422" i="2"/>
  <c r="U38" i="2"/>
  <c r="AD514" i="2"/>
  <c r="AS438" i="2"/>
  <c r="AS437" i="2"/>
  <c r="AE357" i="2"/>
  <c r="AJ97" i="2"/>
  <c r="AJ98" i="2" s="1"/>
  <c r="X46" i="2"/>
  <c r="AE237" i="2"/>
  <c r="S99" i="2"/>
  <c r="AU246" i="2"/>
  <c r="I369" i="2"/>
  <c r="G422" i="2"/>
  <c r="M345" i="2"/>
  <c r="AC515" i="2"/>
  <c r="AQ99" i="2"/>
  <c r="AT509" i="2"/>
  <c r="AV510" i="2" s="1"/>
  <c r="AV511" i="2"/>
  <c r="AT330" i="2"/>
  <c r="AT367" i="2"/>
  <c r="AG422" i="2"/>
  <c r="V511" i="2"/>
  <c r="AJ238" i="2"/>
  <c r="V346" i="2"/>
  <c r="Z45" i="2"/>
  <c r="Y46" i="2"/>
  <c r="AC47" i="2"/>
  <c r="I259" i="2"/>
  <c r="AR363" i="2"/>
  <c r="AW365" i="2" s="1"/>
  <c r="AL101" i="2"/>
  <c r="AM102" i="2" s="1"/>
  <c r="AJ367" i="2"/>
  <c r="AS98" i="2"/>
  <c r="AE469" i="2"/>
  <c r="I101" i="2"/>
  <c r="J102" i="2" s="1"/>
  <c r="J259" i="2"/>
  <c r="W193" i="2"/>
  <c r="U258" i="2"/>
  <c r="U259" i="2" s="1"/>
  <c r="K436" i="2"/>
  <c r="AJ358" i="2"/>
  <c r="R262" i="2"/>
  <c r="R264" i="2" s="1"/>
  <c r="AR101" i="2"/>
  <c r="AR103" i="2" s="1"/>
  <c r="AT521" i="2"/>
  <c r="AV302" i="2"/>
  <c r="AL53" i="2"/>
  <c r="AR99" i="2"/>
  <c r="R428" i="2"/>
  <c r="AW361" i="2"/>
  <c r="Y246" i="2"/>
  <c r="AG92" i="2"/>
  <c r="AJ54" i="2"/>
  <c r="AJ368" i="2"/>
  <c r="AR360" i="2"/>
  <c r="AA346" i="2"/>
  <c r="AE468" i="2"/>
  <c r="U93" i="2"/>
  <c r="AW441" i="2"/>
  <c r="AV507" i="2"/>
  <c r="V246" i="2"/>
  <c r="K255" i="2"/>
  <c r="P238" i="2"/>
  <c r="Q422" i="2"/>
  <c r="AT303" i="2"/>
  <c r="AJ469" i="2"/>
  <c r="AJ302" i="2"/>
  <c r="AJ303" i="2"/>
  <c r="AT97" i="2"/>
  <c r="AV98" i="2" s="1"/>
  <c r="AR98" i="2"/>
  <c r="S259" i="2"/>
  <c r="W260" i="2"/>
  <c r="AG357" i="2"/>
  <c r="W515" i="2"/>
  <c r="K256" i="2"/>
  <c r="Y421" i="2"/>
  <c r="P495" i="2"/>
  <c r="F370" i="2"/>
  <c r="AT447" i="2"/>
  <c r="R246" i="2"/>
  <c r="AC246" i="2"/>
  <c r="T246" i="2"/>
  <c r="AH245" i="2"/>
  <c r="AV193" i="2"/>
  <c r="AG471" i="2"/>
  <c r="AL99" i="2"/>
  <c r="AO258" i="2"/>
  <c r="AO260" i="2" s="1"/>
  <c r="P38" i="2"/>
  <c r="AI260" i="2"/>
  <c r="AK438" i="2"/>
  <c r="AE401" i="2"/>
  <c r="AD260" i="2"/>
  <c r="AE405" i="2"/>
  <c r="AG329" i="2"/>
  <c r="Z330" i="2"/>
  <c r="M346" i="2"/>
  <c r="S510" i="2"/>
  <c r="W233" i="2"/>
  <c r="N421" i="2"/>
  <c r="W329" i="2"/>
  <c r="U330" i="2"/>
  <c r="AB446" i="2"/>
  <c r="AE436" i="2"/>
  <c r="AG437" i="2" s="1"/>
  <c r="X438" i="2"/>
  <c r="O98" i="2"/>
  <c r="AF438" i="2"/>
  <c r="W365" i="2"/>
  <c r="U429" i="2"/>
  <c r="R494" i="2"/>
  <c r="AL37" i="2"/>
  <c r="AS369" i="2"/>
  <c r="AO38" i="2"/>
  <c r="N346" i="2"/>
  <c r="AR361" i="2"/>
  <c r="AT194" i="2"/>
  <c r="AH246" i="2"/>
  <c r="AE330" i="2"/>
  <c r="W237" i="2"/>
  <c r="F436" i="2"/>
  <c r="F437" i="2" s="1"/>
  <c r="AE38" i="2"/>
  <c r="L438" i="2"/>
  <c r="R92" i="2"/>
  <c r="Y446" i="2"/>
  <c r="M92" i="2"/>
  <c r="P93" i="2"/>
  <c r="N361" i="2"/>
  <c r="AB329" i="2"/>
  <c r="O369" i="2"/>
  <c r="AV37" i="2"/>
  <c r="AS47" i="2"/>
  <c r="J345" i="2"/>
  <c r="AE429" i="2"/>
  <c r="M511" i="2"/>
  <c r="U436" i="2"/>
  <c r="W437" i="2" s="1"/>
  <c r="AE402" i="2"/>
  <c r="V438" i="2"/>
  <c r="Z38" i="2"/>
  <c r="AV53" i="2"/>
  <c r="AT37" i="2"/>
  <c r="X245" i="2"/>
  <c r="R346" i="2"/>
  <c r="I345" i="2"/>
  <c r="U329" i="2"/>
  <c r="X437" i="2"/>
  <c r="AJ38" i="2"/>
  <c r="H404" i="2"/>
  <c r="AE471" i="2"/>
  <c r="V363" i="2"/>
  <c r="AE258" i="2"/>
  <c r="AC103" i="2"/>
  <c r="K405" i="2"/>
  <c r="J437" i="2"/>
  <c r="G440" i="2"/>
  <c r="AP438" i="2"/>
  <c r="AP440" i="2"/>
  <c r="AO440" i="2" s="1"/>
  <c r="AO441" i="2" s="1"/>
  <c r="M329" i="2"/>
  <c r="AI264" i="2"/>
  <c r="AE472" i="2"/>
  <c r="AP260" i="2"/>
  <c r="AS440" i="2"/>
  <c r="AS441" i="2" s="1"/>
  <c r="AB422" i="2"/>
  <c r="AQ101" i="2"/>
  <c r="AV103" i="2" s="1"/>
  <c r="I346" i="2"/>
  <c r="Y441" i="2"/>
  <c r="AJ402" i="2"/>
  <c r="AE97" i="2"/>
  <c r="AE98" i="2" s="1"/>
  <c r="Q103" i="2"/>
  <c r="AO344" i="2"/>
  <c r="AQ345" i="2" s="1"/>
  <c r="AL346" i="2"/>
  <c r="AG369" i="2"/>
  <c r="AO93" i="2"/>
  <c r="AJ93" i="2"/>
  <c r="AT93" i="2"/>
  <c r="AC98" i="2"/>
  <c r="AL92" i="2"/>
  <c r="AT92" i="2"/>
  <c r="AV92" i="2"/>
  <c r="AU47" i="2"/>
  <c r="R37" i="2"/>
  <c r="O360" i="2"/>
  <c r="P359" i="2"/>
  <c r="AL193" i="2"/>
  <c r="AJ193" i="2"/>
  <c r="AB401" i="2"/>
  <c r="Z402" i="2"/>
  <c r="U405" i="2"/>
  <c r="I260" i="2"/>
  <c r="I262" i="2"/>
  <c r="F329" i="2"/>
  <c r="H329" i="2"/>
  <c r="AK446" i="2"/>
  <c r="AK422" i="2"/>
  <c r="AN102" i="2"/>
  <c r="I440" i="2"/>
  <c r="N438" i="2"/>
  <c r="F368" i="2"/>
  <c r="F302" i="2"/>
  <c r="F367" i="2"/>
  <c r="H302" i="2"/>
  <c r="N345" i="2"/>
  <c r="AT54" i="2"/>
  <c r="AB101" i="2"/>
  <c r="AB99" i="2"/>
  <c r="U53" i="2"/>
  <c r="W53" i="2"/>
  <c r="AC363" i="2"/>
  <c r="AE363" i="2" s="1"/>
  <c r="AC360" i="2"/>
  <c r="AD360" i="2"/>
  <c r="AH361" i="2"/>
  <c r="F255" i="2"/>
  <c r="H255" i="2"/>
  <c r="AG101" i="2"/>
  <c r="AG99" i="2"/>
  <c r="Z256" i="2"/>
  <c r="N245" i="2"/>
  <c r="T245" i="2"/>
  <c r="AW515" i="2"/>
  <c r="AR515" i="2"/>
  <c r="O245" i="2"/>
  <c r="S246" i="2"/>
  <c r="R422" i="2"/>
  <c r="S346" i="2"/>
  <c r="J245" i="2"/>
  <c r="Z233" i="2"/>
  <c r="AS365" i="2"/>
  <c r="U244" i="2"/>
  <c r="U245" i="2" s="1"/>
  <c r="S245" i="2"/>
  <c r="P244" i="2"/>
  <c r="R245" i="2" s="1"/>
  <c r="O345" i="2"/>
  <c r="U234" i="2"/>
  <c r="L422" i="2"/>
  <c r="W249" i="2"/>
  <c r="U250" i="2"/>
  <c r="Z250" i="2"/>
  <c r="U249" i="2"/>
  <c r="M357" i="2"/>
  <c r="K357" i="2"/>
  <c r="F237" i="2"/>
  <c r="H237" i="2"/>
  <c r="AV361" i="2"/>
  <c r="AQ363" i="2"/>
  <c r="AQ365" i="2" s="1"/>
  <c r="AQ361" i="2"/>
  <c r="K233" i="2"/>
  <c r="M233" i="2"/>
  <c r="K234" i="2"/>
  <c r="F86" i="2"/>
  <c r="H86" i="2"/>
  <c r="L246" i="2"/>
  <c r="AK511" i="2"/>
  <c r="AE509" i="2"/>
  <c r="J98" i="2"/>
  <c r="N99" i="2"/>
  <c r="J93" i="2"/>
  <c r="AQ513" i="2"/>
  <c r="AQ511" i="2"/>
  <c r="AR510" i="2"/>
  <c r="AJ436" i="2"/>
  <c r="AK440" i="2"/>
  <c r="F233" i="2"/>
  <c r="H233" i="2"/>
  <c r="S446" i="2"/>
  <c r="S422" i="2"/>
  <c r="T421" i="2"/>
  <c r="G212" i="2"/>
  <c r="L194" i="2"/>
  <c r="F192" i="2"/>
  <c r="F266" i="2" s="1"/>
  <c r="G194" i="2"/>
  <c r="G214" i="2"/>
  <c r="AH321" i="2"/>
  <c r="AC320" i="2"/>
  <c r="AC422" i="2"/>
  <c r="X422" i="2"/>
  <c r="K244" i="2"/>
  <c r="K245" i="2" s="1"/>
  <c r="AQ260" i="2"/>
  <c r="AT38" i="2"/>
  <c r="W422" i="2"/>
  <c r="X421" i="2"/>
  <c r="H357" i="2"/>
  <c r="F357" i="2"/>
  <c r="K358" i="2"/>
  <c r="AX422" i="2"/>
  <c r="AS446" i="2"/>
  <c r="AS422" i="2"/>
  <c r="K37" i="2"/>
  <c r="M37" i="2"/>
  <c r="AV275" i="2"/>
  <c r="Y245" i="2"/>
  <c r="AD446" i="2"/>
  <c r="AV494" i="2"/>
  <c r="AE420" i="2"/>
  <c r="AG421" i="2" s="1"/>
  <c r="W446" i="2"/>
  <c r="Z420" i="2"/>
  <c r="AB421" i="2" s="1"/>
  <c r="R237" i="2"/>
  <c r="U238" i="2"/>
  <c r="P237" i="2"/>
  <c r="P494" i="2"/>
  <c r="U495" i="2"/>
  <c r="M246" i="2"/>
  <c r="AT53" i="2"/>
  <c r="AF442" i="2"/>
  <c r="AD422" i="2"/>
  <c r="AT436" i="2"/>
  <c r="AV437" i="2" s="1"/>
  <c r="AY194" i="2"/>
  <c r="AI263" i="2"/>
  <c r="P234" i="2"/>
  <c r="P233" i="2"/>
  <c r="R233" i="2"/>
  <c r="AW245" i="2"/>
  <c r="AY244" i="2"/>
  <c r="AY508" i="2"/>
  <c r="AU440" i="2"/>
  <c r="AU101" i="2"/>
  <c r="AY446" i="2"/>
  <c r="AY421" i="2"/>
  <c r="AU438" i="2"/>
  <c r="V422" i="2"/>
  <c r="AW364" i="2"/>
  <c r="AY363" i="2"/>
  <c r="AY256" i="2"/>
  <c r="AU513" i="2"/>
  <c r="AO357" i="2"/>
  <c r="AQ357" i="2"/>
  <c r="AY368" i="2"/>
  <c r="AY303" i="2"/>
  <c r="AY302" i="2"/>
  <c r="AY367" i="2"/>
  <c r="AY370" i="2"/>
  <c r="AY369" i="2"/>
  <c r="K429" i="2"/>
  <c r="K428" i="2"/>
  <c r="J446" i="2"/>
  <c r="O422" i="2"/>
  <c r="J421" i="2"/>
  <c r="R404" i="2"/>
  <c r="P404" i="2"/>
  <c r="AY510" i="2"/>
  <c r="AU260" i="2"/>
  <c r="AU262" i="2"/>
  <c r="AY437" i="2"/>
  <c r="AW263" i="2"/>
  <c r="AY262" i="2"/>
  <c r="AU369" i="2"/>
  <c r="U404" i="2"/>
  <c r="W404" i="2"/>
  <c r="AV438" i="2"/>
  <c r="AT244" i="2"/>
  <c r="AT245" i="2" s="1"/>
  <c r="AS246" i="2"/>
  <c r="AM246" i="2"/>
  <c r="AI245" i="2"/>
  <c r="AJ244" i="2"/>
  <c r="AL245" i="2" s="1"/>
  <c r="AO370" i="2"/>
  <c r="U367" i="2"/>
  <c r="W302" i="2"/>
  <c r="U368" i="2"/>
  <c r="U302" i="2"/>
  <c r="AO405" i="2"/>
  <c r="AO404" i="2"/>
  <c r="AP422" i="2"/>
  <c r="AP446" i="2"/>
  <c r="U428" i="2"/>
  <c r="W428" i="2"/>
  <c r="AV255" i="2"/>
  <c r="AT255" i="2"/>
  <c r="AT256" i="2"/>
  <c r="AU99" i="2"/>
  <c r="AP101" i="2"/>
  <c r="AP99" i="2"/>
  <c r="AO97" i="2"/>
  <c r="AX260" i="2"/>
  <c r="AS262" i="2"/>
  <c r="AX264" i="2" s="1"/>
  <c r="I93" i="2"/>
  <c r="E92" i="2"/>
  <c r="D92" i="2"/>
  <c r="AB246" i="2"/>
  <c r="AS260" i="2"/>
  <c r="AV329" i="2"/>
  <c r="AT329" i="2"/>
  <c r="AV346" i="2"/>
  <c r="AQ369" i="2"/>
  <c r="AQ346" i="2"/>
  <c r="AR345" i="2"/>
  <c r="AE447" i="2"/>
  <c r="AG434" i="2"/>
  <c r="AE434" i="2"/>
  <c r="AD101" i="2"/>
  <c r="AD102" i="2" s="1"/>
  <c r="AI99" i="2"/>
  <c r="AD98" i="2"/>
  <c r="AT258" i="2"/>
  <c r="AY260" i="2" s="1"/>
  <c r="U447" i="2"/>
  <c r="U434" i="2"/>
  <c r="W434" i="2"/>
  <c r="AV260" i="2"/>
  <c r="AQ262" i="2"/>
  <c r="AQ264" i="2" s="1"/>
  <c r="T264" i="2"/>
  <c r="Y264" i="2"/>
  <c r="AV357" i="2"/>
  <c r="AT358" i="2"/>
  <c r="AT370" i="2"/>
  <c r="AT357" i="2"/>
  <c r="AU511" i="2"/>
  <c r="AO509" i="2"/>
  <c r="AP513" i="2"/>
  <c r="AP511" i="2"/>
  <c r="Z237" i="2"/>
  <c r="Z238" i="2"/>
  <c r="AB237" i="2"/>
  <c r="H89" i="2"/>
  <c r="F89" i="2"/>
  <c r="AN263" i="2"/>
  <c r="AN264" i="2"/>
  <c r="AO262" i="2"/>
  <c r="E440" i="2"/>
  <c r="E437" i="2"/>
  <c r="O264" i="2"/>
  <c r="AO447" i="2"/>
  <c r="AQ434" i="2"/>
  <c r="AO434" i="2"/>
  <c r="K521" i="2"/>
  <c r="M507" i="2"/>
  <c r="K507" i="2"/>
  <c r="K508" i="2"/>
  <c r="AV434" i="2"/>
  <c r="AT435" i="2"/>
  <c r="AT434" i="2"/>
  <c r="Z367" i="2"/>
  <c r="AB302" i="2"/>
  <c r="Z302" i="2"/>
  <c r="Z303" i="2"/>
  <c r="Z368" i="2"/>
  <c r="AV422" i="2"/>
  <c r="AQ446" i="2"/>
  <c r="AQ422" i="2"/>
  <c r="AQ37" i="2"/>
  <c r="AO37" i="2"/>
  <c r="AN346" i="2"/>
  <c r="AS346" i="2"/>
  <c r="AN345" i="2"/>
  <c r="AN369" i="2"/>
  <c r="AW264" i="2"/>
  <c r="AR264" i="2"/>
  <c r="AO194" i="2"/>
  <c r="AO193" i="2"/>
  <c r="AQ193" i="2"/>
  <c r="AB354" i="2"/>
  <c r="AE355" i="2"/>
  <c r="Z355" i="2"/>
  <c r="Z354" i="2"/>
  <c r="AH442" i="2"/>
  <c r="AC442" i="2"/>
  <c r="AF511" i="2"/>
  <c r="Z509" i="2"/>
  <c r="K447" i="2"/>
  <c r="K434" i="2"/>
  <c r="M434" i="2"/>
  <c r="Z521" i="2"/>
  <c r="AB507" i="2"/>
  <c r="AV233" i="2"/>
  <c r="AT234" i="2"/>
  <c r="AT233" i="2"/>
  <c r="AO368" i="2"/>
  <c r="AO367" i="2"/>
  <c r="AO303" i="2"/>
  <c r="AQ302" i="2"/>
  <c r="AO302" i="2"/>
  <c r="AQ440" i="2"/>
  <c r="AR441" i="2" s="1"/>
  <c r="AR437" i="2"/>
  <c r="AQ438" i="2"/>
  <c r="AQ437" i="2"/>
  <c r="AW442" i="2"/>
  <c r="AR442" i="2"/>
  <c r="AQ360" i="2"/>
  <c r="AO360" i="2"/>
  <c r="AO521" i="2"/>
  <c r="AT508" i="2"/>
  <c r="AQ507" i="2"/>
  <c r="AO507" i="2"/>
  <c r="AO508" i="2"/>
  <c r="Z370" i="2"/>
  <c r="AT238" i="2"/>
  <c r="AQ237" i="2"/>
  <c r="AO238" i="2"/>
  <c r="AO237" i="2"/>
  <c r="AU346" i="2"/>
  <c r="AP369" i="2"/>
  <c r="AP346" i="2"/>
  <c r="AQ233" i="2"/>
  <c r="AO233" i="2"/>
  <c r="AO234" i="2"/>
  <c r="AE477" i="2"/>
  <c r="AG477" i="2"/>
  <c r="AJ478" i="2"/>
  <c r="M86" i="2"/>
  <c r="P87" i="2"/>
  <c r="K87" i="2"/>
  <c r="K86" i="2"/>
  <c r="K89" i="2"/>
  <c r="P90" i="2"/>
  <c r="M89" i="2"/>
  <c r="K90" i="2"/>
  <c r="M404" i="2"/>
  <c r="K404" i="2"/>
  <c r="P405" i="2"/>
  <c r="F521" i="2"/>
  <c r="H507" i="2"/>
  <c r="F507" i="2"/>
  <c r="AO53" i="2"/>
  <c r="AQ53" i="2"/>
  <c r="AV237" i="2"/>
  <c r="AT237" i="2"/>
  <c r="L93" i="2"/>
  <c r="G97" i="2"/>
  <c r="G93" i="2"/>
  <c r="F91" i="2"/>
  <c r="F127" i="2" s="1"/>
  <c r="AU363" i="2"/>
  <c r="AU361" i="2"/>
  <c r="AT359" i="2"/>
  <c r="AL329" i="2"/>
  <c r="AJ330" i="2"/>
  <c r="AJ329" i="2"/>
  <c r="R446" i="2"/>
  <c r="R421" i="2"/>
  <c r="S421" i="2"/>
  <c r="F37" i="2"/>
  <c r="H37" i="2"/>
  <c r="K38" i="2"/>
  <c r="H422" i="2"/>
  <c r="H446" i="2"/>
  <c r="I421" i="2"/>
  <c r="J438" i="2"/>
  <c r="K420" i="2"/>
  <c r="S102" i="2"/>
  <c r="T102" i="2"/>
  <c r="S103" i="2"/>
  <c r="AJ359" i="2"/>
  <c r="AK361" i="2"/>
  <c r="AP361" i="2"/>
  <c r="AK363" i="2"/>
  <c r="AE319" i="2"/>
  <c r="AK321" i="2"/>
  <c r="AF321" i="2"/>
  <c r="AF338" i="2"/>
  <c r="AE303" i="2"/>
  <c r="AG302" i="2"/>
  <c r="AE302" i="2"/>
  <c r="AE368" i="2"/>
  <c r="AE521" i="2"/>
  <c r="AE508" i="2"/>
  <c r="AG507" i="2"/>
  <c r="AE507" i="2"/>
  <c r="AJ508" i="2"/>
  <c r="P370" i="2"/>
  <c r="R357" i="2"/>
  <c r="P358" i="2"/>
  <c r="P357" i="2"/>
  <c r="P367" i="2"/>
  <c r="R302" i="2"/>
  <c r="P302" i="2"/>
  <c r="P368" i="2"/>
  <c r="P303" i="2"/>
  <c r="U303" i="2"/>
  <c r="AQ494" i="2"/>
  <c r="AO495" i="2"/>
  <c r="AO520" i="2"/>
  <c r="AO494" i="2"/>
  <c r="AS514" i="2"/>
  <c r="AS515" i="2"/>
  <c r="W246" i="2"/>
  <c r="AK103" i="2"/>
  <c r="F360" i="2"/>
  <c r="H360" i="2"/>
  <c r="U369" i="2"/>
  <c r="U345" i="2"/>
  <c r="W345" i="2"/>
  <c r="AJ514" i="2"/>
  <c r="AL514" i="2"/>
  <c r="P521" i="2"/>
  <c r="P507" i="2"/>
  <c r="P508" i="2"/>
  <c r="R507" i="2"/>
  <c r="U508" i="2"/>
  <c r="AJ447" i="2"/>
  <c r="AJ434" i="2"/>
  <c r="AL434" i="2"/>
  <c r="AO435" i="2"/>
  <c r="AJ435" i="2"/>
  <c r="AO329" i="2"/>
  <c r="AQ329" i="2"/>
  <c r="AO330" i="2"/>
  <c r="AT276" i="2"/>
  <c r="AT275" i="2"/>
  <c r="AW422" i="2"/>
  <c r="AR446" i="2"/>
  <c r="AR421" i="2"/>
  <c r="AS421" i="2"/>
  <c r="AR422" i="2"/>
  <c r="AQ275" i="2"/>
  <c r="AO276" i="2"/>
  <c r="AO275" i="2"/>
  <c r="AD246" i="2"/>
  <c r="AD245" i="2"/>
  <c r="AT420" i="2"/>
  <c r="AY422" i="2" s="1"/>
  <c r="Z53" i="2"/>
  <c r="AE54" i="2"/>
  <c r="AB53" i="2"/>
  <c r="Z54" i="2"/>
  <c r="M237" i="2"/>
  <c r="K238" i="2"/>
  <c r="K237" i="2"/>
  <c r="F369" i="2"/>
  <c r="F345" i="2"/>
  <c r="K346" i="2"/>
  <c r="H345" i="2"/>
  <c r="P329" i="2"/>
  <c r="P330" i="2"/>
  <c r="R329" i="2"/>
  <c r="T103" i="2"/>
  <c r="O103" i="2"/>
  <c r="P101" i="2"/>
  <c r="O102" i="2"/>
  <c r="Z447" i="2"/>
  <c r="AE435" i="2"/>
  <c r="AB434" i="2"/>
  <c r="P447" i="2"/>
  <c r="P435" i="2"/>
  <c r="U435" i="2"/>
  <c r="R434" i="2"/>
  <c r="P434" i="2"/>
  <c r="AW47" i="2"/>
  <c r="AR47" i="2"/>
  <c r="AR46" i="2"/>
  <c r="AT45" i="2"/>
  <c r="K370" i="2"/>
  <c r="M302" i="2"/>
  <c r="K303" i="2"/>
  <c r="K302" i="2"/>
  <c r="K367" i="2"/>
  <c r="K369" i="2"/>
  <c r="AV404" i="2"/>
  <c r="AT405" i="2"/>
  <c r="AT404" i="2"/>
  <c r="S514" i="2"/>
  <c r="R515" i="2"/>
  <c r="E364" i="2"/>
  <c r="D364" i="2"/>
  <c r="F363" i="2"/>
  <c r="Q369" i="2"/>
  <c r="Q346" i="2"/>
  <c r="P344" i="2"/>
  <c r="U346" i="2" s="1"/>
  <c r="AD442" i="2"/>
  <c r="AI442" i="2"/>
  <c r="AD441" i="2"/>
  <c r="V103" i="2"/>
  <c r="U101" i="2"/>
  <c r="F447" i="2"/>
  <c r="K435" i="2"/>
  <c r="H434" i="2"/>
  <c r="F434" i="2"/>
  <c r="U370" i="2"/>
  <c r="W357" i="2"/>
  <c r="Z358" i="2"/>
  <c r="U357" i="2"/>
  <c r="U358" i="2"/>
  <c r="AW246" i="2"/>
  <c r="AR246" i="2"/>
  <c r="AR245" i="2"/>
  <c r="AS46" i="2"/>
  <c r="AS245" i="2"/>
  <c r="AT495" i="2"/>
  <c r="AT520" i="2"/>
  <c r="AT494" i="2"/>
  <c r="AE244" i="2"/>
  <c r="Z244" i="2"/>
  <c r="AK264" i="2"/>
  <c r="AJ262" i="2"/>
  <c r="V515" i="2"/>
  <c r="P513" i="2"/>
  <c r="Y103" i="2"/>
  <c r="Y102" i="2"/>
  <c r="AG275" i="2"/>
  <c r="AE276" i="2"/>
  <c r="AJ276" i="2"/>
  <c r="AE275" i="2"/>
  <c r="H494" i="2"/>
  <c r="K495" i="2"/>
  <c r="F494" i="2"/>
  <c r="F520" i="2"/>
  <c r="N514" i="2"/>
  <c r="AV246" i="2"/>
  <c r="AD263" i="2" l="1"/>
  <c r="AE262" i="2"/>
  <c r="Z369" i="2"/>
  <c r="Z346" i="2"/>
  <c r="AC264" i="2"/>
  <c r="AC514" i="2"/>
  <c r="Q442" i="2"/>
  <c r="I263" i="2"/>
  <c r="AC263" i="2"/>
  <c r="AL365" i="2"/>
  <c r="F267" i="2"/>
  <c r="M259" i="2"/>
  <c r="F269" i="2"/>
  <c r="P260" i="2"/>
  <c r="F268" i="2"/>
  <c r="X364" i="2"/>
  <c r="Y364" i="2"/>
  <c r="Z363" i="2"/>
  <c r="Z364" i="2" s="1"/>
  <c r="T365" i="2"/>
  <c r="Y365" i="2"/>
  <c r="AG365" i="2"/>
  <c r="K360" i="2"/>
  <c r="W360" i="2"/>
  <c r="AB360" i="2"/>
  <c r="AO241" i="2"/>
  <c r="AQ240" i="2"/>
  <c r="AO446" i="2"/>
  <c r="AY241" i="2"/>
  <c r="M365" i="2"/>
  <c r="AE240" i="2"/>
  <c r="AO421" i="2"/>
  <c r="AJ41" i="2"/>
  <c r="AL40" i="2"/>
  <c r="AT241" i="2"/>
  <c r="M364" i="2"/>
  <c r="AT240" i="2"/>
  <c r="AO41" i="2"/>
  <c r="AO422" i="2"/>
  <c r="AQ40" i="2"/>
  <c r="AV40" i="2"/>
  <c r="AE241" i="2"/>
  <c r="AT41" i="2"/>
  <c r="L515" i="2"/>
  <c r="AT40" i="2"/>
  <c r="AL421" i="2"/>
  <c r="AG40" i="2"/>
  <c r="AJ446" i="2"/>
  <c r="U241" i="2"/>
  <c r="U240" i="2"/>
  <c r="W240" i="2"/>
  <c r="P240" i="2"/>
  <c r="P241" i="2"/>
  <c r="R240" i="2"/>
  <c r="AJ241" i="2"/>
  <c r="AJ240" i="2"/>
  <c r="AL240" i="2"/>
  <c r="K240" i="2"/>
  <c r="M240" i="2"/>
  <c r="Z241" i="2"/>
  <c r="Z240" i="2"/>
  <c r="AE46" i="2"/>
  <c r="AG186" i="2"/>
  <c r="AI186" i="2"/>
  <c r="AH186" i="2"/>
  <c r="AW186" i="2"/>
  <c r="AX186" i="2"/>
  <c r="AV186" i="2"/>
  <c r="AT186" i="2"/>
  <c r="AQ46" i="2"/>
  <c r="AQ186" i="2"/>
  <c r="AO186" i="2"/>
  <c r="AR186" i="2"/>
  <c r="AS186" i="2"/>
  <c r="AL46" i="2"/>
  <c r="AL186" i="2"/>
  <c r="AM186" i="2"/>
  <c r="AJ186" i="2"/>
  <c r="AN186" i="2"/>
  <c r="AY186" i="2"/>
  <c r="AB259" i="2"/>
  <c r="AL259" i="2"/>
  <c r="AY47" i="2"/>
  <c r="AI364" i="2"/>
  <c r="AY441" i="2"/>
  <c r="AD339" i="2"/>
  <c r="AY514" i="2"/>
  <c r="AG46" i="2"/>
  <c r="Y263" i="2"/>
  <c r="Z101" i="2"/>
  <c r="Z102" i="2" s="1"/>
  <c r="AA103" i="2"/>
  <c r="AE421" i="2"/>
  <c r="AC441" i="2"/>
  <c r="AE47" i="2"/>
  <c r="AE440" i="2"/>
  <c r="AG441" i="2" s="1"/>
  <c r="AY46" i="2"/>
  <c r="F510" i="2"/>
  <c r="AE260" i="2"/>
  <c r="AJ46" i="2"/>
  <c r="K98" i="2"/>
  <c r="AY511" i="2"/>
  <c r="P363" i="2"/>
  <c r="P364" i="2" s="1"/>
  <c r="N364" i="2"/>
  <c r="I441" i="2"/>
  <c r="U360" i="2"/>
  <c r="Z440" i="2"/>
  <c r="AB441" i="2" s="1"/>
  <c r="N365" i="2"/>
  <c r="P262" i="2"/>
  <c r="R263" i="2" s="1"/>
  <c r="AO46" i="2"/>
  <c r="O364" i="2"/>
  <c r="H421" i="2"/>
  <c r="M103" i="2"/>
  <c r="F446" i="2"/>
  <c r="R46" i="2"/>
  <c r="P437" i="2"/>
  <c r="Z360" i="2"/>
  <c r="L264" i="2"/>
  <c r="I365" i="2"/>
  <c r="Z262" i="2"/>
  <c r="Z263" i="2" s="1"/>
  <c r="W46" i="2"/>
  <c r="Z361" i="2"/>
  <c r="R259" i="2"/>
  <c r="O442" i="2"/>
  <c r="Z98" i="2"/>
  <c r="AY364" i="2"/>
  <c r="AG340" i="2"/>
  <c r="AO245" i="2"/>
  <c r="X263" i="2"/>
  <c r="X264" i="2"/>
  <c r="AE361" i="2"/>
  <c r="P259" i="2"/>
  <c r="O515" i="2"/>
  <c r="J515" i="2"/>
  <c r="I364" i="2"/>
  <c r="AB367" i="2"/>
  <c r="AB339" i="2"/>
  <c r="AH103" i="2"/>
  <c r="AB340" i="2"/>
  <c r="L442" i="2"/>
  <c r="AI365" i="2"/>
  <c r="Z99" i="2"/>
  <c r="O441" i="2"/>
  <c r="AB515" i="2"/>
  <c r="M360" i="2"/>
  <c r="AJ363" i="2"/>
  <c r="AJ364" i="2" s="1"/>
  <c r="AG515" i="2"/>
  <c r="U98" i="2"/>
  <c r="AE513" i="2"/>
  <c r="AG514" i="2" s="1"/>
  <c r="P98" i="2"/>
  <c r="K361" i="2"/>
  <c r="AB514" i="2"/>
  <c r="J364" i="2"/>
  <c r="AI102" i="2"/>
  <c r="U47" i="2"/>
  <c r="P438" i="2"/>
  <c r="Z260" i="2"/>
  <c r="AJ47" i="2"/>
  <c r="S264" i="2"/>
  <c r="F259" i="2"/>
  <c r="AO47" i="2"/>
  <c r="K260" i="2"/>
  <c r="N263" i="2"/>
  <c r="U440" i="2"/>
  <c r="U441" i="2" s="1"/>
  <c r="AP442" i="2"/>
  <c r="AJ101" i="2"/>
  <c r="AJ102" i="2" s="1"/>
  <c r="K511" i="2"/>
  <c r="S442" i="2"/>
  <c r="P440" i="2"/>
  <c r="P441" i="2" s="1"/>
  <c r="AL345" i="2"/>
  <c r="M515" i="2"/>
  <c r="I514" i="2"/>
  <c r="K510" i="2"/>
  <c r="AJ369" i="2"/>
  <c r="K513" i="2"/>
  <c r="M514" i="2" s="1"/>
  <c r="U446" i="2"/>
  <c r="H437" i="2"/>
  <c r="AR365" i="2"/>
  <c r="AY99" i="2"/>
  <c r="AC367" i="2"/>
  <c r="AT99" i="2"/>
  <c r="N264" i="2"/>
  <c r="P510" i="2"/>
  <c r="AJ260" i="2"/>
  <c r="AO259" i="2"/>
  <c r="R510" i="2"/>
  <c r="AQ259" i="2"/>
  <c r="AT510" i="2"/>
  <c r="U99" i="2"/>
  <c r="AJ99" i="2"/>
  <c r="U422" i="2"/>
  <c r="AC339" i="2"/>
  <c r="U262" i="2"/>
  <c r="U263" i="2" s="1"/>
  <c r="AH340" i="2"/>
  <c r="Z46" i="2"/>
  <c r="AV345" i="2"/>
  <c r="AE438" i="2"/>
  <c r="AC344" i="2"/>
  <c r="AC340" i="2"/>
  <c r="U438" i="2"/>
  <c r="AT345" i="2"/>
  <c r="AT369" i="2"/>
  <c r="AE99" i="2"/>
  <c r="AV245" i="2"/>
  <c r="P511" i="2"/>
  <c r="AJ245" i="2"/>
  <c r="AO369" i="2"/>
  <c r="AS103" i="2"/>
  <c r="U437" i="2"/>
  <c r="AD340" i="2"/>
  <c r="AD367" i="2"/>
  <c r="AI340" i="2"/>
  <c r="AD344" i="2"/>
  <c r="AD347" i="2" s="1"/>
  <c r="AL98" i="2"/>
  <c r="AG98" i="2"/>
  <c r="AO101" i="2"/>
  <c r="AQ102" i="2" s="1"/>
  <c r="I102" i="2"/>
  <c r="W259" i="2"/>
  <c r="AR102" i="2"/>
  <c r="F440" i="2"/>
  <c r="H441" i="2" s="1"/>
  <c r="AE437" i="2"/>
  <c r="AV365" i="2"/>
  <c r="U421" i="2"/>
  <c r="P99" i="2"/>
  <c r="AJ246" i="2"/>
  <c r="AO246" i="2"/>
  <c r="U260" i="2"/>
  <c r="K101" i="2"/>
  <c r="P103" i="2" s="1"/>
  <c r="AT98" i="2"/>
  <c r="N103" i="2"/>
  <c r="J263" i="2"/>
  <c r="S263" i="2"/>
  <c r="AQ103" i="2"/>
  <c r="W264" i="2"/>
  <c r="AH102" i="2"/>
  <c r="P246" i="2"/>
  <c r="AO345" i="2"/>
  <c r="AL103" i="2"/>
  <c r="AS364" i="2"/>
  <c r="Z47" i="2"/>
  <c r="K440" i="2"/>
  <c r="K437" i="2"/>
  <c r="M437" i="2"/>
  <c r="P245" i="2"/>
  <c r="AO346" i="2"/>
  <c r="AB46" i="2"/>
  <c r="K438" i="2"/>
  <c r="AT346" i="2"/>
  <c r="AW103" i="2"/>
  <c r="AS102" i="2"/>
  <c r="AG259" i="2"/>
  <c r="AE259" i="2"/>
  <c r="AS442" i="2"/>
  <c r="AX442" i="2"/>
  <c r="AJ422" i="2"/>
  <c r="AE446" i="2"/>
  <c r="U363" i="2"/>
  <c r="V365" i="2"/>
  <c r="AA365" i="2"/>
  <c r="AG103" i="2"/>
  <c r="AR364" i="2"/>
  <c r="K262" i="2"/>
  <c r="P360" i="2"/>
  <c r="P361" i="2"/>
  <c r="U361" i="2"/>
  <c r="R360" i="2"/>
  <c r="AE422" i="2"/>
  <c r="AH365" i="2"/>
  <c r="AD364" i="2"/>
  <c r="AC365" i="2"/>
  <c r="M245" i="2"/>
  <c r="U246" i="2"/>
  <c r="AC102" i="2"/>
  <c r="AB103" i="2"/>
  <c r="AC364" i="2"/>
  <c r="N442" i="2"/>
  <c r="I442" i="2"/>
  <c r="J441" i="2"/>
  <c r="W245" i="2"/>
  <c r="AT513" i="2"/>
  <c r="AY515" i="2" s="1"/>
  <c r="AY438" i="2"/>
  <c r="AT438" i="2"/>
  <c r="AU442" i="2"/>
  <c r="AT437" i="2"/>
  <c r="AE364" i="2"/>
  <c r="AG364" i="2"/>
  <c r="AK442" i="2"/>
  <c r="AJ440" i="2"/>
  <c r="AR514" i="2"/>
  <c r="AQ515" i="2"/>
  <c r="AT262" i="2"/>
  <c r="AV263" i="2" s="1"/>
  <c r="H193" i="2"/>
  <c r="F193" i="2"/>
  <c r="K194" i="2"/>
  <c r="AJ438" i="2"/>
  <c r="AO438" i="2"/>
  <c r="AL437" i="2"/>
  <c r="AJ437" i="2"/>
  <c r="J99" i="2"/>
  <c r="E101" i="2"/>
  <c r="J103" i="2" s="1"/>
  <c r="AG510" i="2"/>
  <c r="AE510" i="2"/>
  <c r="AJ511" i="2"/>
  <c r="AD103" i="2"/>
  <c r="AI103" i="2"/>
  <c r="AE101" i="2"/>
  <c r="AE102" i="2" s="1"/>
  <c r="AV264" i="2"/>
  <c r="AR263" i="2"/>
  <c r="AY263" i="2"/>
  <c r="AU264" i="2"/>
  <c r="AT101" i="2"/>
  <c r="AT361" i="2"/>
  <c r="AY361" i="2"/>
  <c r="AY246" i="2"/>
  <c r="AY245" i="2"/>
  <c r="AB346" i="2"/>
  <c r="AB345" i="2"/>
  <c r="AG346" i="2"/>
  <c r="AB369" i="2"/>
  <c r="AT246" i="2"/>
  <c r="J442" i="2"/>
  <c r="AS263" i="2"/>
  <c r="AS264" i="2"/>
  <c r="AQ98" i="2"/>
  <c r="AO99" i="2"/>
  <c r="AO98" i="2"/>
  <c r="AT259" i="2"/>
  <c r="AV259" i="2"/>
  <c r="I99" i="2"/>
  <c r="D98" i="2"/>
  <c r="D101" i="2"/>
  <c r="E98" i="2"/>
  <c r="AU103" i="2"/>
  <c r="AP103" i="2"/>
  <c r="AT260" i="2"/>
  <c r="H514" i="2"/>
  <c r="AK365" i="2"/>
  <c r="AP365" i="2"/>
  <c r="AG263" i="2"/>
  <c r="AE263" i="2"/>
  <c r="AT363" i="2"/>
  <c r="AU365" i="2"/>
  <c r="AQ442" i="2"/>
  <c r="AQ441" i="2"/>
  <c r="AV442" i="2"/>
  <c r="AT440" i="2"/>
  <c r="AY442" i="2" s="1"/>
  <c r="AO510" i="2"/>
  <c r="AO511" i="2"/>
  <c r="AQ510" i="2"/>
  <c r="AT511" i="2"/>
  <c r="F92" i="2"/>
  <c r="H92" i="2"/>
  <c r="K93" i="2"/>
  <c r="AB510" i="2"/>
  <c r="AE511" i="2"/>
  <c r="AE321" i="2"/>
  <c r="AE320" i="2"/>
  <c r="AJ321" i="2"/>
  <c r="AG320" i="2"/>
  <c r="K446" i="2"/>
  <c r="K422" i="2"/>
  <c r="K421" i="2"/>
  <c r="M421" i="2"/>
  <c r="AV360" i="2"/>
  <c r="AT360" i="2"/>
  <c r="AF367" i="2"/>
  <c r="AK340" i="2"/>
  <c r="AF340" i="2"/>
  <c r="AE338" i="2"/>
  <c r="AJ361" i="2"/>
  <c r="AL360" i="2"/>
  <c r="AJ360" i="2"/>
  <c r="G99" i="2"/>
  <c r="F97" i="2"/>
  <c r="G101" i="2"/>
  <c r="L99" i="2"/>
  <c r="AO361" i="2"/>
  <c r="AO263" i="2"/>
  <c r="AQ263" i="2"/>
  <c r="AU515" i="2"/>
  <c r="AP515" i="2"/>
  <c r="AO513" i="2"/>
  <c r="Z246" i="2"/>
  <c r="Z245" i="2"/>
  <c r="AB245" i="2"/>
  <c r="P102" i="2"/>
  <c r="R102" i="2"/>
  <c r="AV421" i="2"/>
  <c r="AT446" i="2"/>
  <c r="AT421" i="2"/>
  <c r="AT422" i="2"/>
  <c r="AE245" i="2"/>
  <c r="AE246" i="2"/>
  <c r="AG245" i="2"/>
  <c r="AJ264" i="2"/>
  <c r="AJ263" i="2"/>
  <c r="AO264" i="2"/>
  <c r="AL263" i="2"/>
  <c r="F364" i="2"/>
  <c r="K365" i="2"/>
  <c r="H364" i="2"/>
  <c r="AT47" i="2"/>
  <c r="AT46" i="2"/>
  <c r="AV46" i="2"/>
  <c r="P514" i="2"/>
  <c r="U515" i="2"/>
  <c r="W102" i="2"/>
  <c r="U102" i="2"/>
  <c r="U103" i="2"/>
  <c r="R345" i="2"/>
  <c r="P369" i="2"/>
  <c r="P346" i="2"/>
  <c r="P345" i="2"/>
  <c r="R514" i="2"/>
  <c r="AE365" i="2" l="1"/>
  <c r="AB364" i="2"/>
  <c r="AC346" i="2"/>
  <c r="AC347" i="2"/>
  <c r="AE347" i="2" s="1"/>
  <c r="AB102" i="2"/>
  <c r="AE515" i="2"/>
  <c r="Z103" i="2"/>
  <c r="AE441" i="2"/>
  <c r="P365" i="2"/>
  <c r="AE442" i="2"/>
  <c r="AE264" i="2"/>
  <c r="P263" i="2"/>
  <c r="P264" i="2"/>
  <c r="AJ365" i="2"/>
  <c r="AB263" i="2"/>
  <c r="AV364" i="2"/>
  <c r="AT365" i="2"/>
  <c r="AT364" i="2"/>
  <c r="AY365" i="2"/>
  <c r="AL364" i="2"/>
  <c r="AE514" i="2"/>
  <c r="AD345" i="2"/>
  <c r="W441" i="2"/>
  <c r="AL102" i="2"/>
  <c r="AY264" i="2"/>
  <c r="K515" i="2"/>
  <c r="P515" i="2"/>
  <c r="K514" i="2"/>
  <c r="AO102" i="2"/>
  <c r="P442" i="2"/>
  <c r="AT103" i="2"/>
  <c r="U264" i="2"/>
  <c r="AC369" i="2"/>
  <c r="AC345" i="2"/>
  <c r="M102" i="2"/>
  <c r="AH346" i="2"/>
  <c r="AE344" i="2"/>
  <c r="AJ346" i="2" s="1"/>
  <c r="K102" i="2"/>
  <c r="W263" i="2"/>
  <c r="Z264" i="2"/>
  <c r="AO103" i="2"/>
  <c r="AJ103" i="2"/>
  <c r="AD369" i="2"/>
  <c r="AI346" i="2"/>
  <c r="AD346" i="2"/>
  <c r="K442" i="2"/>
  <c r="M441" i="2"/>
  <c r="K441" i="2"/>
  <c r="U364" i="2"/>
  <c r="Z365" i="2"/>
  <c r="W364" i="2"/>
  <c r="AT514" i="2"/>
  <c r="K263" i="2"/>
  <c r="M263" i="2"/>
  <c r="AT264" i="2"/>
  <c r="AT263" i="2"/>
  <c r="AL441" i="2"/>
  <c r="AO442" i="2"/>
  <c r="AJ442" i="2"/>
  <c r="AJ441" i="2"/>
  <c r="AE103" i="2"/>
  <c r="AG102" i="2"/>
  <c r="AV102" i="2"/>
  <c r="AY103" i="2"/>
  <c r="AT102" i="2"/>
  <c r="I103" i="2"/>
  <c r="E102" i="2"/>
  <c r="D102" i="2"/>
  <c r="AT441" i="2"/>
  <c r="AV441" i="2"/>
  <c r="AT442" i="2"/>
  <c r="AO515" i="2"/>
  <c r="AQ514" i="2"/>
  <c r="AO514" i="2"/>
  <c r="F101" i="2"/>
  <c r="G103" i="2"/>
  <c r="L103" i="2"/>
  <c r="F98" i="2"/>
  <c r="H98" i="2"/>
  <c r="K99" i="2"/>
  <c r="AT515" i="2"/>
  <c r="AG339" i="2"/>
  <c r="AE339" i="2"/>
  <c r="AJ340" i="2"/>
  <c r="AE367" i="2"/>
  <c r="AE340" i="2"/>
  <c r="AG345" i="2" l="1"/>
  <c r="AE345" i="2"/>
  <c r="AE346" i="2"/>
  <c r="AE369" i="2"/>
  <c r="F102" i="2"/>
  <c r="H102" i="2"/>
  <c r="K103" i="2"/>
  <c r="AZ13" i="3"/>
  <c r="AY13" i="3"/>
  <c r="AY12" i="3"/>
  <c r="AY17" i="3"/>
  <c r="AY16" i="3"/>
  <c r="AZ17" i="3"/>
  <c r="AA32" i="7"/>
</calcChain>
</file>

<file path=xl/sharedStrings.xml><?xml version="1.0" encoding="utf-8"?>
<sst xmlns="http://schemas.openxmlformats.org/spreadsheetml/2006/main" count="4749" uniqueCount="409">
  <si>
    <t>Q2</t>
  </si>
  <si>
    <t>Q3</t>
  </si>
  <si>
    <t>Q4</t>
  </si>
  <si>
    <t>Pelephone</t>
  </si>
  <si>
    <t>Bezeq The Israel Telecommunication Corp. Limited</t>
  </si>
  <si>
    <t>FY</t>
  </si>
  <si>
    <t xml:space="preserve">Q1 </t>
  </si>
  <si>
    <t>QoQ Change</t>
  </si>
  <si>
    <t>YoY Change</t>
  </si>
  <si>
    <t>EBITDA</t>
  </si>
  <si>
    <t>EBITDA margin</t>
  </si>
  <si>
    <t>Depreciation &amp; amortization</t>
  </si>
  <si>
    <t>Operating cash flow</t>
  </si>
  <si>
    <t>Free cash flow</t>
  </si>
  <si>
    <t>Net debt</t>
  </si>
  <si>
    <t>Bezeq International</t>
  </si>
  <si>
    <t>Revenues</t>
  </si>
  <si>
    <t xml:space="preserve">Number of employees </t>
  </si>
  <si>
    <t>Capex/Sales</t>
  </si>
  <si>
    <t>Ratios</t>
  </si>
  <si>
    <t>yes</t>
  </si>
  <si>
    <t xml:space="preserve">Bezeq Investor Relations </t>
  </si>
  <si>
    <t>For further information:</t>
  </si>
  <si>
    <t>Phone     +9722 539 5441</t>
  </si>
  <si>
    <t>Key Cash Flow Metrics</t>
  </si>
  <si>
    <t>Key Performance Indicators</t>
  </si>
  <si>
    <t>Index of contents</t>
  </si>
  <si>
    <t>Key Income Statement Metrics</t>
  </si>
  <si>
    <t>Operating margin</t>
  </si>
  <si>
    <t>Earnings Per Share - Basic</t>
  </si>
  <si>
    <t>Earnings Per Share - Diluted</t>
  </si>
  <si>
    <t>Shares Outstanding - Diluted</t>
  </si>
  <si>
    <t xml:space="preserve">Shares Outstanding - Basic </t>
  </si>
  <si>
    <t>ARPU</t>
  </si>
  <si>
    <t>=</t>
  </si>
  <si>
    <t>MOU</t>
  </si>
  <si>
    <t>Net margin</t>
  </si>
  <si>
    <t>Glossary</t>
  </si>
  <si>
    <t>ir@bezeq.co.il</t>
  </si>
  <si>
    <t>N/M</t>
  </si>
  <si>
    <t>N/A</t>
  </si>
  <si>
    <t xml:space="preserve">                                      (NIS millions, except for EPS)</t>
  </si>
  <si>
    <t xml:space="preserve">Ratios </t>
  </si>
  <si>
    <t xml:space="preserve">Total incoming minutes (in millions) </t>
  </si>
  <si>
    <t>NM</t>
  </si>
  <si>
    <t>Capital expenditures, gross (accounting)</t>
  </si>
  <si>
    <t>Capital expenditures, gross (cash flow)</t>
  </si>
  <si>
    <t>Capital expenditures, net (cash flow)</t>
  </si>
  <si>
    <t xml:space="preserve">N/A </t>
  </si>
  <si>
    <t xml:space="preserve">GLOSSARY </t>
  </si>
  <si>
    <r>
      <t>Free cash flow</t>
    </r>
    <r>
      <rPr>
        <b/>
        <vertAlign val="superscript"/>
        <sz val="10"/>
        <rFont val="Arial"/>
        <family val="2"/>
      </rPr>
      <t xml:space="preserve"> </t>
    </r>
  </si>
  <si>
    <t>Bezeq Fixed-Line</t>
  </si>
  <si>
    <t xml:space="preserve">Q2 </t>
  </si>
  <si>
    <t>Net capital expenditures</t>
  </si>
  <si>
    <t>Average revenue per user</t>
  </si>
  <si>
    <t>Minutes of use</t>
  </si>
  <si>
    <t>Not available</t>
  </si>
  <si>
    <t>Not meaningful</t>
  </si>
  <si>
    <t>Total Revenues</t>
  </si>
  <si>
    <t>Service Revenues</t>
  </si>
  <si>
    <t>Equipment Revenues</t>
  </si>
  <si>
    <t xml:space="preserve">Operating cash flow </t>
  </si>
  <si>
    <t xml:space="preserve">Free cash flow </t>
  </si>
  <si>
    <r>
      <t>Capital expenditures, net (cash flow)</t>
    </r>
    <r>
      <rPr>
        <b/>
        <vertAlign val="superscript"/>
        <sz val="10"/>
        <rFont val="Arial"/>
        <family val="2"/>
      </rPr>
      <t xml:space="preserve"> </t>
    </r>
  </si>
  <si>
    <t xml:space="preserve">Capital expenditures, gross (cash flow) </t>
  </si>
  <si>
    <t xml:space="preserve">Capital expenditures, gross (accounting) </t>
  </si>
  <si>
    <t>Average broadband speed per subscriber (end of period, Mbps)</t>
  </si>
  <si>
    <t>ARPL</t>
  </si>
  <si>
    <t>Average revenue per line</t>
  </si>
  <si>
    <t>Purchase of property, plant &amp; equipment (PPE), plus investments in intangible assets, less proceeds from the sale of PPE</t>
  </si>
  <si>
    <t xml:space="preserve">ARPU (in NIS) </t>
  </si>
  <si>
    <t xml:space="preserve">Key Income Statement Metrics </t>
  </si>
  <si>
    <t xml:space="preserve">Key Cash Flow Metrics </t>
  </si>
  <si>
    <t>Total outgoing minutes (in millions)</t>
  </si>
  <si>
    <t xml:space="preserve">Total access lines (in 000's) </t>
  </si>
  <si>
    <t xml:space="preserve">ARPL - Voice &amp; fixed fees (in NIS) </t>
  </si>
  <si>
    <t>Salaries</t>
  </si>
  <si>
    <t>Key Income Statement Metrics (Revenues)</t>
  </si>
  <si>
    <t>Cost of sales</t>
  </si>
  <si>
    <t>Sales &amp; marketing expenses</t>
  </si>
  <si>
    <t>General &amp; administrative expenses</t>
  </si>
  <si>
    <t>Operating &amp; general expenses</t>
  </si>
  <si>
    <r>
      <t xml:space="preserve">Bezeq Fixed-Line </t>
    </r>
    <r>
      <rPr>
        <b/>
        <sz val="12"/>
        <rFont val="Arial"/>
        <family val="2"/>
      </rPr>
      <t>(cont'd)</t>
    </r>
  </si>
  <si>
    <t>Interconnect &amp; payments to telecom operators</t>
  </si>
  <si>
    <t>Terminal equipment &amp; materials</t>
  </si>
  <si>
    <t>Maintenance of buildings and sites</t>
  </si>
  <si>
    <t>Services and maintenance by sub-contractors</t>
  </si>
  <si>
    <t xml:space="preserve">Vehicle maintenance </t>
  </si>
  <si>
    <t>Finance expenses (income), net</t>
  </si>
  <si>
    <t>Q1</t>
  </si>
  <si>
    <r>
      <t xml:space="preserve">Bezeq Group </t>
    </r>
    <r>
      <rPr>
        <b/>
        <vertAlign val="superscript"/>
        <sz val="10"/>
        <rFont val="Arial"/>
        <family val="2"/>
      </rPr>
      <t>(1)</t>
    </r>
  </si>
  <si>
    <t xml:space="preserve">Salaries </t>
  </si>
  <si>
    <r>
      <t>Bezeq Group</t>
    </r>
    <r>
      <rPr>
        <b/>
        <sz val="11"/>
        <rFont val="Arial"/>
        <family val="2"/>
      </rPr>
      <t xml:space="preserve"> (cont'd)</t>
    </r>
  </si>
  <si>
    <t>Vehicle maintenance</t>
  </si>
  <si>
    <t>Marketing &amp; general</t>
  </si>
  <si>
    <t>Other operating expenses (income)</t>
  </si>
  <si>
    <t>Dividend History</t>
  </si>
  <si>
    <t>Gross profit</t>
  </si>
  <si>
    <t>April 16, 2006</t>
  </si>
  <si>
    <t>Dividend per share (NIS)</t>
  </si>
  <si>
    <t>October 30, 2006</t>
  </si>
  <si>
    <t>January 9, 2007</t>
  </si>
  <si>
    <t>February 26, 2007</t>
  </si>
  <si>
    <t>October 15, 2007</t>
  </si>
  <si>
    <t>April 28, 2008</t>
  </si>
  <si>
    <t>October 29, 2008</t>
  </si>
  <si>
    <t>May 24, 2009</t>
  </si>
  <si>
    <t>October 5, 2009</t>
  </si>
  <si>
    <t>May 3, 2010</t>
  </si>
  <si>
    <t>October 7, 2010</t>
  </si>
  <si>
    <t>May 19, 2011</t>
  </si>
  <si>
    <t>October 5, 2011</t>
  </si>
  <si>
    <t>May 21, 2012</t>
  </si>
  <si>
    <t>October 10, 2012</t>
  </si>
  <si>
    <t>May 13, 2013</t>
  </si>
  <si>
    <t>September 15, 2013</t>
  </si>
  <si>
    <t>Bezeq Group Dividends</t>
  </si>
  <si>
    <t>Dividend Distribution date</t>
  </si>
  <si>
    <t>Total Amount (NIS m)</t>
  </si>
  <si>
    <t>Dividend Type</t>
  </si>
  <si>
    <t>Semi-Annual Dividend</t>
  </si>
  <si>
    <t>Special Dividend (1 of 6)</t>
  </si>
  <si>
    <t>Special Dividend (6 of 6)</t>
  </si>
  <si>
    <t>Special Dividend (5 of 6)</t>
  </si>
  <si>
    <t>Special Dividend (4 of 6)</t>
  </si>
  <si>
    <t>Special Dividend (3 of 6)</t>
  </si>
  <si>
    <t>Special Dividend (2 of 6)</t>
  </si>
  <si>
    <t>Special Dividend</t>
  </si>
  <si>
    <t>Number of employees</t>
  </si>
  <si>
    <t>Operating &amp; General Expenses</t>
  </si>
  <si>
    <t>Revenues from Residential Customers</t>
  </si>
  <si>
    <t>Revenues from Business Customers</t>
  </si>
  <si>
    <t>% of total revenues</t>
  </si>
  <si>
    <t>Revenues from Private Customers</t>
  </si>
  <si>
    <t>April 23, 2014</t>
  </si>
  <si>
    <t>Collection fees (royalties)</t>
  </si>
  <si>
    <t>October 2, 2014</t>
  </si>
  <si>
    <t>May 27, 2015</t>
  </si>
  <si>
    <t>-</t>
  </si>
  <si>
    <t>Broadband Internet lines (in 000's)-Wholesale</t>
  </si>
  <si>
    <t>Broadband Internet lines (in 000's)- Total</t>
  </si>
  <si>
    <t>Broadband Internet ARPU (in NIS) - Retail</t>
  </si>
  <si>
    <t>Share in (losses) profits of equity accounted investees</t>
  </si>
  <si>
    <r>
      <rPr>
        <vertAlign val="superscript"/>
        <sz val="10"/>
        <rFont val="Arial"/>
        <family val="2"/>
      </rPr>
      <t xml:space="preserve">(1) </t>
    </r>
    <r>
      <rPr>
        <sz val="8"/>
        <rFont val="Arial"/>
        <family val="2"/>
      </rPr>
      <t>The Bezeq Group's financial data includes yes balance sheet data as of Q1 2015 and income statement and cash flow data as of Q2 2015.</t>
    </r>
  </si>
  <si>
    <t>October 26, 2015</t>
  </si>
  <si>
    <t>Market share</t>
  </si>
  <si>
    <t>Market share - Internet</t>
  </si>
  <si>
    <t>Market share - ISP</t>
  </si>
  <si>
    <t>Market share - ILD (Outgoing)</t>
  </si>
  <si>
    <t>Mkt share</t>
  </si>
  <si>
    <t>Market share - telephony (private sector)</t>
  </si>
  <si>
    <t>Churn rate</t>
  </si>
  <si>
    <t xml:space="preserve">Churn rate </t>
  </si>
  <si>
    <t>Market share - telephony (business sector)</t>
  </si>
  <si>
    <t xml:space="preserve">Semi-Annual Dividend </t>
  </si>
  <si>
    <t xml:space="preserve"> </t>
  </si>
  <si>
    <t>Other operating expenses</t>
  </si>
  <si>
    <t>Churn rate  (ISP)</t>
  </si>
  <si>
    <t>Churn rate (telephony)</t>
  </si>
  <si>
    <t>Profit before finance exps to shareholders &amp; taxes</t>
  </si>
  <si>
    <t>Net profit (loss)</t>
  </si>
  <si>
    <t>Total changes in assets and liabilities</t>
  </si>
  <si>
    <t>Change in trade &amp; other receivables</t>
  </si>
  <si>
    <t>Change in inventory</t>
  </si>
  <si>
    <t>Change in trade &amp; other payables</t>
  </si>
  <si>
    <t>Change in provisions</t>
  </si>
  <si>
    <t>Change in employee benefits</t>
  </si>
  <si>
    <t>Income tax paid, net</t>
  </si>
  <si>
    <t>Interest paid</t>
  </si>
  <si>
    <t>NIS Millions</t>
  </si>
  <si>
    <t>Bezeq Group</t>
  </si>
  <si>
    <t>Other Operating Expenses (Income), Net</t>
  </si>
  <si>
    <t>Profit from increase to controlling stake in Yes</t>
  </si>
  <si>
    <t>Profit from the sale of shares in Coral Tel Ltd.</t>
  </si>
  <si>
    <t>Profit from the sale of property, plant and equipment (mainly real estate)*</t>
  </si>
  <si>
    <t>Proft from copper sales</t>
  </si>
  <si>
    <t>Provision (cancellation)-contingent liabilities, net</t>
  </si>
  <si>
    <t>Loss from the discontinuation of a software development project</t>
  </si>
  <si>
    <t>Total other operating expenses (income), net</t>
  </si>
  <si>
    <t>* Includes profit from copper sales beginning Q1 2015</t>
  </si>
  <si>
    <t>Financials</t>
  </si>
  <si>
    <t>Key Performance Indicators (KPIs)</t>
  </si>
  <si>
    <t>Dividends</t>
  </si>
  <si>
    <t>October 6, 2016</t>
  </si>
  <si>
    <t>Income taxes</t>
  </si>
  <si>
    <t>The data in this metrics file contains partial information from the public reports of Bezeq under the Israeli Securities Law for which the Hebrew reports can be accessed at the Israeli Securities Authority's website.  The metrics file is a not a substitute for a review of the detailed reports of Bezeq.</t>
  </si>
  <si>
    <t>Change in other liabilities (incl broadcasting rights)</t>
  </si>
  <si>
    <t>Adjusted EBITDA</t>
  </si>
  <si>
    <t>Broadband Internet lines (in 000's) - Retail</t>
  </si>
  <si>
    <t>EBITDA, reported</t>
  </si>
  <si>
    <t xml:space="preserve">Capital expenditures, net </t>
  </si>
  <si>
    <t xml:space="preserve">Content </t>
  </si>
  <si>
    <t>May 29, 2017</t>
  </si>
  <si>
    <t>Average revenue per line (ARPL) (in NIS)</t>
  </si>
  <si>
    <t>QoQ Line change (000's)</t>
  </si>
  <si>
    <t>QoQ subscriber change (000's)</t>
  </si>
  <si>
    <t>October 16, 2017</t>
  </si>
  <si>
    <t>Cash &amp; cash equivalents</t>
  </si>
  <si>
    <t>Investments</t>
  </si>
  <si>
    <t>Trade receivables</t>
  </si>
  <si>
    <t>Other receivables</t>
  </si>
  <si>
    <t>Eurocom DBS Ltd., related party</t>
  </si>
  <si>
    <t>Inventory</t>
  </si>
  <si>
    <t>Total current assets</t>
  </si>
  <si>
    <t>Trade and other receivables</t>
  </si>
  <si>
    <t>Broadcasting rights</t>
  </si>
  <si>
    <t>Fixed assets</t>
  </si>
  <si>
    <t>Intangible assets</t>
  </si>
  <si>
    <t>Deferred tax assets</t>
  </si>
  <si>
    <t>Deferred expenses and non-current investments</t>
  </si>
  <si>
    <t>Total non-current assets</t>
  </si>
  <si>
    <t>Total assets</t>
  </si>
  <si>
    <t>Debentures, loans and borrowings</t>
  </si>
  <si>
    <t>Trade and other payables</t>
  </si>
  <si>
    <t>Current tax liabilities</t>
  </si>
  <si>
    <t>Liability to Eurocom DBS Ltd.</t>
  </si>
  <si>
    <t>Employee benefits</t>
  </si>
  <si>
    <t>Provisions</t>
  </si>
  <si>
    <t>Dividend payable</t>
  </si>
  <si>
    <t>Total current liabilities</t>
  </si>
  <si>
    <t>Total non-current liabilities</t>
  </si>
  <si>
    <t>Total equity</t>
  </si>
  <si>
    <t>Loans and debentures</t>
  </si>
  <si>
    <t>Derivative and other liabilities</t>
  </si>
  <si>
    <t>Deferred tax liabilities</t>
  </si>
  <si>
    <t>Working Capital</t>
  </si>
  <si>
    <t xml:space="preserve">Balance Sheet </t>
  </si>
  <si>
    <t>Proceeds from sale of assets</t>
  </si>
  <si>
    <t xml:space="preserve">Broadband Internet </t>
  </si>
  <si>
    <t xml:space="preserve">Telephony </t>
  </si>
  <si>
    <t xml:space="preserve">Other </t>
  </si>
  <si>
    <t xml:space="preserve">Transmission &amp; data </t>
  </si>
  <si>
    <t>Cloud &amp; digital services</t>
  </si>
  <si>
    <t>Loss from impairment of assets</t>
  </si>
  <si>
    <t>May 10, 2018</t>
  </si>
  <si>
    <t>Funds From Operations (FFO)</t>
  </si>
  <si>
    <t>FFO</t>
  </si>
  <si>
    <t>Operating cash flows less net capital expenditures and lease payments</t>
  </si>
  <si>
    <t>Lease liability</t>
  </si>
  <si>
    <t>Right-of-use assets</t>
  </si>
  <si>
    <t>EBITDA reported</t>
  </si>
  <si>
    <t xml:space="preserve">Lease payments (IFRS 16) </t>
  </si>
  <si>
    <t>Adjusted EBITDA (excluding IFRS 16)</t>
  </si>
  <si>
    <t xml:space="preserve">Cash flow from operating activities less changes in working capital and payments for leases </t>
  </si>
  <si>
    <t>October 10, 2018</t>
  </si>
  <si>
    <t>Investment property</t>
  </si>
  <si>
    <t>Wholesale lines as % of total broadband lines</t>
  </si>
  <si>
    <t>Net profit, reported</t>
  </si>
  <si>
    <t>ADJUSTED EBITDA (excluding IFRS 16)</t>
  </si>
  <si>
    <r>
      <t>Depreciation &amp; amortization</t>
    </r>
    <r>
      <rPr>
        <b/>
        <sz val="8"/>
        <rFont val="Arial"/>
        <family val="2"/>
      </rPr>
      <t xml:space="preserve"> </t>
    </r>
  </si>
  <si>
    <r>
      <t>ADJUSTED net profit</t>
    </r>
    <r>
      <rPr>
        <b/>
        <sz val="8"/>
        <rFont val="Arial"/>
        <family val="2"/>
      </rPr>
      <t xml:space="preserve">  (excluding other operating income/expenses)</t>
    </r>
  </si>
  <si>
    <t>Operating profit (loss)</t>
  </si>
  <si>
    <r>
      <t xml:space="preserve">ADJUSTED EBITDA </t>
    </r>
    <r>
      <rPr>
        <b/>
        <sz val="8"/>
        <rFont val="Arial"/>
        <family val="2"/>
      </rPr>
      <t>(excluding IFRS 16 and other operating income/expenses)</t>
    </r>
  </si>
  <si>
    <r>
      <t>ADJUSTED EBITDA</t>
    </r>
    <r>
      <rPr>
        <b/>
        <sz val="9"/>
        <rFont val="Arial"/>
        <family val="2"/>
      </rPr>
      <t xml:space="preserve"> (excluding IFRS 16)</t>
    </r>
  </si>
  <si>
    <t>Profit from the sale of affiliate</t>
  </si>
  <si>
    <t>Other operating expenses (income), net</t>
  </si>
  <si>
    <t>Net debt / Adjusted EBITDA (ttm)</t>
  </si>
  <si>
    <t>Adjusted EBITDA (excl. IFRS 16 &amp; impairment)</t>
  </si>
  <si>
    <t>Other (mainly legal claims)</t>
  </si>
  <si>
    <t>ADJUSTED EBITDA (excluding IFRS 16, other operating income/expenses and impairment)</t>
  </si>
  <si>
    <r>
      <t xml:space="preserve">ADJUSTED EBITDA </t>
    </r>
    <r>
      <rPr>
        <b/>
        <sz val="8"/>
        <rFont val="Arial"/>
        <family val="2"/>
      </rPr>
      <t>(excluding other operating income/expenses)</t>
    </r>
  </si>
  <si>
    <t>Depreciation, amortization &amp; impairment</t>
  </si>
  <si>
    <r>
      <t xml:space="preserve">ADJUSTED EBITDA </t>
    </r>
    <r>
      <rPr>
        <b/>
        <sz val="8"/>
        <rFont val="Arial"/>
        <family val="2"/>
      </rPr>
      <t>(excluding other operating income/expenses and one-time impairment)</t>
    </r>
  </si>
  <si>
    <r>
      <t>ADJUSTED NET PROFIT</t>
    </r>
    <r>
      <rPr>
        <b/>
        <sz val="8"/>
        <rFont val="Arial"/>
        <family val="2"/>
      </rPr>
      <t xml:space="preserve"> (excluding other operating income/expenses and one-time impairment)</t>
    </r>
  </si>
  <si>
    <t>Net Debt/Adjusted EBITDA</t>
  </si>
  <si>
    <t xml:space="preserve">Total Subscribers (EOP, in 000's) </t>
  </si>
  <si>
    <t xml:space="preserve">Postpaid Subscribers (EOP, in 000's) </t>
  </si>
  <si>
    <t xml:space="preserve">Prepaid Subscribers (EOP, in 000's) </t>
  </si>
  <si>
    <t xml:space="preserve">Subscribers (EOP, in 000's) </t>
  </si>
  <si>
    <t>TTM</t>
  </si>
  <si>
    <t>Trailing twelve months</t>
  </si>
  <si>
    <t>Earnings Before Interest, taxes, depreciation, amortization and ongoing losses from impairment of fixed and intangible assets</t>
  </si>
  <si>
    <t>and the effect of the adoption of accounting standard IFRS 16</t>
  </si>
  <si>
    <t>Total operating &amp; general expenses</t>
  </si>
  <si>
    <t>Cash and short-term investments</t>
  </si>
  <si>
    <t>Gross debt</t>
  </si>
  <si>
    <t>https://ir.bezeq.co.il</t>
  </si>
  <si>
    <t>yes - Proforma (Excluding Impairment Loss)</t>
  </si>
  <si>
    <t xml:space="preserve">yes - Reported </t>
  </si>
  <si>
    <t xml:space="preserve">Depreciation &amp; amortization </t>
  </si>
  <si>
    <t>Net profit (loss), reported</t>
  </si>
  <si>
    <t xml:space="preserve">Total operating &amp; general expenses </t>
  </si>
  <si>
    <t xml:space="preserve">Operating &amp; general expenses </t>
  </si>
  <si>
    <t>Operating, general &amp; impairment expenses</t>
  </si>
  <si>
    <r>
      <t xml:space="preserve">Adjusted EBITDA </t>
    </r>
    <r>
      <rPr>
        <b/>
        <sz val="8"/>
        <rFont val="Arial"/>
        <family val="2"/>
      </rPr>
      <t>(excluding other operating income/expenses)</t>
    </r>
  </si>
  <si>
    <t xml:space="preserve">Sheet I  </t>
  </si>
  <si>
    <t xml:space="preserve">Sheet V  </t>
  </si>
  <si>
    <t xml:space="preserve">Sheet IV  </t>
  </si>
  <si>
    <t xml:space="preserve">Sheet III </t>
  </si>
  <si>
    <t xml:space="preserve">Sheet II </t>
  </si>
  <si>
    <t>Rating Agency</t>
  </si>
  <si>
    <t>Outlook</t>
  </si>
  <si>
    <t>S&amp;P Global Ratings Maalot</t>
  </si>
  <si>
    <t>Midroog</t>
  </si>
  <si>
    <t>Rating</t>
  </si>
  <si>
    <t>First year</t>
  </si>
  <si>
    <t>Second year</t>
  </si>
  <si>
    <t>Third year</t>
  </si>
  <si>
    <t>Fourth year</t>
  </si>
  <si>
    <t>Fifth year and thereafter</t>
  </si>
  <si>
    <t>CPI Linked</t>
  </si>
  <si>
    <t>Unlinked</t>
  </si>
  <si>
    <t xml:space="preserve">Gross Interest Payment </t>
  </si>
  <si>
    <t>Total principal and interest</t>
  </si>
  <si>
    <t>Total</t>
  </si>
  <si>
    <t>Unlinked loans at fixed interest</t>
  </si>
  <si>
    <t>Unlinked loans at variable interest</t>
  </si>
  <si>
    <t>Total bank loans</t>
  </si>
  <si>
    <t>Total loans from financial institutions</t>
  </si>
  <si>
    <t>Total loans</t>
  </si>
  <si>
    <t>Debentures issued to the public</t>
  </si>
  <si>
    <t xml:space="preserve">Series 6 - linked to the CPI, at fixed interest </t>
  </si>
  <si>
    <t xml:space="preserve">Series 10 - linked to the CPI, at fixed interest </t>
  </si>
  <si>
    <t>Total debentures issued to the public</t>
  </si>
  <si>
    <t>Debentures issued by DBS and held by the public - linked to the CPI, at fixed interest</t>
  </si>
  <si>
    <t>Unlinked debentures at fixed interest</t>
  </si>
  <si>
    <t>Total non-marketable debentures</t>
  </si>
  <si>
    <t>Total debentures</t>
  </si>
  <si>
    <t>Total loans and debentures</t>
  </si>
  <si>
    <t>Debt Ratings &amp; Repayments</t>
  </si>
  <si>
    <t>Debt Terms</t>
  </si>
  <si>
    <t>Interest Rate Range</t>
  </si>
  <si>
    <t>Loans from financial institutions</t>
  </si>
  <si>
    <t>Bank loans</t>
  </si>
  <si>
    <t>Series 7 - unlinked at variable interest</t>
  </si>
  <si>
    <t>Series 9 - unlinked at fixed interest</t>
  </si>
  <si>
    <t>Makam for one year +1.4%</t>
  </si>
  <si>
    <t>Prime-0.33% to Prime +0.2%</t>
  </si>
  <si>
    <t>5.0% - 6.85%</t>
  </si>
  <si>
    <t>Total Debt - Bezeq Fixed-Line</t>
  </si>
  <si>
    <t>Total Debt  -  Subsidiary Companies</t>
  </si>
  <si>
    <t>Non-marketable debentures issued to financial institutions</t>
  </si>
  <si>
    <t>3.2% - 4.3%</t>
  </si>
  <si>
    <t>3.22% - 4.0%</t>
  </si>
  <si>
    <t xml:space="preserve">Debentures traded on the Tel Aviv Continuous Institutional Trading System (TACT) </t>
  </si>
  <si>
    <t xml:space="preserve">Series 11 - unlinked at fixed interest </t>
  </si>
  <si>
    <t xml:space="preserve">Series 12 - linked to the CPI, at fixed interest </t>
  </si>
  <si>
    <t>Provision for early retirement agreement - Bezeq Fixed-Line</t>
  </si>
  <si>
    <t>ADJUSTED EBITDA</t>
  </si>
  <si>
    <t>Tax asset write-off</t>
  </si>
  <si>
    <t>ADJUSTED NET PROFIT</t>
  </si>
  <si>
    <t>Other operating expenses (income), after tax</t>
  </si>
  <si>
    <t>Assets held for sale</t>
  </si>
  <si>
    <t>Adjusted EBITDA and Adjusted Net Profit Calculations</t>
  </si>
  <si>
    <t>Notes Issued to the Public (Bezeq Fixed-Line)</t>
  </si>
  <si>
    <t>Private Notes and Other Non-Bank Credit (Bezeq Fixed-Line)</t>
  </si>
  <si>
    <t>Credit from Israeli Banks (Bezeq Fixed-Line)</t>
  </si>
  <si>
    <t>Expenses for collective agreements at Pelephone, Bezeq International and yes</t>
  </si>
  <si>
    <t>BE Router (in thousands)</t>
  </si>
  <si>
    <t>Revenues from Internet services</t>
  </si>
  <si>
    <t>Revenues from Voice and Business services (Data, ICT, PBX)</t>
  </si>
  <si>
    <t>Loss from impairment of Pelephone assets</t>
  </si>
  <si>
    <t>Debt Terms and Repayments</t>
  </si>
  <si>
    <t>Other Income / Expenses</t>
  </si>
  <si>
    <t>EBITDA excluding other operating income/expenses and one-time loss from impairment of assets</t>
  </si>
  <si>
    <t>Adjusted EBITDA in this ratio is EBITDA excluding other income/expenses, one-time loss from impairment of assets</t>
  </si>
  <si>
    <t>NET PROFIT reported</t>
  </si>
  <si>
    <t>Loss from impairment of Bezeq International assets</t>
  </si>
  <si>
    <t>Loss from impairment of assets (yes and Walla)</t>
  </si>
  <si>
    <t>Bezeq Facts &amp; Figures Q1 2020</t>
  </si>
  <si>
    <t>Three months ending March 31, 2020</t>
  </si>
  <si>
    <t>Summary of Financial Undertakings as of March 31, 2020 (based on repayment dates)</t>
  </si>
  <si>
    <t>Aa3.il</t>
  </si>
  <si>
    <t>Stable</t>
  </si>
  <si>
    <t xml:space="preserve">Sheet VI  </t>
  </si>
  <si>
    <t xml:space="preserve">Sheet VII </t>
  </si>
  <si>
    <t>Cash and cash equivalents at the beginning of the period</t>
  </si>
  <si>
    <t>Sources</t>
  </si>
  <si>
    <t>Net cash from operating activities</t>
  </si>
  <si>
    <t>Proceeds from the sale of property, plant and equipment</t>
  </si>
  <si>
    <t>Proceeds from redemption of bank and other deposits</t>
  </si>
  <si>
    <t>Miscellaneous</t>
  </si>
  <si>
    <t>Cash flows from investing activities</t>
  </si>
  <si>
    <t>Cash flows from financing activities</t>
  </si>
  <si>
    <t>Loans from investees</t>
  </si>
  <si>
    <t>Repayment of loans to investees</t>
  </si>
  <si>
    <t>Total cash from investees</t>
  </si>
  <si>
    <t xml:space="preserve">Total </t>
  </si>
  <si>
    <t>Acquisition of fixed assets and investment in intangible assets</t>
  </si>
  <si>
    <t>Investment in bank and other deposits</t>
  </si>
  <si>
    <t>Cash used in investing activities</t>
  </si>
  <si>
    <t>Principal and interest payments on leases</t>
  </si>
  <si>
    <t>Interest payments and other finance expenses</t>
  </si>
  <si>
    <t>Cash used in financing activities</t>
  </si>
  <si>
    <t>Uses</t>
  </si>
  <si>
    <t>Investment in a subsidiary</t>
  </si>
  <si>
    <t>Interest payment</t>
  </si>
  <si>
    <t>Total cash used in investees</t>
  </si>
  <si>
    <t>Cash and cash equivalents at the end of the period</t>
  </si>
  <si>
    <t>TOTAL SOURCES</t>
  </si>
  <si>
    <t>TOTAL USES</t>
  </si>
  <si>
    <t>Fixed-Line Cash Flow Guidance</t>
  </si>
  <si>
    <t>ilAA-</t>
  </si>
  <si>
    <t>Dec 31, 2020</t>
  </si>
  <si>
    <t>Apr 1, 2020-</t>
  </si>
  <si>
    <t>Jan 1, 2021-</t>
  </si>
  <si>
    <t>Dec 31, 2021</t>
  </si>
  <si>
    <t>Jan 1, 2022-</t>
  </si>
  <si>
    <t>Dec 31, 2022</t>
  </si>
  <si>
    <t>Bezeq Fixed-Line - Cash Flow Forecast</t>
  </si>
  <si>
    <t>Repayment of public debentures</t>
  </si>
  <si>
    <t>Loans to subsidaries</t>
  </si>
  <si>
    <t>Repayment of loans from subsidiaries</t>
  </si>
  <si>
    <t>In NIS millions</t>
  </si>
  <si>
    <t>*The forecast for the issuance and repayment of debt assumes the continuation of the Company's plan to extend debt maturities in the years 2020-2022.</t>
  </si>
  <si>
    <t>Debenture issuance and new loans*</t>
  </si>
  <si>
    <t>Repayment of bank loans*</t>
  </si>
  <si>
    <t>Repayment of private debentures and non-bank credit*</t>
  </si>
  <si>
    <t>Bspot and Be Mesh (in thousands)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</si>
</sst>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0.0"/>
    <numFmt numFmtId="165" formatCode="_ * #,##0_ ;_ * \-#,##0_ ;_ * &quot;-&quot;??_ ;_ @_ "/>
    <numFmt numFmtId="166" formatCode="0.0%"/>
    <numFmt numFmtId="167" formatCode="[$-809]dd\ mmmm\ yyyy;@"/>
    <numFmt numFmtId="168" formatCode="#,##0;\(#,##0\)"/>
    <numFmt numFmtId="169" formatCode="[$-409]mmmm\ d\,\ yyyy;@"/>
    <numFmt numFmtId="170" formatCode="0.0%;\(0.0%\)"/>
    <numFmt numFmtId="171" formatCode="#,##0.00;\(#,##0.00\)"/>
    <numFmt numFmtId="172" formatCode="#,##0.0;\(#,##0.0\)"/>
  </numFmts>
  <fonts count="53">
    <font>
      <sz val="10"/>
      <name val="Arial"/>
      <charset val="177"/>
    </font>
    <font>
      <sz val="10"/>
      <name val="Arial"/>
      <family val="2"/>
    </font>
    <font>
      <b/>
      <sz val="10"/>
      <name val="Arial"/>
      <family val="2"/>
      <charset val="177"/>
    </font>
    <font>
      <b/>
      <u/>
      <sz val="10"/>
      <name val="Arial"/>
      <family val="2"/>
      <charset val="177"/>
    </font>
    <font>
      <sz val="8"/>
      <name val="Arial"/>
      <family val="2"/>
    </font>
    <font>
      <b/>
      <sz val="10"/>
      <name val="Arial"/>
      <family val="2"/>
    </font>
    <font>
      <sz val="10"/>
      <name val="Arial"/>
      <family val="2"/>
    </font>
    <font>
      <b/>
      <u/>
      <sz val="10"/>
      <name val="Arial"/>
      <family val="2"/>
    </font>
    <font>
      <b/>
      <sz val="12"/>
      <name val="Arial"/>
      <family val="2"/>
    </font>
    <font>
      <b/>
      <sz val="10"/>
      <color indexed="12"/>
      <name val="Arial"/>
      <family val="2"/>
    </font>
    <font>
      <u/>
      <sz val="10"/>
      <color indexed="12"/>
      <name val="Arial"/>
      <family val="2"/>
    </font>
    <font>
      <i/>
      <sz val="8"/>
      <name val="Arial"/>
      <family val="2"/>
    </font>
    <font>
      <i/>
      <sz val="10"/>
      <name val="Arial"/>
      <family val="2"/>
    </font>
    <font>
      <i/>
      <sz val="9"/>
      <name val="Arial"/>
      <family val="2"/>
    </font>
    <font>
      <sz val="10"/>
      <color indexed="20"/>
      <name val="Arial"/>
      <family val="2"/>
    </font>
    <font>
      <u/>
      <sz val="10"/>
      <name val="Arial"/>
      <family val="2"/>
    </font>
    <font>
      <i/>
      <sz val="8"/>
      <name val="Arial"/>
      <family val="2"/>
    </font>
    <font>
      <b/>
      <sz val="10"/>
      <color indexed="20"/>
      <name val="Arial"/>
      <family val="2"/>
    </font>
    <font>
      <sz val="10"/>
      <name val="KPN Sans"/>
      <family val="2"/>
    </font>
    <font>
      <b/>
      <sz val="11"/>
      <name val="KPN Sans"/>
      <family val="2"/>
    </font>
    <font>
      <b/>
      <sz val="10"/>
      <name val="KPN Sans"/>
      <family val="2"/>
    </font>
    <font>
      <b/>
      <i/>
      <sz val="9"/>
      <color indexed="8"/>
      <name val="KPN Arial"/>
      <family val="2"/>
    </font>
    <font>
      <sz val="9"/>
      <name val="KPN Sans"/>
      <family val="2"/>
    </font>
    <font>
      <sz val="9"/>
      <color indexed="8"/>
      <name val="KPN Arial"/>
    </font>
    <font>
      <sz val="10"/>
      <color indexed="8"/>
      <name val="KPN Arial"/>
    </font>
    <font>
      <b/>
      <sz val="20"/>
      <name val="Arial"/>
      <family val="2"/>
    </font>
    <font>
      <b/>
      <sz val="24"/>
      <name val="Arial Narrow"/>
      <family val="2"/>
    </font>
    <font>
      <sz val="10"/>
      <name val="Arial Narrow"/>
      <family val="2"/>
    </font>
    <font>
      <sz val="12"/>
      <name val="Arial Narrow"/>
      <family val="2"/>
    </font>
    <font>
      <b/>
      <u/>
      <sz val="12"/>
      <name val="Arial Narrow"/>
      <family val="2"/>
    </font>
    <font>
      <b/>
      <sz val="12"/>
      <name val="Arial Narrow"/>
      <family val="2"/>
    </font>
    <font>
      <b/>
      <i/>
      <sz val="9"/>
      <name val="Arial"/>
      <family val="2"/>
    </font>
    <font>
      <b/>
      <sz val="16"/>
      <name val="Arial"/>
      <family val="2"/>
    </font>
    <font>
      <i/>
      <sz val="8"/>
      <color indexed="8"/>
      <name val="Arial"/>
      <family val="2"/>
    </font>
    <font>
      <b/>
      <i/>
      <sz val="10"/>
      <name val="Arial"/>
      <family val="2"/>
    </font>
    <font>
      <b/>
      <sz val="18"/>
      <name val="Arial"/>
      <family val="2"/>
    </font>
    <font>
      <sz val="10"/>
      <color indexed="8"/>
      <name val="Arial"/>
      <family val="2"/>
    </font>
    <font>
      <b/>
      <vertAlign val="superscript"/>
      <sz val="10"/>
      <name val="Arial"/>
      <family val="2"/>
    </font>
    <font>
      <vertAlign val="superscript"/>
      <sz val="11"/>
      <name val="Arial"/>
      <family val="2"/>
    </font>
    <font>
      <b/>
      <sz val="8"/>
      <name val="Arial"/>
      <family val="2"/>
    </font>
    <font>
      <vertAlign val="superscript"/>
      <sz val="10"/>
      <name val="Arial"/>
      <family val="2"/>
    </font>
    <font>
      <b/>
      <sz val="11"/>
      <name val="Arial"/>
      <family val="2"/>
    </font>
    <font>
      <b/>
      <sz val="20"/>
      <name val="Arial Narrow"/>
      <family val="2"/>
    </font>
    <font>
      <sz val="12"/>
      <name val="Typograph"/>
      <charset val="177"/>
    </font>
    <font>
      <b/>
      <sz val="9"/>
      <name val="Arial"/>
      <family val="2"/>
    </font>
    <font>
      <sz val="9"/>
      <name val="Arial"/>
      <family val="2"/>
    </font>
    <font>
      <b/>
      <sz val="14"/>
      <name val="Arial"/>
      <family val="2"/>
    </font>
    <font>
      <b/>
      <sz val="9.3000000000000007"/>
      <name val="Arial"/>
      <family val="2"/>
    </font>
    <font>
      <sz val="10"/>
      <color rgb="FFFF0000"/>
      <name val="Arial"/>
      <family val="2"/>
    </font>
    <font>
      <sz val="10"/>
      <color rgb="FF000000"/>
      <name val="Arial"/>
      <family val="2"/>
    </font>
    <font>
      <b/>
      <sz val="10"/>
      <color rgb="FF000000"/>
      <name val="Arial"/>
      <family val="2"/>
    </font>
    <font>
      <b/>
      <u/>
      <sz val="10"/>
      <color rgb="FF000000"/>
      <name val="Arial"/>
      <family val="2"/>
    </font>
    <font>
      <sz val="11"/>
      <name val="Arial"/>
      <family val="2"/>
    </font>
  </fonts>
  <fills count="13">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2"/>
        <bgColor indexed="64"/>
      </patternFill>
    </fill>
    <fill>
      <patternFill patternType="solid">
        <fgColor indexed="42"/>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rgb="FFFFFFFF"/>
        <bgColor indexed="64"/>
      </patternFill>
    </fill>
    <fill>
      <patternFill patternType="solid">
        <fgColor rgb="FFC0C0C0"/>
        <bgColor indexed="64"/>
      </patternFill>
    </fill>
  </fills>
  <borders count="6">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301">
    <xf numFmtId="0" fontId="0" fillId="0" borderId="0" xfId="0"/>
    <xf numFmtId="0" fontId="0" fillId="0" borderId="0" xfId="0" applyBorder="1"/>
    <xf numFmtId="0" fontId="5" fillId="0" borderId="0" xfId="0" applyFont="1"/>
    <xf numFmtId="0" fontId="0" fillId="0" borderId="0" xfId="0" applyFill="1" applyBorder="1"/>
    <xf numFmtId="38" fontId="18" fillId="2" borderId="0" xfId="0" applyNumberFormat="1" applyFont="1" applyFill="1" applyProtection="1"/>
    <xf numFmtId="167" fontId="18" fillId="2" borderId="0" xfId="0" quotePrefix="1" applyNumberFormat="1" applyFont="1" applyFill="1" applyProtection="1"/>
    <xf numFmtId="0" fontId="19" fillId="0" borderId="0" xfId="0" applyFont="1" applyAlignment="1" applyProtection="1">
      <alignment horizontal="left"/>
    </xf>
    <xf numFmtId="38" fontId="20" fillId="2" borderId="0" xfId="0" applyNumberFormat="1" applyFont="1" applyFill="1" applyProtection="1"/>
    <xf numFmtId="0" fontId="21" fillId="0" borderId="0" xfId="0" applyFont="1" applyProtection="1"/>
    <xf numFmtId="38" fontId="22" fillId="2" borderId="0" xfId="0" applyNumberFormat="1" applyFont="1" applyFill="1" applyProtection="1"/>
    <xf numFmtId="0" fontId="23" fillId="0" borderId="0" xfId="0" applyFont="1" applyProtection="1"/>
    <xf numFmtId="0" fontId="24" fillId="0" borderId="0" xfId="0" applyFont="1" applyProtection="1"/>
    <xf numFmtId="0" fontId="10" fillId="0" borderId="0" xfId="3" applyAlignment="1" applyProtection="1"/>
    <xf numFmtId="0" fontId="25" fillId="0" borderId="0" xfId="0" applyFont="1"/>
    <xf numFmtId="38" fontId="18" fillId="2" borderId="0" xfId="0" applyNumberFormat="1" applyFont="1" applyFill="1"/>
    <xf numFmtId="0" fontId="27" fillId="0" borderId="0" xfId="0" applyFont="1"/>
    <xf numFmtId="38" fontId="28" fillId="2" borderId="0" xfId="0" applyNumberFormat="1" applyFont="1" applyFill="1" applyProtection="1"/>
    <xf numFmtId="0" fontId="28" fillId="0" borderId="0" xfId="0" applyFont="1"/>
    <xf numFmtId="38" fontId="29" fillId="2" borderId="0" xfId="0" applyNumberFormat="1" applyFont="1" applyFill="1" applyProtection="1"/>
    <xf numFmtId="49" fontId="30" fillId="2" borderId="0" xfId="0" applyNumberFormat="1" applyFont="1" applyFill="1" applyProtection="1"/>
    <xf numFmtId="0" fontId="0" fillId="3" borderId="0" xfId="0" applyFill="1" applyBorder="1"/>
    <xf numFmtId="0" fontId="0" fillId="3" borderId="0" xfId="0" applyFill="1"/>
    <xf numFmtId="0" fontId="0" fillId="3" borderId="0" xfId="0" applyFill="1" applyAlignment="1">
      <alignment horizontal="center"/>
    </xf>
    <xf numFmtId="166" fontId="11" fillId="3" borderId="0" xfId="0" applyNumberFormat="1" applyFont="1" applyFill="1" applyBorder="1"/>
    <xf numFmtId="0" fontId="0" fillId="0" borderId="0" xfId="0" applyFill="1" applyBorder="1" applyAlignment="1">
      <alignment horizontal="center"/>
    </xf>
    <xf numFmtId="0" fontId="0" fillId="0" borderId="0" xfId="0" applyAlignment="1">
      <alignment horizontal="center"/>
    </xf>
    <xf numFmtId="0" fontId="0" fillId="3" borderId="0" xfId="0" applyFill="1" applyBorder="1" applyAlignment="1"/>
    <xf numFmtId="0" fontId="5" fillId="3" borderId="0" xfId="0" applyFont="1" applyFill="1" applyBorder="1" applyAlignment="1"/>
    <xf numFmtId="0" fontId="5" fillId="3" borderId="0" xfId="0" applyFont="1" applyFill="1"/>
    <xf numFmtId="0" fontId="0" fillId="2" borderId="0" xfId="0" applyFill="1"/>
    <xf numFmtId="0" fontId="2" fillId="2" borderId="0" xfId="0" applyFont="1" applyFill="1" applyBorder="1" applyAlignment="1">
      <alignment horizontal="center"/>
    </xf>
    <xf numFmtId="0" fontId="0" fillId="2" borderId="0" xfId="0" applyFill="1" applyBorder="1"/>
    <xf numFmtId="0" fontId="5" fillId="3" borderId="0" xfId="0" applyFont="1" applyFill="1" applyBorder="1" applyAlignment="1">
      <alignment horizontal="left"/>
    </xf>
    <xf numFmtId="0" fontId="0" fillId="0" borderId="0" xfId="0" applyFill="1"/>
    <xf numFmtId="0" fontId="32" fillId="3" borderId="0" xfId="0" applyFont="1" applyFill="1" applyBorder="1" applyAlignment="1"/>
    <xf numFmtId="0" fontId="5" fillId="0" borderId="0" xfId="0" applyFont="1" applyFill="1" applyBorder="1"/>
    <xf numFmtId="165" fontId="5" fillId="3" borderId="0" xfId="1" applyNumberFormat="1" applyFont="1" applyFill="1" applyBorder="1"/>
    <xf numFmtId="3" fontId="5" fillId="3" borderId="0" xfId="0" applyNumberFormat="1" applyFont="1" applyFill="1" applyBorder="1"/>
    <xf numFmtId="166" fontId="5" fillId="3" borderId="0" xfId="2" applyNumberFormat="1" applyFont="1" applyFill="1" applyBorder="1"/>
    <xf numFmtId="0" fontId="5" fillId="4" borderId="1" xfId="0" applyFont="1" applyFill="1" applyBorder="1"/>
    <xf numFmtId="0" fontId="0" fillId="4" borderId="1" xfId="0" applyFill="1" applyBorder="1"/>
    <xf numFmtId="0" fontId="9" fillId="4" borderId="1" xfId="0" applyFont="1" applyFill="1" applyBorder="1"/>
    <xf numFmtId="0" fontId="0" fillId="0" borderId="1" xfId="0" applyBorder="1"/>
    <xf numFmtId="0" fontId="12" fillId="5" borderId="1" xfId="0" applyFont="1" applyFill="1" applyBorder="1"/>
    <xf numFmtId="0" fontId="3" fillId="5" borderId="1" xfId="0" applyFont="1" applyFill="1" applyBorder="1" applyAlignment="1">
      <alignment horizontal="center"/>
    </xf>
    <xf numFmtId="0" fontId="0" fillId="5" borderId="1" xfId="0" applyFill="1" applyBorder="1" applyAlignment="1">
      <alignment horizontal="center"/>
    </xf>
    <xf numFmtId="0" fontId="5" fillId="2" borderId="0" xfId="0" applyFont="1" applyFill="1" applyBorder="1" applyAlignment="1">
      <alignment horizontal="center"/>
    </xf>
    <xf numFmtId="0" fontId="5" fillId="2" borderId="0" xfId="0" applyFont="1" applyFill="1"/>
    <xf numFmtId="166" fontId="11" fillId="4" borderId="1" xfId="0" applyNumberFormat="1" applyFont="1" applyFill="1" applyBorder="1"/>
    <xf numFmtId="0" fontId="5" fillId="4" borderId="1" xfId="0" applyFont="1" applyFill="1" applyBorder="1" applyAlignment="1">
      <alignment horizontal="left"/>
    </xf>
    <xf numFmtId="166" fontId="13" fillId="4" borderId="1" xfId="0" applyNumberFormat="1" applyFont="1" applyFill="1" applyBorder="1"/>
    <xf numFmtId="166" fontId="31" fillId="4" borderId="1" xfId="0" applyNumberFormat="1" applyFont="1" applyFill="1" applyBorder="1"/>
    <xf numFmtId="166" fontId="16" fillId="4" borderId="1" xfId="0" applyNumberFormat="1" applyFont="1" applyFill="1" applyBorder="1"/>
    <xf numFmtId="0" fontId="6" fillId="5" borderId="1" xfId="0" applyFont="1" applyFill="1" applyBorder="1"/>
    <xf numFmtId="166" fontId="5" fillId="3" borderId="0" xfId="0" applyNumberFormat="1" applyFont="1" applyFill="1" applyBorder="1"/>
    <xf numFmtId="0" fontId="15" fillId="0" borderId="0" xfId="0" applyFont="1" applyFill="1" applyBorder="1" applyAlignment="1">
      <alignment horizontal="center"/>
    </xf>
    <xf numFmtId="0" fontId="34" fillId="2" borderId="0" xfId="0" applyFont="1" applyFill="1" applyBorder="1" applyAlignment="1">
      <alignment horizontal="right"/>
    </xf>
    <xf numFmtId="0" fontId="0" fillId="3" borderId="2" xfId="0" applyFill="1" applyBorder="1" applyAlignment="1">
      <alignment horizontal="center"/>
    </xf>
    <xf numFmtId="0" fontId="3" fillId="3" borderId="2" xfId="0" applyFont="1" applyFill="1" applyBorder="1" applyAlignment="1">
      <alignment horizontal="center"/>
    </xf>
    <xf numFmtId="0" fontId="0" fillId="3" borderId="3" xfId="0" applyFill="1" applyBorder="1"/>
    <xf numFmtId="0" fontId="9" fillId="3" borderId="3" xfId="0" applyFont="1" applyFill="1" applyBorder="1"/>
    <xf numFmtId="165" fontId="5" fillId="3" borderId="0" xfId="1" applyNumberFormat="1" applyFont="1" applyFill="1" applyBorder="1" applyAlignment="1">
      <alignment horizontal="right"/>
    </xf>
    <xf numFmtId="43" fontId="5" fillId="3" borderId="0" xfId="0" applyNumberFormat="1" applyFont="1" applyFill="1"/>
    <xf numFmtId="165" fontId="5" fillId="3" borderId="0" xfId="1" applyNumberFormat="1" applyFont="1" applyFill="1"/>
    <xf numFmtId="0" fontId="8" fillId="2" borderId="0" xfId="0" applyFont="1" applyFill="1" applyBorder="1" applyAlignment="1">
      <alignment horizontal="center"/>
    </xf>
    <xf numFmtId="0" fontId="8" fillId="2" borderId="0" xfId="0" applyFont="1" applyFill="1" applyAlignment="1">
      <alignment horizontal="center"/>
    </xf>
    <xf numFmtId="10" fontId="0" fillId="0" borderId="0" xfId="0" applyNumberFormat="1"/>
    <xf numFmtId="0" fontId="5" fillId="2" borderId="0" xfId="0" applyFont="1" applyFill="1" applyBorder="1"/>
    <xf numFmtId="165" fontId="5" fillId="2" borderId="0" xfId="1" applyNumberFormat="1" applyFont="1" applyFill="1" applyBorder="1"/>
    <xf numFmtId="0" fontId="11" fillId="2" borderId="0" xfId="0" applyFont="1" applyFill="1" applyBorder="1" applyAlignment="1">
      <alignment horizontal="right"/>
    </xf>
    <xf numFmtId="166" fontId="11" fillId="2" borderId="0" xfId="2" applyNumberFormat="1" applyFont="1" applyFill="1" applyBorder="1"/>
    <xf numFmtId="166" fontId="11" fillId="2" borderId="0" xfId="0" applyNumberFormat="1" applyFont="1" applyFill="1" applyBorder="1"/>
    <xf numFmtId="43" fontId="5" fillId="2" borderId="0" xfId="1" applyNumberFormat="1" applyFont="1" applyFill="1" applyBorder="1" applyAlignment="1">
      <alignment horizontal="right"/>
    </xf>
    <xf numFmtId="43" fontId="5" fillId="2" borderId="0" xfId="1" applyNumberFormat="1" applyFont="1" applyFill="1" applyBorder="1"/>
    <xf numFmtId="165" fontId="5" fillId="2" borderId="0" xfId="1" applyNumberFormat="1" applyFont="1" applyFill="1" applyBorder="1" applyAlignment="1">
      <alignment horizontal="right"/>
    </xf>
    <xf numFmtId="165" fontId="5" fillId="2" borderId="0" xfId="0" applyNumberFormat="1" applyFont="1" applyFill="1"/>
    <xf numFmtId="166" fontId="5" fillId="2" borderId="0" xfId="0" applyNumberFormat="1" applyFont="1" applyFill="1" applyBorder="1"/>
    <xf numFmtId="0" fontId="5" fillId="2" borderId="0" xfId="0" applyFont="1" applyFill="1" applyBorder="1" applyAlignment="1">
      <alignment horizontal="left"/>
    </xf>
    <xf numFmtId="165" fontId="11" fillId="2" borderId="0" xfId="1" applyNumberFormat="1" applyFont="1" applyFill="1" applyBorder="1" applyAlignment="1">
      <alignment horizontal="right"/>
    </xf>
    <xf numFmtId="164" fontId="5" fillId="2" borderId="0" xfId="0" applyNumberFormat="1" applyFont="1" applyFill="1" applyBorder="1"/>
    <xf numFmtId="0" fontId="16" fillId="2" borderId="0" xfId="0" applyFont="1" applyFill="1" applyBorder="1" applyAlignment="1">
      <alignment horizontal="right"/>
    </xf>
    <xf numFmtId="166" fontId="11" fillId="2" borderId="0" xfId="0" applyNumberFormat="1" applyFont="1" applyFill="1" applyBorder="1" applyAlignment="1">
      <alignment horizontal="right"/>
    </xf>
    <xf numFmtId="0" fontId="33" fillId="2" borderId="0" xfId="0" applyFont="1" applyFill="1" applyBorder="1" applyAlignment="1">
      <alignment horizontal="right"/>
    </xf>
    <xf numFmtId="166" fontId="11" fillId="2" borderId="0" xfId="2" applyNumberFormat="1" applyFont="1" applyFill="1" applyBorder="1" applyAlignment="1">
      <alignment horizontal="right"/>
    </xf>
    <xf numFmtId="0" fontId="17" fillId="2" borderId="0" xfId="0" applyFont="1" applyFill="1" applyBorder="1"/>
    <xf numFmtId="0" fontId="14" fillId="2" borderId="0" xfId="0" applyFont="1" applyFill="1" applyBorder="1"/>
    <xf numFmtId="3" fontId="5" fillId="2" borderId="0" xfId="0" applyNumberFormat="1" applyFont="1" applyFill="1" applyBorder="1"/>
    <xf numFmtId="0" fontId="5" fillId="2" borderId="0" xfId="0" applyFont="1" applyFill="1" applyBorder="1" applyAlignment="1">
      <alignment wrapText="1"/>
    </xf>
    <xf numFmtId="166" fontId="5" fillId="2" borderId="0" xfId="2" applyNumberFormat="1" applyFont="1" applyFill="1" applyBorder="1"/>
    <xf numFmtId="165" fontId="5" fillId="3" borderId="0" xfId="0" applyNumberFormat="1" applyFont="1" applyFill="1" applyBorder="1" applyAlignment="1"/>
    <xf numFmtId="166" fontId="11" fillId="3" borderId="0" xfId="0" applyNumberFormat="1" applyFont="1" applyFill="1" applyBorder="1" applyAlignment="1">
      <alignment horizontal="right"/>
    </xf>
    <xf numFmtId="0" fontId="38" fillId="5" borderId="1" xfId="0" applyFont="1" applyFill="1" applyBorder="1"/>
    <xf numFmtId="0" fontId="4" fillId="2" borderId="0" xfId="0" applyFont="1" applyFill="1" applyBorder="1" applyAlignment="1">
      <alignment horizontal="left"/>
    </xf>
    <xf numFmtId="166" fontId="0" fillId="4" borderId="1" xfId="0" applyNumberFormat="1" applyFill="1" applyBorder="1"/>
    <xf numFmtId="165" fontId="5" fillId="3" borderId="0" xfId="0" applyNumberFormat="1" applyFont="1" applyFill="1"/>
    <xf numFmtId="3" fontId="11" fillId="3" borderId="0" xfId="0" applyNumberFormat="1" applyFont="1" applyFill="1" applyBorder="1" applyAlignment="1">
      <alignment horizontal="right"/>
    </xf>
    <xf numFmtId="164" fontId="5" fillId="3" borderId="0" xfId="0" applyNumberFormat="1" applyFont="1" applyFill="1" applyBorder="1"/>
    <xf numFmtId="164" fontId="5" fillId="3" borderId="0" xfId="0" applyNumberFormat="1" applyFont="1" applyFill="1" applyBorder="1" applyAlignment="1"/>
    <xf numFmtId="0" fontId="11" fillId="3" borderId="0" xfId="0" applyFont="1" applyFill="1" applyBorder="1" applyAlignment="1">
      <alignment horizontal="right"/>
    </xf>
    <xf numFmtId="2" fontId="5" fillId="2" borderId="0" xfId="0" applyNumberFormat="1" applyFont="1" applyFill="1" applyBorder="1" applyAlignment="1">
      <alignment wrapText="1"/>
    </xf>
    <xf numFmtId="0" fontId="0" fillId="0" borderId="0" xfId="0" applyAlignment="1" applyProtection="1">
      <protection locked="0"/>
    </xf>
    <xf numFmtId="0" fontId="0" fillId="2" borderId="0" xfId="0" applyFill="1" applyAlignment="1" applyProtection="1">
      <protection locked="0"/>
    </xf>
    <xf numFmtId="0" fontId="0" fillId="2" borderId="0" xfId="0" applyFill="1" applyBorder="1" applyAlignment="1" applyProtection="1">
      <protection locked="0"/>
    </xf>
    <xf numFmtId="0" fontId="0" fillId="0" borderId="0" xfId="0" applyFill="1" applyBorder="1" applyAlignment="1" applyProtection="1">
      <protection locked="0"/>
    </xf>
    <xf numFmtId="0" fontId="12" fillId="5" borderId="1" xfId="0" applyFont="1" applyFill="1" applyBorder="1" applyAlignment="1" applyProtection="1">
      <protection locked="0"/>
    </xf>
    <xf numFmtId="0" fontId="3" fillId="5" borderId="1"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5" borderId="1" xfId="0" applyFill="1" applyBorder="1" applyAlignment="1" applyProtection="1">
      <alignment horizontal="center"/>
      <protection locked="0"/>
    </xf>
    <xf numFmtId="0" fontId="7" fillId="2" borderId="0" xfId="0" applyFont="1" applyFill="1" applyAlignment="1" applyProtection="1">
      <protection locked="0"/>
    </xf>
    <xf numFmtId="0" fontId="5" fillId="6" borderId="1" xfId="0" applyFont="1" applyFill="1" applyBorder="1" applyAlignment="1" applyProtection="1">
      <protection locked="0"/>
    </xf>
    <xf numFmtId="0" fontId="6" fillId="6" borderId="1" xfId="0" applyFont="1" applyFill="1" applyBorder="1" applyAlignment="1" applyProtection="1">
      <protection locked="0"/>
    </xf>
    <xf numFmtId="0" fontId="36" fillId="0" borderId="0" xfId="0" applyFont="1" applyAlignment="1" applyProtection="1">
      <alignment horizontal="left"/>
      <protection locked="0"/>
    </xf>
    <xf numFmtId="0" fontId="5" fillId="2" borderId="0" xfId="0" applyFont="1" applyFill="1" applyAlignment="1" applyProtection="1">
      <protection locked="0"/>
    </xf>
    <xf numFmtId="165" fontId="11" fillId="0" borderId="0" xfId="1" applyNumberFormat="1" applyFont="1" applyBorder="1" applyAlignment="1" applyProtection="1">
      <alignment horizontal="right" vertical="center"/>
      <protection locked="0"/>
    </xf>
    <xf numFmtId="0" fontId="4" fillId="0" borderId="0" xfId="0" applyFont="1" applyAlignment="1" applyProtection="1">
      <protection locked="0"/>
    </xf>
    <xf numFmtId="0" fontId="11" fillId="2" borderId="0" xfId="0" applyFont="1" applyFill="1" applyAlignment="1" applyProtection="1">
      <alignment horizontal="right"/>
      <protection locked="0"/>
    </xf>
    <xf numFmtId="9" fontId="11" fillId="2" borderId="0" xfId="0" applyNumberFormat="1" applyFont="1" applyFill="1" applyBorder="1" applyAlignment="1">
      <alignment horizontal="right"/>
    </xf>
    <xf numFmtId="10" fontId="0" fillId="0" borderId="0" xfId="0" applyNumberFormat="1" applyFill="1" applyBorder="1" applyAlignment="1" applyProtection="1">
      <protection locked="0"/>
    </xf>
    <xf numFmtId="10" fontId="0" fillId="0" borderId="0" xfId="0" applyNumberFormat="1" applyBorder="1"/>
    <xf numFmtId="165" fontId="11" fillId="3" borderId="0" xfId="1" applyNumberFormat="1" applyFont="1" applyFill="1" applyBorder="1" applyAlignment="1">
      <alignment horizontal="right"/>
    </xf>
    <xf numFmtId="165" fontId="11" fillId="3" borderId="0" xfId="1" applyNumberFormat="1" applyFont="1" applyFill="1" applyAlignment="1">
      <alignment horizontal="right"/>
    </xf>
    <xf numFmtId="166" fontId="5" fillId="0" borderId="0" xfId="0" applyNumberFormat="1" applyFont="1" applyFill="1" applyBorder="1"/>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xf numFmtId="0" fontId="5" fillId="0" borderId="3" xfId="0" applyFont="1" applyBorder="1" applyAlignment="1" applyProtection="1">
      <protection locked="0"/>
    </xf>
    <xf numFmtId="0" fontId="5" fillId="2" borderId="3" xfId="0" applyFont="1" applyFill="1" applyBorder="1" applyAlignment="1" applyProtection="1">
      <protection locked="0"/>
    </xf>
    <xf numFmtId="0" fontId="5" fillId="0" borderId="3" xfId="0" applyFont="1" applyFill="1" applyBorder="1" applyAlignment="1" applyProtection="1">
      <protection locked="0"/>
    </xf>
    <xf numFmtId="0" fontId="6" fillId="2" borderId="0" xfId="0" applyFont="1" applyFill="1" applyAlignment="1" applyProtection="1">
      <alignment horizontal="center"/>
      <protection locked="0"/>
    </xf>
    <xf numFmtId="0" fontId="0" fillId="0" borderId="0" xfId="0" applyAlignment="1" applyProtection="1">
      <alignment horizontal="center"/>
      <protection locked="0"/>
    </xf>
    <xf numFmtId="165" fontId="0" fillId="2" borderId="0" xfId="0" applyNumberFormat="1" applyFill="1" applyAlignment="1" applyProtection="1">
      <protection locked="0"/>
    </xf>
    <xf numFmtId="0" fontId="0" fillId="2" borderId="0" xfId="0" applyFill="1" applyAlignment="1" applyProtection="1">
      <alignment horizontal="center"/>
      <protection locked="0"/>
    </xf>
    <xf numFmtId="0" fontId="0" fillId="3" borderId="0" xfId="0" applyFill="1" applyBorder="1" applyAlignment="1">
      <alignment horizontal="center"/>
    </xf>
    <xf numFmtId="0" fontId="9" fillId="3" borderId="3" xfId="0" applyFont="1" applyFill="1" applyBorder="1" applyAlignment="1">
      <alignment horizontal="center"/>
    </xf>
    <xf numFmtId="0" fontId="9" fillId="4" borderId="1" xfId="0" applyFont="1" applyFill="1" applyBorder="1" applyAlignment="1">
      <alignment horizontal="center"/>
    </xf>
    <xf numFmtId="0" fontId="11" fillId="0" borderId="0" xfId="0" applyFont="1" applyBorder="1" applyAlignment="1">
      <alignment horizontal="right"/>
    </xf>
    <xf numFmtId="0" fontId="5" fillId="2" borderId="0" xfId="0" applyFont="1" applyFill="1" applyBorder="1" applyAlignment="1" applyProtection="1">
      <protection locked="0"/>
    </xf>
    <xf numFmtId="0" fontId="5" fillId="0" borderId="0" xfId="0" applyFont="1" applyFill="1" applyBorder="1" applyAlignment="1" applyProtection="1">
      <protection locked="0"/>
    </xf>
    <xf numFmtId="0" fontId="5" fillId="0" borderId="0" xfId="0" applyFont="1" applyBorder="1" applyAlignment="1" applyProtection="1">
      <protection locked="0"/>
    </xf>
    <xf numFmtId="165" fontId="5" fillId="3" borderId="0" xfId="1" applyNumberFormat="1" applyFont="1" applyFill="1" applyBorder="1" applyAlignment="1"/>
    <xf numFmtId="166" fontId="5" fillId="3" borderId="0" xfId="0" applyNumberFormat="1" applyFont="1" applyFill="1" applyBorder="1" applyAlignment="1"/>
    <xf numFmtId="38" fontId="26" fillId="2" borderId="0" xfId="0" applyNumberFormat="1" applyFont="1" applyFill="1" applyAlignment="1" applyProtection="1">
      <alignment horizontal="center"/>
    </xf>
    <xf numFmtId="0" fontId="28" fillId="0" borderId="0" xfId="0" applyFont="1" applyAlignment="1" applyProtection="1">
      <alignment horizontal="center"/>
    </xf>
    <xf numFmtId="38" fontId="42" fillId="2" borderId="0" xfId="0" applyNumberFormat="1" applyFont="1" applyFill="1" applyAlignment="1" applyProtection="1">
      <alignment horizontal="center"/>
    </xf>
    <xf numFmtId="165" fontId="5" fillId="0" borderId="0" xfId="1" applyNumberFormat="1" applyFont="1" applyFill="1" applyBorder="1"/>
    <xf numFmtId="164" fontId="5" fillId="0" borderId="0" xfId="0" applyNumberFormat="1" applyFont="1" applyFill="1" applyBorder="1"/>
    <xf numFmtId="0" fontId="43" fillId="0" borderId="0" xfId="0" applyFont="1" applyAlignment="1">
      <alignment horizontal="right" vertical="center" readingOrder="2"/>
    </xf>
    <xf numFmtId="0" fontId="43" fillId="7" borderId="0" xfId="0" applyFont="1" applyFill="1" applyAlignment="1">
      <alignment horizontal="right" vertical="center" readingOrder="2"/>
    </xf>
    <xf numFmtId="168" fontId="5" fillId="0" borderId="0" xfId="0" applyNumberFormat="1" applyFont="1" applyAlignment="1">
      <alignment horizontal="right"/>
    </xf>
    <xf numFmtId="168" fontId="5" fillId="0" borderId="0" xfId="0" applyNumberFormat="1" applyFont="1" applyAlignment="1"/>
    <xf numFmtId="168" fontId="5" fillId="3" borderId="0" xfId="1" applyNumberFormat="1" applyFont="1" applyFill="1" applyBorder="1" applyAlignment="1">
      <alignment horizontal="right"/>
    </xf>
    <xf numFmtId="0" fontId="44" fillId="2" borderId="3" xfId="0" applyFont="1" applyFill="1" applyBorder="1" applyAlignment="1" applyProtection="1">
      <alignment horizontal="center" wrapText="1"/>
      <protection locked="0"/>
    </xf>
    <xf numFmtId="0" fontId="44" fillId="0" borderId="3" xfId="0" applyFont="1" applyBorder="1" applyAlignment="1" applyProtection="1">
      <alignment horizontal="center"/>
      <protection locked="0"/>
    </xf>
    <xf numFmtId="0" fontId="44" fillId="2" borderId="3" xfId="0" applyFont="1" applyFill="1" applyBorder="1" applyAlignment="1" applyProtection="1">
      <protection locked="0"/>
    </xf>
    <xf numFmtId="0" fontId="44" fillId="2" borderId="0" xfId="0" applyFont="1" applyFill="1" applyBorder="1" applyAlignment="1" applyProtection="1">
      <protection locked="0"/>
    </xf>
    <xf numFmtId="0" fontId="45" fillId="2" borderId="0" xfId="0" applyFont="1" applyFill="1" applyBorder="1" applyAlignment="1" applyProtection="1">
      <protection locked="0"/>
    </xf>
    <xf numFmtId="0" fontId="45" fillId="0" borderId="0" xfId="0" applyFont="1" applyAlignment="1" applyProtection="1">
      <protection locked="0"/>
    </xf>
    <xf numFmtId="0" fontId="45" fillId="2" borderId="0" xfId="0" applyFont="1" applyFill="1" applyAlignment="1" applyProtection="1">
      <protection locked="0"/>
    </xf>
    <xf numFmtId="0" fontId="44" fillId="4" borderId="1" xfId="0" applyFont="1" applyFill="1" applyBorder="1"/>
    <xf numFmtId="0" fontId="46" fillId="3" borderId="0" xfId="0" applyFont="1" applyFill="1" applyBorder="1" applyAlignment="1"/>
    <xf numFmtId="0" fontId="40" fillId="2" borderId="0" xfId="0" applyFont="1" applyFill="1" applyBorder="1" applyAlignment="1">
      <alignment horizontal="right"/>
    </xf>
    <xf numFmtId="166" fontId="11" fillId="0" borderId="0" xfId="0" applyNumberFormat="1" applyFont="1" applyFill="1" applyBorder="1"/>
    <xf numFmtId="166" fontId="11" fillId="0" borderId="0" xfId="2" applyNumberFormat="1" applyFont="1" applyFill="1" applyBorder="1"/>
    <xf numFmtId="166" fontId="5" fillId="0" borderId="0" xfId="2" applyNumberFormat="1" applyFont="1" applyFill="1" applyBorder="1"/>
    <xf numFmtId="9" fontId="5" fillId="3" borderId="0" xfId="0" applyNumberFormat="1" applyFont="1" applyFill="1" applyBorder="1" applyAlignment="1"/>
    <xf numFmtId="0" fontId="0" fillId="5" borderId="0" xfId="0" applyFill="1" applyBorder="1" applyAlignment="1">
      <alignment horizontal="center"/>
    </xf>
    <xf numFmtId="166" fontId="11" fillId="3" borderId="0" xfId="2" applyNumberFormat="1" applyFont="1" applyFill="1" applyBorder="1" applyAlignment="1">
      <alignment horizontal="right"/>
    </xf>
    <xf numFmtId="9" fontId="5" fillId="3" borderId="0" xfId="2" applyNumberFormat="1" applyFont="1" applyFill="1" applyBorder="1"/>
    <xf numFmtId="168" fontId="5" fillId="7" borderId="0" xfId="0" applyNumberFormat="1" applyFont="1" applyFill="1" applyAlignment="1"/>
    <xf numFmtId="0" fontId="5" fillId="8" borderId="4" xfId="0" applyFont="1" applyFill="1" applyBorder="1"/>
    <xf numFmtId="168" fontId="5" fillId="8" borderId="1" xfId="0" applyNumberFormat="1" applyFont="1" applyFill="1" applyBorder="1" applyAlignment="1"/>
    <xf numFmtId="165" fontId="11" fillId="8" borderId="1" xfId="1" applyNumberFormat="1" applyFont="1" applyFill="1" applyBorder="1" applyAlignment="1">
      <alignment horizontal="right"/>
    </xf>
    <xf numFmtId="165" fontId="5" fillId="8" borderId="1" xfId="1" applyNumberFormat="1" applyFont="1" applyFill="1" applyBorder="1" applyAlignment="1">
      <alignment horizontal="right"/>
    </xf>
    <xf numFmtId="165" fontId="5" fillId="8" borderId="1" xfId="1" applyNumberFormat="1" applyFont="1" applyFill="1" applyBorder="1"/>
    <xf numFmtId="0" fontId="5" fillId="0" borderId="0" xfId="0" applyFont="1" applyFill="1"/>
    <xf numFmtId="168" fontId="5" fillId="3" borderId="0" xfId="1" applyNumberFormat="1" applyFont="1" applyFill="1" applyBorder="1"/>
    <xf numFmtId="0" fontId="5" fillId="0" borderId="0" xfId="0" applyFont="1" applyAlignment="1">
      <alignment wrapText="1"/>
    </xf>
    <xf numFmtId="0" fontId="0" fillId="0" borderId="3" xfId="0" applyBorder="1"/>
    <xf numFmtId="0" fontId="5" fillId="0" borderId="1" xfId="0" applyFont="1" applyBorder="1"/>
    <xf numFmtId="168" fontId="5" fillId="0" borderId="1" xfId="0" applyNumberFormat="1" applyFont="1" applyBorder="1" applyAlignment="1"/>
    <xf numFmtId="168" fontId="5" fillId="3" borderId="1" xfId="1" applyNumberFormat="1" applyFont="1" applyFill="1" applyBorder="1"/>
    <xf numFmtId="0" fontId="11" fillId="2" borderId="0" xfId="0" applyFont="1" applyFill="1" applyBorder="1" applyAlignment="1">
      <alignment horizontal="left"/>
    </xf>
    <xf numFmtId="168" fontId="5" fillId="0" borderId="0" xfId="0" applyNumberFormat="1" applyFont="1"/>
    <xf numFmtId="168" fontId="5" fillId="0" borderId="0" xfId="0" applyNumberFormat="1" applyFont="1" applyFill="1" applyAlignment="1">
      <alignment horizontal="right"/>
    </xf>
    <xf numFmtId="168" fontId="5" fillId="0" borderId="0" xfId="0" applyNumberFormat="1" applyFont="1" applyFill="1" applyAlignment="1"/>
    <xf numFmtId="168" fontId="5" fillId="0" borderId="1" xfId="0" applyNumberFormat="1" applyFont="1" applyFill="1" applyBorder="1" applyAlignment="1"/>
    <xf numFmtId="0" fontId="30" fillId="0" borderId="0" xfId="0" applyFont="1"/>
    <xf numFmtId="170" fontId="5" fillId="3" borderId="0" xfId="0" applyNumberFormat="1" applyFont="1" applyFill="1" applyBorder="1"/>
    <xf numFmtId="170" fontId="5" fillId="2" borderId="0" xfId="0" applyNumberFormat="1" applyFont="1" applyFill="1" applyBorder="1"/>
    <xf numFmtId="0" fontId="47" fillId="2" borderId="0" xfId="0" applyFont="1" applyFill="1" applyBorder="1"/>
    <xf numFmtId="0" fontId="5" fillId="2" borderId="0" xfId="1" applyNumberFormat="1" applyFont="1" applyFill="1" applyBorder="1"/>
    <xf numFmtId="0" fontId="2" fillId="2" borderId="0" xfId="0" applyFont="1" applyFill="1" applyBorder="1"/>
    <xf numFmtId="166" fontId="5" fillId="2" borderId="0" xfId="0" applyNumberFormat="1" applyFont="1" applyFill="1" applyBorder="1" applyAlignment="1">
      <alignment horizontal="right"/>
    </xf>
    <xf numFmtId="0" fontId="1" fillId="2" borderId="0" xfId="0" applyFont="1" applyFill="1" applyBorder="1" applyAlignment="1" applyProtection="1">
      <protection locked="0"/>
    </xf>
    <xf numFmtId="165" fontId="1" fillId="2" borderId="0" xfId="1" applyNumberFormat="1" applyFont="1" applyFill="1" applyBorder="1" applyAlignment="1">
      <alignment horizontal="right"/>
    </xf>
    <xf numFmtId="0" fontId="1" fillId="3" borderId="0" xfId="0" applyFont="1" applyFill="1" applyBorder="1" applyAlignment="1"/>
    <xf numFmtId="168" fontId="1" fillId="0" borderId="0" xfId="0" applyNumberFormat="1" applyFont="1" applyFill="1" applyAlignment="1">
      <alignment horizontal="right"/>
    </xf>
    <xf numFmtId="168" fontId="1" fillId="7" borderId="0" xfId="0" applyNumberFormat="1" applyFont="1" applyFill="1" applyAlignment="1">
      <alignment horizontal="right"/>
    </xf>
    <xf numFmtId="166" fontId="1" fillId="0" borderId="0" xfId="0" applyNumberFormat="1" applyFont="1" applyFill="1" applyAlignment="1">
      <alignment horizontal="right"/>
    </xf>
    <xf numFmtId="166" fontId="1" fillId="7" borderId="0" xfId="0" applyNumberFormat="1" applyFont="1" applyFill="1" applyAlignment="1">
      <alignment horizontal="right"/>
    </xf>
    <xf numFmtId="0" fontId="1" fillId="2" borderId="0" xfId="0" applyFont="1" applyFill="1" applyBorder="1" applyAlignment="1" applyProtection="1">
      <alignment horizontal="center" wrapText="1"/>
      <protection locked="0"/>
    </xf>
    <xf numFmtId="165" fontId="1" fillId="0" borderId="0" xfId="0" applyNumberFormat="1" applyFont="1" applyAlignment="1" applyProtection="1">
      <protection locked="0"/>
    </xf>
    <xf numFmtId="0" fontId="1" fillId="0" borderId="0" xfId="0" applyFont="1" applyAlignment="1" applyProtection="1">
      <alignment horizontal="left"/>
      <protection locked="0"/>
    </xf>
    <xf numFmtId="0" fontId="1" fillId="9" borderId="0" xfId="0" applyFont="1" applyFill="1" applyBorder="1" applyAlignment="1" applyProtection="1">
      <alignment horizontal="center" wrapText="1"/>
      <protection locked="0"/>
    </xf>
    <xf numFmtId="2" fontId="1" fillId="2" borderId="0" xfId="0" applyNumberFormat="1" applyFont="1" applyFill="1" applyBorder="1" applyAlignment="1" applyProtection="1">
      <alignment horizontal="center" wrapText="1"/>
      <protection locked="0"/>
    </xf>
    <xf numFmtId="169" fontId="1" fillId="2" borderId="0" xfId="0" applyNumberFormat="1" applyFont="1" applyFill="1" applyBorder="1" applyAlignment="1" applyProtection="1">
      <alignment horizontal="center" wrapText="1"/>
      <protection locked="0"/>
    </xf>
    <xf numFmtId="2" fontId="1" fillId="0" borderId="0" xfId="0" applyNumberFormat="1" applyFont="1" applyFill="1" applyBorder="1" applyAlignment="1" applyProtection="1">
      <alignment horizontal="center" wrapText="1"/>
      <protection locked="0"/>
    </xf>
    <xf numFmtId="0" fontId="1" fillId="0" borderId="0" xfId="0" applyFont="1" applyAlignment="1" applyProtection="1">
      <alignment horizontal="center"/>
      <protection locked="0"/>
    </xf>
    <xf numFmtId="2" fontId="1" fillId="0" borderId="0" xfId="0" applyNumberFormat="1" applyFont="1" applyAlignment="1" applyProtection="1">
      <alignment horizontal="center"/>
      <protection locked="0"/>
    </xf>
    <xf numFmtId="0" fontId="1" fillId="2" borderId="0" xfId="0" applyFont="1" applyFill="1" applyAlignment="1" applyProtection="1">
      <alignment horizontal="center"/>
      <protection locked="0"/>
    </xf>
    <xf numFmtId="165" fontId="1" fillId="2" borderId="0" xfId="0" applyNumberFormat="1" applyFont="1" applyFill="1" applyAlignment="1" applyProtection="1">
      <protection locked="0"/>
    </xf>
    <xf numFmtId="168" fontId="5" fillId="4" borderId="1" xfId="0" applyNumberFormat="1" applyFont="1" applyFill="1" applyBorder="1"/>
    <xf numFmtId="168" fontId="5" fillId="7" borderId="0" xfId="0" applyNumberFormat="1" applyFont="1" applyFill="1" applyAlignment="1">
      <alignment horizontal="right"/>
    </xf>
    <xf numFmtId="171" fontId="5" fillId="7" borderId="0" xfId="0" applyNumberFormat="1" applyFont="1" applyFill="1" applyAlignment="1"/>
    <xf numFmtId="171" fontId="5" fillId="0" borderId="0" xfId="0" applyNumberFormat="1" applyFont="1" applyAlignment="1"/>
    <xf numFmtId="2" fontId="5" fillId="0" borderId="0" xfId="0" applyNumberFormat="1" applyFont="1" applyAlignment="1"/>
    <xf numFmtId="165" fontId="5" fillId="4" borderId="1" xfId="1" applyNumberFormat="1" applyFont="1" applyFill="1" applyBorder="1"/>
    <xf numFmtId="168" fontId="5" fillId="0" borderId="0" xfId="1" applyNumberFormat="1" applyFont="1" applyFill="1" applyBorder="1"/>
    <xf numFmtId="9" fontId="11" fillId="3" borderId="0" xfId="0" applyNumberFormat="1" applyFont="1" applyFill="1" applyBorder="1" applyAlignment="1">
      <alignment horizontal="right"/>
    </xf>
    <xf numFmtId="168" fontId="0" fillId="0" borderId="0" xfId="0" applyNumberFormat="1"/>
    <xf numFmtId="165" fontId="5" fillId="2" borderId="0" xfId="0" applyNumberFormat="1" applyFont="1" applyFill="1" applyBorder="1"/>
    <xf numFmtId="1" fontId="5" fillId="0" borderId="0" xfId="0" applyNumberFormat="1" applyFont="1" applyFill="1" applyBorder="1"/>
    <xf numFmtId="0" fontId="5" fillId="3" borderId="0" xfId="0" applyFont="1" applyFill="1" applyBorder="1"/>
    <xf numFmtId="171" fontId="5" fillId="0" borderId="0" xfId="0" applyNumberFormat="1" applyFont="1" applyFill="1" applyAlignment="1">
      <alignment horizontal="right"/>
    </xf>
    <xf numFmtId="171" fontId="5" fillId="7" borderId="0" xfId="0" applyNumberFormat="1" applyFont="1" applyFill="1" applyAlignment="1">
      <alignment horizontal="right"/>
    </xf>
    <xf numFmtId="165" fontId="5" fillId="7" borderId="0" xfId="1" applyNumberFormat="1" applyFont="1" applyFill="1" applyBorder="1"/>
    <xf numFmtId="0" fontId="5" fillId="0" borderId="0" xfId="0" applyFont="1" applyFill="1" applyBorder="1" applyAlignment="1">
      <alignment wrapText="1"/>
    </xf>
    <xf numFmtId="0" fontId="11" fillId="0" borderId="0" xfId="0" applyFont="1" applyFill="1" applyBorder="1" applyAlignment="1">
      <alignment horizontal="right"/>
    </xf>
    <xf numFmtId="0" fontId="48" fillId="0" borderId="0" xfId="0" applyFont="1"/>
    <xf numFmtId="172" fontId="5" fillId="2" borderId="0" xfId="0" applyNumberFormat="1" applyFont="1" applyFill="1" applyBorder="1" applyAlignment="1">
      <alignment horizontal="left"/>
    </xf>
    <xf numFmtId="172" fontId="5" fillId="7" borderId="0" xfId="0" applyNumberFormat="1" applyFont="1" applyFill="1" applyAlignment="1"/>
    <xf numFmtId="172" fontId="5" fillId="0" borderId="0" xfId="0" applyNumberFormat="1" applyFont="1" applyAlignment="1"/>
    <xf numFmtId="172" fontId="5" fillId="0" borderId="0" xfId="0" applyNumberFormat="1" applyFont="1" applyFill="1" applyAlignment="1"/>
    <xf numFmtId="0" fontId="5" fillId="2" borderId="0" xfId="0" applyNumberFormat="1" applyFont="1" applyFill="1"/>
    <xf numFmtId="0" fontId="1" fillId="0" borderId="0" xfId="0" applyFont="1"/>
    <xf numFmtId="0" fontId="41" fillId="3" borderId="3" xfId="0" applyFont="1" applyFill="1" applyBorder="1"/>
    <xf numFmtId="0" fontId="1" fillId="0" borderId="5" xfId="0" applyFont="1" applyBorder="1"/>
    <xf numFmtId="165" fontId="0" fillId="0" borderId="5" xfId="1" applyNumberFormat="1" applyFont="1" applyBorder="1"/>
    <xf numFmtId="165" fontId="1" fillId="0" borderId="5" xfId="1" applyNumberFormat="1" applyFont="1" applyBorder="1" applyAlignment="1">
      <alignment wrapText="1"/>
    </xf>
    <xf numFmtId="0" fontId="5" fillId="0" borderId="5" xfId="0" applyFont="1" applyBorder="1"/>
    <xf numFmtId="165" fontId="5" fillId="0" borderId="5" xfId="0" applyNumberFormat="1" applyFont="1" applyBorder="1"/>
    <xf numFmtId="0" fontId="7" fillId="0" borderId="0" xfId="0" applyFont="1"/>
    <xf numFmtId="0" fontId="0" fillId="0" borderId="5" xfId="0" applyBorder="1"/>
    <xf numFmtId="0" fontId="5" fillId="0" borderId="5" xfId="0" applyFont="1" applyBorder="1" applyAlignment="1">
      <alignment horizontal="right"/>
    </xf>
    <xf numFmtId="0" fontId="5" fillId="0" borderId="5" xfId="0" applyFont="1" applyBorder="1" applyAlignment="1">
      <alignment horizontal="right" wrapText="1"/>
    </xf>
    <xf numFmtId="0" fontId="5" fillId="0" borderId="5" xfId="0" applyFont="1" applyBorder="1" applyAlignment="1">
      <alignment horizontal="center"/>
    </xf>
    <xf numFmtId="0" fontId="1" fillId="2" borderId="0" xfId="0" applyFont="1" applyFill="1"/>
    <xf numFmtId="0" fontId="5" fillId="2" borderId="0" xfId="0" applyFont="1" applyFill="1" applyAlignment="1">
      <alignment horizontal="center"/>
    </xf>
    <xf numFmtId="0" fontId="1" fillId="5" borderId="1" xfId="0" applyFont="1" applyFill="1" applyBorder="1" applyAlignment="1">
      <alignment horizontal="center"/>
    </xf>
    <xf numFmtId="0" fontId="1" fillId="3" borderId="2" xfId="0" applyFont="1" applyFill="1" applyBorder="1" applyAlignment="1">
      <alignment horizontal="center"/>
    </xf>
    <xf numFmtId="0" fontId="1" fillId="3" borderId="0" xfId="0" applyFont="1" applyFill="1" applyBorder="1"/>
    <xf numFmtId="0" fontId="1" fillId="3" borderId="3" xfId="0" applyFont="1" applyFill="1" applyBorder="1"/>
    <xf numFmtId="0" fontId="49" fillId="0" borderId="0" xfId="0" applyFont="1" applyFill="1" applyBorder="1" applyAlignment="1">
      <alignment vertical="center" wrapText="1"/>
    </xf>
    <xf numFmtId="0" fontId="50"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Border="1"/>
    <xf numFmtId="165" fontId="1" fillId="0" borderId="0" xfId="1" applyNumberFormat="1" applyFont="1"/>
    <xf numFmtId="165" fontId="9" fillId="4" borderId="1" xfId="1" applyNumberFormat="1" applyFont="1" applyFill="1" applyBorder="1"/>
    <xf numFmtId="165" fontId="5" fillId="0" borderId="0" xfId="1" applyNumberFormat="1" applyFont="1"/>
    <xf numFmtId="0" fontId="1" fillId="0" borderId="0" xfId="0" applyFont="1" applyAlignment="1">
      <alignment horizontal="left"/>
    </xf>
    <xf numFmtId="166" fontId="1" fillId="0" borderId="0" xfId="0" applyNumberFormat="1" applyFont="1" applyAlignment="1">
      <alignment horizontal="left"/>
    </xf>
    <xf numFmtId="0" fontId="9" fillId="4" borderId="1" xfId="0" applyFont="1" applyFill="1" applyBorder="1" applyAlignment="1">
      <alignment horizontal="left"/>
    </xf>
    <xf numFmtId="10" fontId="1" fillId="0" borderId="0" xfId="0" applyNumberFormat="1" applyFont="1" applyAlignment="1">
      <alignment horizontal="left"/>
    </xf>
    <xf numFmtId="0" fontId="5" fillId="0" borderId="0" xfId="0" applyFont="1" applyAlignment="1">
      <alignment horizontal="left"/>
    </xf>
    <xf numFmtId="168" fontId="5" fillId="7" borderId="3" xfId="0" applyNumberFormat="1" applyFont="1" applyFill="1" applyBorder="1" applyAlignment="1"/>
    <xf numFmtId="168" fontId="5" fillId="7" borderId="1" xfId="0" applyNumberFormat="1" applyFont="1" applyFill="1" applyBorder="1" applyAlignment="1"/>
    <xf numFmtId="168" fontId="5" fillId="0" borderId="3" xfId="0" applyNumberFormat="1" applyFont="1" applyFill="1" applyBorder="1" applyAlignment="1"/>
    <xf numFmtId="165" fontId="5" fillId="0" borderId="0" xfId="1" applyNumberFormat="1" applyFont="1" applyFill="1"/>
    <xf numFmtId="0" fontId="1" fillId="0" borderId="0" xfId="0" applyFont="1" applyFill="1"/>
    <xf numFmtId="0" fontId="34" fillId="2" borderId="0" xfId="0" applyFont="1" applyFill="1" applyAlignment="1">
      <alignment horizontal="right"/>
    </xf>
    <xf numFmtId="166" fontId="1" fillId="2" borderId="0" xfId="0" applyNumberFormat="1" applyFont="1" applyFill="1" applyBorder="1"/>
    <xf numFmtId="0" fontId="1" fillId="2" borderId="0" xfId="0" applyFont="1" applyFill="1" applyBorder="1" applyAlignment="1">
      <alignment horizontal="right"/>
    </xf>
    <xf numFmtId="0" fontId="5" fillId="4" borderId="2" xfId="0" applyFont="1" applyFill="1" applyBorder="1"/>
    <xf numFmtId="0" fontId="50" fillId="11" borderId="0" xfId="0" applyFont="1" applyFill="1" applyBorder="1" applyAlignment="1">
      <alignment vertical="center" wrapText="1"/>
    </xf>
    <xf numFmtId="0" fontId="49" fillId="11" borderId="0" xfId="0" applyFont="1" applyFill="1" applyBorder="1" applyAlignment="1">
      <alignment vertical="center" wrapText="1"/>
    </xf>
    <xf numFmtId="3" fontId="49" fillId="11" borderId="0" xfId="0" applyNumberFormat="1" applyFont="1" applyFill="1" applyBorder="1" applyAlignment="1">
      <alignment vertical="center" wrapText="1"/>
    </xf>
    <xf numFmtId="3" fontId="50" fillId="10" borderId="0" xfId="0" applyNumberFormat="1" applyFont="1" applyFill="1" applyBorder="1" applyAlignment="1">
      <alignment vertical="center" wrapText="1"/>
    </xf>
    <xf numFmtId="3" fontId="51" fillId="11" borderId="0" xfId="0" applyNumberFormat="1" applyFont="1" applyFill="1" applyBorder="1" applyAlignment="1">
      <alignment vertical="center" wrapText="1"/>
    </xf>
    <xf numFmtId="0" fontId="51" fillId="11" borderId="0" xfId="0" applyFont="1" applyFill="1" applyBorder="1" applyAlignment="1">
      <alignment vertical="center" wrapText="1"/>
    </xf>
    <xf numFmtId="168" fontId="7" fillId="0" borderId="0" xfId="0" applyNumberFormat="1" applyFont="1" applyFill="1" applyAlignment="1">
      <alignment horizontal="right"/>
    </xf>
    <xf numFmtId="0" fontId="50" fillId="10" borderId="0" xfId="0" applyFont="1" applyFill="1" applyBorder="1" applyAlignment="1">
      <alignment vertical="center" wrapText="1"/>
    </xf>
    <xf numFmtId="0" fontId="49" fillId="11" borderId="0" xfId="0" applyFont="1" applyFill="1" applyBorder="1" applyAlignment="1">
      <alignment horizontal="right" vertical="center" wrapText="1"/>
    </xf>
    <xf numFmtId="3" fontId="7" fillId="4" borderId="2" xfId="0" applyNumberFormat="1" applyFont="1" applyFill="1" applyBorder="1"/>
    <xf numFmtId="168" fontId="50" fillId="10" borderId="0" xfId="0" applyNumberFormat="1" applyFont="1" applyFill="1" applyBorder="1" applyAlignment="1">
      <alignment vertical="center" wrapText="1"/>
    </xf>
    <xf numFmtId="0" fontId="52" fillId="0" borderId="0" xfId="0" applyFont="1"/>
    <xf numFmtId="0" fontId="5" fillId="12" borderId="2" xfId="0" applyFont="1" applyFill="1" applyBorder="1"/>
    <xf numFmtId="0" fontId="9" fillId="12" borderId="2" xfId="0" applyFont="1" applyFill="1" applyBorder="1"/>
    <xf numFmtId="0" fontId="50" fillId="12" borderId="0" xfId="0" applyFont="1" applyFill="1" applyBorder="1" applyAlignment="1">
      <alignment vertical="center" wrapText="1"/>
    </xf>
    <xf numFmtId="3" fontId="51" fillId="12" borderId="0" xfId="0" applyNumberFormat="1" applyFont="1" applyFill="1" applyBorder="1" applyAlignment="1">
      <alignment vertical="center" wrapText="1"/>
    </xf>
    <xf numFmtId="3" fontId="50" fillId="12" borderId="0" xfId="0" applyNumberFormat="1" applyFont="1" applyFill="1" applyBorder="1" applyAlignment="1">
      <alignment vertical="center" wrapText="1"/>
    </xf>
    <xf numFmtId="168" fontId="51" fillId="12" borderId="0" xfId="0" applyNumberFormat="1" applyFont="1" applyFill="1" applyBorder="1" applyAlignment="1">
      <alignment vertical="center" wrapText="1"/>
    </xf>
    <xf numFmtId="0" fontId="5" fillId="2" borderId="0" xfId="0" applyFont="1" applyFill="1" applyBorder="1" applyAlignment="1">
      <alignment horizontal="right"/>
    </xf>
    <xf numFmtId="0" fontId="2" fillId="2" borderId="0" xfId="0" applyFont="1" applyFill="1" applyBorder="1" applyAlignment="1">
      <alignment horizontal="right"/>
    </xf>
    <xf numFmtId="0" fontId="5" fillId="2" borderId="0" xfId="0" applyFont="1" applyFill="1" applyAlignment="1">
      <alignment horizontal="right"/>
    </xf>
    <xf numFmtId="165" fontId="0" fillId="0" borderId="0" xfId="0" applyNumberFormat="1" applyFill="1" applyBorder="1"/>
    <xf numFmtId="165" fontId="0" fillId="0" borderId="0" xfId="0" applyNumberFormat="1"/>
    <xf numFmtId="0" fontId="1" fillId="0" borderId="0" xfId="0" applyFont="1" applyAlignment="1">
      <alignment horizontal="justify" vertical="center" readingOrder="1"/>
    </xf>
    <xf numFmtId="0" fontId="0" fillId="0" borderId="0" xfId="0" applyAlignment="1"/>
    <xf numFmtId="0" fontId="1" fillId="0" borderId="2" xfId="0" applyFont="1" applyBorder="1" applyAlignment="1">
      <alignment horizontal="justify" vertical="center" wrapText="1" readingOrder="1"/>
    </xf>
    <xf numFmtId="0" fontId="1" fillId="0" borderId="2" xfId="0" applyFont="1" applyBorder="1" applyAlignment="1">
      <alignment wrapText="1"/>
    </xf>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cellXfs>
  <cellStyles count="4">
    <cellStyle name="Comma" xfId="1" builtinId="3"/>
    <cellStyle name="Normal" xfId="0" builtinId="0"/>
    <cellStyle name="Percent" xfId="2" builtinId="5"/>
    <cellStyle name="היפר-קישור" xfId="3" builtinId="8"/>
  </cellStyles>
  <dxfs count="0"/>
  <tableStyles count="0" defaultTableStyle="TableStyleMedium9" defaultPivotStyle="PivotStyleLight16"/>
  <colors>
    <mruColors>
      <color rgb="FFC0C0C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6</xdr:col>
      <xdr:colOff>466725</xdr:colOff>
      <xdr:row>32</xdr:row>
      <xdr:rowOff>152400</xdr:rowOff>
    </xdr:to>
    <xdr:pic>
      <xdr:nvPicPr>
        <xdr:cNvPr id="14756" name="Picture 4" descr="bg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3743325" cy="721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3175</xdr:colOff>
      <xdr:row>1</xdr:row>
      <xdr:rowOff>132362</xdr:rowOff>
    </xdr:from>
    <xdr:to>
      <xdr:col>10</xdr:col>
      <xdr:colOff>533400</xdr:colOff>
      <xdr:row>10</xdr:row>
      <xdr:rowOff>42263</xdr:rowOff>
    </xdr:to>
    <xdr:pic>
      <xdr:nvPicPr>
        <xdr:cNvPr id="1475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188075" y="284762"/>
          <a:ext cx="1533525" cy="152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638175</xdr:colOff>
      <xdr:row>3</xdr:row>
      <xdr:rowOff>79197</xdr:rowOff>
    </xdr:to>
    <xdr:pic>
      <xdr:nvPicPr>
        <xdr:cNvPr id="1557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504825" cy="501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3</xdr:row>
      <xdr:rowOff>39499</xdr:rowOff>
    </xdr:from>
    <xdr:to>
      <xdr:col>0</xdr:col>
      <xdr:colOff>609600</xdr:colOff>
      <xdr:row>5</xdr:row>
      <xdr:rowOff>131951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496699"/>
          <a:ext cx="400050" cy="397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70028</xdr:rowOff>
    </xdr:from>
    <xdr:to>
      <xdr:col>0</xdr:col>
      <xdr:colOff>600075</xdr:colOff>
      <xdr:row>3</xdr:row>
      <xdr:rowOff>63322</xdr:rowOff>
    </xdr:to>
    <xdr:pic>
      <xdr:nvPicPr>
        <xdr:cNvPr id="1659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70028"/>
          <a:ext cx="504825" cy="51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333375</xdr:colOff>
      <xdr:row>0</xdr:row>
      <xdr:rowOff>39499</xdr:rowOff>
    </xdr:from>
    <xdr:to>
      <xdr:col>1</xdr:col>
      <xdr:colOff>401638</xdr:colOff>
      <xdr:row>2</xdr:row>
      <xdr:rowOff>131951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33375" y="39499"/>
          <a:ext cx="400050" cy="416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0</xdr:row>
      <xdr:rowOff>70028</xdr:rowOff>
    </xdr:from>
    <xdr:to>
      <xdr:col>1</xdr:col>
      <xdr:colOff>600075</xdr:colOff>
      <xdr:row>3</xdr:row>
      <xdr:rowOff>135440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70028"/>
          <a:ext cx="504825" cy="51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0</xdr:row>
      <xdr:rowOff>70028</xdr:rowOff>
    </xdr:from>
    <xdr:to>
      <xdr:col>1</xdr:col>
      <xdr:colOff>600075</xdr:colOff>
      <xdr:row>3</xdr:row>
      <xdr:rowOff>101422</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70028"/>
          <a:ext cx="504825" cy="51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0</xdr:row>
      <xdr:rowOff>70394</xdr:rowOff>
    </xdr:from>
    <xdr:to>
      <xdr:col>0</xdr:col>
      <xdr:colOff>819150</xdr:colOff>
      <xdr:row>3</xdr:row>
      <xdr:rowOff>66131</xdr:rowOff>
    </xdr:to>
    <xdr:pic>
      <xdr:nvPicPr>
        <xdr:cNvPr id="885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70394"/>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209550</xdr:colOff>
      <xdr:row>0</xdr:row>
      <xdr:rowOff>87856</xdr:rowOff>
    </xdr:from>
    <xdr:to>
      <xdr:col>0</xdr:col>
      <xdr:colOff>819150</xdr:colOff>
      <xdr:row>3</xdr:row>
      <xdr:rowOff>83593</xdr:rowOff>
    </xdr:to>
    <xdr:pic>
      <xdr:nvPicPr>
        <xdr:cNvPr id="1761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87856"/>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r.bezeq.co.il/" TargetMode="External"/><Relationship Id="rId1" Type="http://schemas.openxmlformats.org/officeDocument/2006/relationships/hyperlink" Target="mailto:ir@bezeq.co.i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D2:W250"/>
  <sheetViews>
    <sheetView showGridLines="0" tabSelected="1" topLeftCell="A13" workbookViewId="0">
      <selection activeCell="M32" sqref="M32"/>
    </sheetView>
  </sheetViews>
  <sheetFormatPr defaultColWidth="8.7109375" defaultRowHeight="12.75"/>
  <cols>
    <col min="2" max="2" width="15.7109375" customWidth="1"/>
    <col min="3" max="3" width="9.28515625" customWidth="1"/>
    <col min="4" max="4" width="5.7109375" customWidth="1"/>
    <col min="5" max="5" width="9.28515625" hidden="1" customWidth="1"/>
    <col min="6" max="6" width="9.28515625" customWidth="1"/>
    <col min="7" max="7" width="23.28515625" customWidth="1"/>
    <col min="8" max="8" width="9" customWidth="1"/>
    <col min="9" max="9" width="2.5703125" customWidth="1"/>
    <col min="10" max="10" width="13.28515625" customWidth="1"/>
    <col min="11" max="11" width="12.28515625" customWidth="1"/>
    <col min="12" max="12" width="26.42578125" customWidth="1"/>
    <col min="13" max="13" width="10.28515625" customWidth="1"/>
    <col min="14" max="14" width="9.28515625" customWidth="1"/>
  </cols>
  <sheetData>
    <row r="2" spans="4:16">
      <c r="D2" s="4"/>
      <c r="E2" s="4"/>
      <c r="F2" s="4"/>
      <c r="G2" s="4"/>
      <c r="H2" s="4"/>
      <c r="I2" s="4"/>
      <c r="N2" s="4"/>
      <c r="O2" s="4"/>
      <c r="P2" s="4"/>
    </row>
    <row r="3" spans="4:16" ht="26.25">
      <c r="D3" s="4"/>
      <c r="E3" s="4"/>
      <c r="F3" s="4"/>
      <c r="G3" s="4"/>
      <c r="H3" s="5"/>
      <c r="I3" s="5"/>
      <c r="N3" s="13"/>
      <c r="O3" s="4"/>
      <c r="P3" s="4"/>
    </row>
    <row r="4" spans="4:16">
      <c r="D4" s="4"/>
      <c r="E4" s="4"/>
      <c r="F4" s="4"/>
      <c r="G4" s="4"/>
      <c r="H4" s="4"/>
      <c r="I4" s="4"/>
      <c r="N4" s="4"/>
      <c r="O4" s="4"/>
      <c r="P4" s="4"/>
    </row>
    <row r="5" spans="4:16">
      <c r="D5" s="4"/>
      <c r="E5" s="4"/>
      <c r="F5" s="4"/>
      <c r="G5" s="4"/>
      <c r="H5" s="4"/>
      <c r="I5" s="4"/>
      <c r="N5" s="4"/>
      <c r="O5" s="4"/>
      <c r="P5" s="4"/>
    </row>
    <row r="6" spans="4:16">
      <c r="D6" s="4"/>
      <c r="E6" s="4"/>
      <c r="F6" s="4"/>
      <c r="G6" s="4"/>
      <c r="H6" s="4"/>
      <c r="I6" s="4"/>
      <c r="N6" s="4"/>
      <c r="O6" s="4"/>
      <c r="P6" s="4"/>
    </row>
    <row r="7" spans="4:16">
      <c r="D7" s="4"/>
      <c r="E7" s="4"/>
      <c r="F7" s="4"/>
      <c r="G7" s="4"/>
      <c r="H7" s="4"/>
      <c r="I7" s="4"/>
      <c r="N7" s="4"/>
      <c r="O7" s="4"/>
      <c r="P7" s="4"/>
    </row>
    <row r="8" spans="4:16">
      <c r="D8" s="4"/>
      <c r="E8" s="4"/>
      <c r="F8" s="4"/>
      <c r="G8" s="4"/>
      <c r="H8" s="4"/>
      <c r="I8" s="4"/>
      <c r="N8" s="4"/>
      <c r="O8" s="4"/>
      <c r="P8" s="4"/>
    </row>
    <row r="9" spans="4:16">
      <c r="D9" s="4"/>
      <c r="E9" s="4"/>
      <c r="F9" s="4"/>
      <c r="G9" s="4"/>
      <c r="H9" s="4"/>
      <c r="I9" s="4"/>
      <c r="N9" s="4"/>
      <c r="O9" s="4"/>
      <c r="P9" s="4"/>
    </row>
    <row r="10" spans="4:16">
      <c r="D10" s="4"/>
      <c r="E10" s="4"/>
      <c r="F10" s="4"/>
      <c r="G10" s="4"/>
      <c r="H10" s="4"/>
      <c r="I10" s="4"/>
      <c r="O10" s="4"/>
      <c r="P10" s="4"/>
    </row>
    <row r="11" spans="4:16">
      <c r="D11" s="4"/>
      <c r="E11" s="4"/>
      <c r="F11" s="4"/>
      <c r="G11" s="4"/>
      <c r="H11" s="4"/>
      <c r="I11" s="4"/>
      <c r="O11" s="4"/>
      <c r="P11" s="4"/>
    </row>
    <row r="12" spans="4:16" ht="30.75" customHeight="1">
      <c r="D12" s="4"/>
      <c r="E12" s="4"/>
      <c r="F12" s="4"/>
      <c r="J12" s="142" t="s">
        <v>359</v>
      </c>
      <c r="K12" s="140"/>
      <c r="L12" s="140"/>
      <c r="N12" s="6"/>
      <c r="O12" s="4"/>
      <c r="P12" s="4"/>
    </row>
    <row r="13" spans="4:16" ht="15.75">
      <c r="D13" s="4"/>
      <c r="E13" s="4"/>
      <c r="F13" s="4"/>
      <c r="J13" s="141" t="s">
        <v>360</v>
      </c>
      <c r="K13" s="141"/>
      <c r="L13" s="141"/>
      <c r="N13" s="6"/>
      <c r="O13" s="4"/>
      <c r="P13" s="4"/>
    </row>
    <row r="14" spans="4:16" ht="15.75">
      <c r="D14" s="4"/>
      <c r="E14" s="4"/>
      <c r="F14" s="4"/>
      <c r="G14" s="4"/>
      <c r="H14" s="16"/>
      <c r="I14" s="16"/>
      <c r="J14" s="17"/>
      <c r="K14" s="17"/>
      <c r="L14" s="17"/>
      <c r="N14" s="6"/>
      <c r="O14" s="4"/>
      <c r="P14" s="4"/>
    </row>
    <row r="15" spans="4:16" ht="15.75">
      <c r="D15" s="4"/>
      <c r="E15" s="4"/>
      <c r="F15" s="4"/>
      <c r="G15" s="4"/>
      <c r="H15" s="18" t="s">
        <v>26</v>
      </c>
      <c r="I15" s="18"/>
      <c r="J15" s="17"/>
      <c r="K15" s="17"/>
      <c r="L15" s="17"/>
      <c r="N15" s="4"/>
      <c r="O15" s="4"/>
      <c r="P15" s="4"/>
    </row>
    <row r="16" spans="4:16" ht="15.75">
      <c r="D16" s="4"/>
      <c r="E16" s="4"/>
      <c r="F16" s="4"/>
      <c r="G16" s="4"/>
      <c r="H16" s="19"/>
      <c r="I16" s="19"/>
      <c r="J16" s="17"/>
      <c r="K16" s="17"/>
      <c r="L16" s="17"/>
      <c r="N16" s="4"/>
      <c r="O16" s="4"/>
      <c r="P16" s="4"/>
    </row>
    <row r="17" spans="4:16" ht="15.75">
      <c r="D17" s="4"/>
      <c r="E17" s="4"/>
      <c r="F17" s="4"/>
      <c r="G17" s="4"/>
      <c r="H17" s="19" t="s">
        <v>285</v>
      </c>
      <c r="I17" s="19" t="s">
        <v>138</v>
      </c>
      <c r="J17" s="185" t="s">
        <v>180</v>
      </c>
      <c r="K17" s="17"/>
      <c r="L17" s="17"/>
      <c r="N17" s="7"/>
      <c r="O17" s="4"/>
      <c r="P17" s="4"/>
    </row>
    <row r="18" spans="4:16" ht="15.75">
      <c r="D18" s="4"/>
      <c r="E18" s="4"/>
      <c r="F18" s="4"/>
      <c r="G18" s="4"/>
      <c r="H18" s="19" t="s">
        <v>289</v>
      </c>
      <c r="I18" s="19" t="s">
        <v>138</v>
      </c>
      <c r="J18" s="185" t="s">
        <v>353</v>
      </c>
      <c r="L18" s="15"/>
      <c r="N18" s="4"/>
      <c r="O18" s="4"/>
    </row>
    <row r="19" spans="4:16" ht="15.75">
      <c r="D19" s="4"/>
      <c r="E19" s="4"/>
      <c r="F19" s="4"/>
      <c r="G19" s="4"/>
      <c r="H19" s="19" t="s">
        <v>288</v>
      </c>
      <c r="I19" s="19" t="s">
        <v>138</v>
      </c>
      <c r="J19" s="185" t="s">
        <v>181</v>
      </c>
      <c r="L19" s="15"/>
      <c r="N19" s="4"/>
      <c r="O19" s="4"/>
    </row>
    <row r="20" spans="4:16" ht="15.75">
      <c r="D20" s="4"/>
      <c r="E20" s="4"/>
      <c r="F20" s="4"/>
      <c r="G20" s="4"/>
      <c r="H20" s="19" t="s">
        <v>287</v>
      </c>
      <c r="I20" s="19" t="s">
        <v>138</v>
      </c>
      <c r="J20" s="185" t="s">
        <v>352</v>
      </c>
      <c r="N20" s="14"/>
      <c r="O20" s="4"/>
    </row>
    <row r="21" spans="4:16" ht="15.75">
      <c r="D21" s="4"/>
      <c r="E21" s="4"/>
      <c r="F21" s="4"/>
      <c r="G21" s="4"/>
      <c r="H21" s="19" t="s">
        <v>286</v>
      </c>
      <c r="I21" s="19" t="s">
        <v>138</v>
      </c>
      <c r="J21" s="185" t="s">
        <v>391</v>
      </c>
      <c r="N21" s="14"/>
      <c r="O21" s="4"/>
    </row>
    <row r="22" spans="4:16" ht="15.75">
      <c r="D22" s="4"/>
      <c r="E22" s="4"/>
      <c r="F22" s="4"/>
      <c r="G22" s="4"/>
      <c r="H22" s="19" t="s">
        <v>364</v>
      </c>
      <c r="I22" s="19" t="s">
        <v>138</v>
      </c>
      <c r="J22" s="185" t="s">
        <v>182</v>
      </c>
      <c r="K22" s="15"/>
      <c r="N22" s="14"/>
      <c r="O22" s="4"/>
    </row>
    <row r="23" spans="4:16" ht="15.75">
      <c r="D23" s="4"/>
      <c r="E23" s="4"/>
      <c r="F23" s="4"/>
      <c r="G23" s="4"/>
      <c r="H23" s="19" t="s">
        <v>365</v>
      </c>
      <c r="I23" s="19" t="s">
        <v>138</v>
      </c>
      <c r="J23" s="185" t="s">
        <v>37</v>
      </c>
      <c r="N23" s="4"/>
      <c r="O23" s="4"/>
      <c r="P23" s="4"/>
    </row>
    <row r="24" spans="4:16" ht="15.75">
      <c r="D24" s="4"/>
      <c r="E24" s="4"/>
      <c r="F24" s="4"/>
      <c r="G24" s="4"/>
      <c r="I24" s="19"/>
      <c r="N24" s="4"/>
      <c r="O24" s="4"/>
      <c r="P24" s="4"/>
    </row>
    <row r="25" spans="4:16">
      <c r="D25" s="4"/>
      <c r="E25" s="4"/>
      <c r="F25" s="4"/>
      <c r="G25" s="4"/>
      <c r="H25" s="4"/>
      <c r="I25" s="4"/>
      <c r="N25" s="4"/>
      <c r="O25" s="4"/>
      <c r="P25" s="4"/>
    </row>
    <row r="26" spans="4:16">
      <c r="D26" s="4"/>
      <c r="E26" s="4"/>
      <c r="F26" s="4"/>
      <c r="G26" s="4"/>
      <c r="H26" s="8" t="s">
        <v>22</v>
      </c>
      <c r="I26" s="8"/>
      <c r="N26" s="4"/>
      <c r="O26" s="4"/>
      <c r="P26" s="4"/>
    </row>
    <row r="27" spans="4:16">
      <c r="D27" s="4"/>
      <c r="E27" s="4"/>
      <c r="F27" s="4"/>
      <c r="G27" s="4"/>
      <c r="H27" s="10" t="s">
        <v>21</v>
      </c>
      <c r="I27" s="10"/>
      <c r="N27" s="4"/>
      <c r="O27" s="4"/>
      <c r="P27" s="4"/>
    </row>
    <row r="28" spans="4:16">
      <c r="D28" s="4"/>
      <c r="E28" s="4"/>
      <c r="F28" s="4"/>
      <c r="G28" s="4"/>
      <c r="H28" s="10" t="s">
        <v>23</v>
      </c>
      <c r="I28" s="10"/>
      <c r="N28" s="4"/>
      <c r="O28" s="4"/>
      <c r="P28" s="4"/>
    </row>
    <row r="29" spans="4:16">
      <c r="D29" s="9"/>
      <c r="E29" s="4"/>
      <c r="F29" s="4"/>
      <c r="G29" s="4"/>
      <c r="H29" s="12" t="s">
        <v>38</v>
      </c>
      <c r="I29" s="12"/>
      <c r="P29" s="9"/>
    </row>
    <row r="30" spans="4:16">
      <c r="D30" s="9"/>
      <c r="E30" s="4"/>
      <c r="F30" s="4"/>
      <c r="G30" s="4"/>
      <c r="H30" s="12" t="s">
        <v>276</v>
      </c>
      <c r="I30" s="12"/>
      <c r="P30" s="9"/>
    </row>
    <row r="31" spans="4:16">
      <c r="E31" s="11"/>
      <c r="F31" s="4"/>
      <c r="G31" s="4"/>
      <c r="P31" s="9"/>
    </row>
    <row r="32" spans="4:16" ht="58.5" customHeight="1">
      <c r="E32" s="11"/>
      <c r="F32" s="4"/>
      <c r="G32" s="4"/>
      <c r="H32" s="295" t="s">
        <v>185</v>
      </c>
      <c r="I32" s="295"/>
      <c r="J32" s="296"/>
      <c r="K32" s="296"/>
      <c r="L32" s="296"/>
      <c r="P32" s="9"/>
    </row>
    <row r="33" spans="4:16" hidden="1">
      <c r="D33" s="9"/>
      <c r="E33" s="4"/>
      <c r="F33" s="4"/>
      <c r="G33" s="4"/>
      <c r="H33" s="4"/>
      <c r="I33" s="4"/>
      <c r="P33" s="9"/>
    </row>
    <row r="34" spans="4:16">
      <c r="D34" s="9"/>
      <c r="E34" s="4"/>
      <c r="F34" s="4"/>
      <c r="G34" s="4"/>
      <c r="P34" s="9"/>
    </row>
    <row r="37" spans="4:16">
      <c r="D37" s="66"/>
    </row>
    <row r="62" ht="6" customHeight="1"/>
    <row r="64" ht="7.5" customHeight="1"/>
    <row r="250" spans="23:23">
      <c r="W250" s="66"/>
    </row>
  </sheetData>
  <customSheetViews>
    <customSheetView guid="{C6BBAF30-1E81-42FB-BA93-01B6813E2C8C}" showPageBreaks="1" showGridLines="0" printArea="1" showRuler="0">
      <pageMargins left="0.7" right="0.7" top="0.75" bottom="0.75" header="0.3" footer="0.3"/>
      <printOptions horizontalCentered="1" verticalCentered="1"/>
      <pageSetup paperSize="9" orientation="landscape"/>
      <headerFooter alignWithMargins="0"/>
    </customSheetView>
    <customSheetView guid="{F07085DA-2B2D-4BE1-891D-F25D604A092E}" scale="85" showPageBreaks="1" showGridLines="0" printArea="1" showRuler="0" topLeftCell="E5">
      <selection activeCell="A77" sqref="A77"/>
      <pageMargins left="0.7" right="0.7" top="0.75" bottom="0.75" header="0.3" footer="0.3"/>
      <pageSetup paperSize="9" orientation="landscape"/>
      <headerFooter alignWithMargins="0"/>
    </customSheetView>
    <customSheetView guid="{6A44E415-E6EC-4CA2-8B4C-A374F00F0261}" scale="85" showPageBreaks="1" showGridLines="0" printArea="1" showRuler="0">
      <pageMargins left="0.7" right="0.7" top="0.75" bottom="0.75" header="0.3" footer="0.3"/>
      <pageSetup paperSize="9" orientation="landscape"/>
      <headerFooter alignWithMargins="0"/>
    </customSheetView>
    <customSheetView guid="{C32ED439-2914-4073-BFBF-7718D6CFE811}" showPageBreaks="1" showGridLines="0" printArea="1">
      <selection activeCell="D61" sqref="D61"/>
      <pageMargins left="0.7" right="0.7" top="0.75" bottom="0.75" header="0.3" footer="0.3"/>
      <pageSetup paperSize="9" orientation="landscape"/>
      <headerFooter alignWithMargins="0"/>
    </customSheetView>
    <customSheetView guid="{44BC518B-F505-4956-BE42-792973965029}" showPageBreaks="1" showGridLines="0" printArea="1" showRuler="0" topLeftCell="E1">
      <selection activeCell="M263" sqref="M263"/>
      <pageMargins left="0.7" right="0.7" top="0.75" bottom="0.75" header="0.3" footer="0.3"/>
      <pageSetup paperSize="9" orientation="landscape"/>
      <headerFooter alignWithMargins="0"/>
    </customSheetView>
    <customSheetView guid="{7DC6D345-C4C0-4162-8636-D495A245EBF8}" showPageBreaks="1" showGridLines="0" printArea="1" topLeftCell="E25">
      <selection activeCell="H12" sqref="H12:L12"/>
      <pageMargins left="0.7" right="0.7" top="0.75" bottom="0.75" header="0.3" footer="0.3"/>
      <pageSetup paperSize="9" orientation="landscape"/>
      <headerFooter alignWithMargins="0"/>
    </customSheetView>
    <customSheetView guid="{67DDFA58-7FF7-4BDB-BFFF-31DB4021D095}" showGridLines="0" topLeftCell="E25">
      <selection activeCell="H12" sqref="H12:L12"/>
      <pageMargins left="0.7" right="0.7" top="0.75" bottom="0.75" header="0.3" footer="0.3"/>
      <pageSetup paperSize="9" orientation="landscape"/>
      <headerFooter alignWithMargins="0"/>
    </customSheetView>
  </customSheetViews>
  <mergeCells count="1">
    <mergeCell ref="H32:L32"/>
  </mergeCells>
  <phoneticPr fontId="4" type="noConversion"/>
  <hyperlinks>
    <hyperlink ref="H29" r:id="rId1"/>
    <hyperlink ref="H30" r:id="rId2"/>
  </hyperlinks>
  <pageMargins left="0.23622047244094491" right="0.23622047244094491" top="0.23622047244094491" bottom="0.23622047244094491" header="0.51181102362204722" footer="0.51181102362204722"/>
  <pageSetup paperSize="9" orientation="landscape" r:id="rId3"/>
  <headerFooter alignWithMargins="0"/>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559"/>
  <sheetViews>
    <sheetView showGridLines="0" tabSelected="1" zoomScale="110" zoomScaleNormal="110" zoomScaleSheetLayoutView="100" workbookViewId="0">
      <pane xSplit="1" ySplit="4" topLeftCell="AZ340" activePane="bottomRight" state="frozen"/>
      <selection activeCell="M32" sqref="M32"/>
      <selection pane="topRight" activeCell="M32" sqref="M32"/>
      <selection pane="bottomLeft" activeCell="M32" sqref="M32"/>
      <selection pane="bottomRight" activeCell="M32" sqref="M32"/>
    </sheetView>
  </sheetViews>
  <sheetFormatPr defaultColWidth="8.7109375" defaultRowHeight="12.75"/>
  <cols>
    <col min="1" max="1" width="48.42578125" customWidth="1"/>
    <col min="2" max="2" width="10.7109375" hidden="1" customWidth="1"/>
    <col min="3" max="10" width="10.42578125" style="3" hidden="1" customWidth="1"/>
    <col min="11" max="16" width="9.28515625" style="3" hidden="1" customWidth="1"/>
    <col min="17" max="17" width="8.7109375" style="3" hidden="1" customWidth="1"/>
    <col min="18" max="21" width="9.28515625" style="3" hidden="1" customWidth="1"/>
    <col min="22" max="22" width="8.7109375" style="3" hidden="1" customWidth="1"/>
    <col min="23" max="26" width="9.28515625" style="3" hidden="1" customWidth="1"/>
    <col min="27" max="27" width="8.7109375" style="3" hidden="1" customWidth="1"/>
    <col min="28" max="28" width="9.28515625" style="3" hidden="1" customWidth="1"/>
    <col min="29" max="29" width="11" style="3" hidden="1" customWidth="1"/>
    <col min="30" max="31" width="9.28515625" style="3" hidden="1" customWidth="1"/>
    <col min="32" max="32" width="8.7109375" style="3" hidden="1" customWidth="1"/>
    <col min="33" max="36" width="9.28515625" style="3" hidden="1" customWidth="1"/>
    <col min="37" max="41" width="8.7109375" style="3" hidden="1" customWidth="1"/>
    <col min="42" max="42" width="9.42578125" style="3" hidden="1" customWidth="1"/>
    <col min="43" max="44" width="8.7109375" style="3" hidden="1" customWidth="1"/>
    <col min="45" max="45" width="9.42578125" style="3" hidden="1" customWidth="1"/>
    <col min="46" max="46" width="8.7109375" style="3" hidden="1" customWidth="1"/>
    <col min="47" max="47" width="9.42578125" style="3" hidden="1" customWidth="1"/>
    <col min="48" max="51" width="8.7109375" style="3" hidden="1" customWidth="1"/>
    <col min="52" max="52" width="9" style="3" bestFit="1" customWidth="1"/>
    <col min="53" max="56" width="8.7109375" style="3"/>
    <col min="57" max="58" width="9.5703125" style="3" bestFit="1" customWidth="1"/>
    <col min="59" max="61" width="8.7109375" style="3"/>
    <col min="62" max="62" width="10.42578125" style="3" bestFit="1" customWidth="1"/>
    <col min="63" max="16384" width="8.7109375" style="3"/>
  </cols>
  <sheetData>
    <row r="1" spans="1:63" ht="15.75">
      <c r="A1" s="29"/>
      <c r="B1" s="29"/>
      <c r="C1" s="64"/>
      <c r="D1" s="64"/>
      <c r="E1" s="64"/>
      <c r="F1" s="64"/>
      <c r="G1" s="64"/>
      <c r="H1" s="64"/>
      <c r="I1" s="64"/>
      <c r="J1" s="64"/>
      <c r="K1" s="64"/>
      <c r="L1" s="64"/>
      <c r="M1" s="31"/>
      <c r="N1" s="31"/>
      <c r="O1" s="31"/>
    </row>
    <row r="2" spans="1:63" ht="15.75">
      <c r="A2" s="29"/>
      <c r="B2" s="29"/>
      <c r="C2" s="31"/>
      <c r="D2" s="64"/>
      <c r="E2" s="64"/>
      <c r="F2" s="64"/>
      <c r="G2" s="64"/>
      <c r="H2" s="31"/>
      <c r="I2" s="31"/>
      <c r="J2" s="31"/>
      <c r="K2" s="31"/>
      <c r="L2" s="31"/>
      <c r="M2" s="31"/>
      <c r="N2" s="31"/>
      <c r="O2" s="31"/>
    </row>
    <row r="3" spans="1:63" s="24" customFormat="1">
      <c r="A3" s="30"/>
      <c r="B3" s="46" t="s">
        <v>5</v>
      </c>
      <c r="C3" s="46" t="s">
        <v>6</v>
      </c>
      <c r="D3" s="46" t="s">
        <v>0</v>
      </c>
      <c r="E3" s="46" t="s">
        <v>1</v>
      </c>
      <c r="F3" s="46" t="s">
        <v>2</v>
      </c>
      <c r="G3" s="46" t="s">
        <v>5</v>
      </c>
      <c r="H3" s="46" t="s">
        <v>6</v>
      </c>
      <c r="I3" s="46" t="s">
        <v>0</v>
      </c>
      <c r="J3" s="46" t="s">
        <v>1</v>
      </c>
      <c r="K3" s="46" t="s">
        <v>2</v>
      </c>
      <c r="L3" s="46" t="s">
        <v>5</v>
      </c>
      <c r="M3" s="46" t="s">
        <v>6</v>
      </c>
      <c r="N3" s="46" t="s">
        <v>0</v>
      </c>
      <c r="O3" s="46" t="s">
        <v>1</v>
      </c>
      <c r="P3" s="46" t="s">
        <v>2</v>
      </c>
      <c r="Q3" s="46" t="s">
        <v>5</v>
      </c>
      <c r="R3" s="46" t="s">
        <v>6</v>
      </c>
      <c r="S3" s="46" t="s">
        <v>0</v>
      </c>
      <c r="T3" s="46" t="s">
        <v>1</v>
      </c>
      <c r="U3" s="46" t="s">
        <v>2</v>
      </c>
      <c r="V3" s="46" t="s">
        <v>5</v>
      </c>
      <c r="W3" s="46" t="s">
        <v>6</v>
      </c>
      <c r="X3" s="46" t="s">
        <v>0</v>
      </c>
      <c r="Y3" s="46" t="s">
        <v>1</v>
      </c>
      <c r="Z3" s="46" t="s">
        <v>2</v>
      </c>
      <c r="AA3" s="46" t="s">
        <v>5</v>
      </c>
      <c r="AB3" s="46" t="s">
        <v>89</v>
      </c>
      <c r="AC3" s="46" t="s">
        <v>0</v>
      </c>
      <c r="AD3" s="46" t="s">
        <v>1</v>
      </c>
      <c r="AE3" s="46" t="s">
        <v>2</v>
      </c>
      <c r="AF3" s="46" t="s">
        <v>5</v>
      </c>
      <c r="AG3" s="46" t="s">
        <v>89</v>
      </c>
      <c r="AH3" s="46" t="s">
        <v>0</v>
      </c>
      <c r="AI3" s="46" t="s">
        <v>1</v>
      </c>
      <c r="AJ3" s="46" t="s">
        <v>2</v>
      </c>
      <c r="AK3" s="46" t="s">
        <v>5</v>
      </c>
      <c r="AL3" s="46" t="s">
        <v>89</v>
      </c>
      <c r="AM3" s="46" t="s">
        <v>0</v>
      </c>
      <c r="AN3" s="46" t="s">
        <v>1</v>
      </c>
      <c r="AO3" s="46" t="s">
        <v>2</v>
      </c>
      <c r="AP3" s="46" t="s">
        <v>5</v>
      </c>
      <c r="AQ3" s="46" t="s">
        <v>89</v>
      </c>
      <c r="AR3" s="46" t="s">
        <v>0</v>
      </c>
      <c r="AS3" s="46" t="s">
        <v>1</v>
      </c>
      <c r="AT3" s="46" t="s">
        <v>2</v>
      </c>
      <c r="AU3" s="46" t="s">
        <v>5</v>
      </c>
      <c r="AV3" s="46" t="s">
        <v>89</v>
      </c>
      <c r="AW3" s="46" t="s">
        <v>0</v>
      </c>
      <c r="AX3" s="46" t="s">
        <v>1</v>
      </c>
      <c r="AY3" s="46" t="s">
        <v>2</v>
      </c>
      <c r="AZ3" s="46" t="s">
        <v>5</v>
      </c>
      <c r="BA3" s="46" t="s">
        <v>89</v>
      </c>
      <c r="BB3" s="46" t="s">
        <v>0</v>
      </c>
      <c r="BC3" s="46" t="s">
        <v>1</v>
      </c>
      <c r="BD3" s="46" t="s">
        <v>2</v>
      </c>
      <c r="BE3" s="46" t="s">
        <v>5</v>
      </c>
      <c r="BF3" s="46" t="s">
        <v>89</v>
      </c>
      <c r="BG3" s="46" t="s">
        <v>0</v>
      </c>
      <c r="BH3" s="46" t="s">
        <v>1</v>
      </c>
      <c r="BI3" s="46" t="s">
        <v>2</v>
      </c>
      <c r="BJ3" s="46" t="s">
        <v>5</v>
      </c>
      <c r="BK3" s="46" t="s">
        <v>89</v>
      </c>
    </row>
    <row r="4" spans="1:63" s="55" customFormat="1" ht="12" customHeight="1">
      <c r="A4" s="56" t="s">
        <v>41</v>
      </c>
      <c r="B4" s="46">
        <v>2007</v>
      </c>
      <c r="C4" s="46">
        <v>2008</v>
      </c>
      <c r="D4" s="46">
        <v>2008</v>
      </c>
      <c r="E4" s="46">
        <v>2008</v>
      </c>
      <c r="F4" s="46">
        <v>2008</v>
      </c>
      <c r="G4" s="46">
        <v>2008</v>
      </c>
      <c r="H4" s="46">
        <v>2009</v>
      </c>
      <c r="I4" s="46">
        <v>2009</v>
      </c>
      <c r="J4" s="46">
        <v>2009</v>
      </c>
      <c r="K4" s="46">
        <v>2009</v>
      </c>
      <c r="L4" s="46">
        <v>2009</v>
      </c>
      <c r="M4" s="46">
        <v>2010</v>
      </c>
      <c r="N4" s="46">
        <v>2010</v>
      </c>
      <c r="O4" s="46">
        <v>2010</v>
      </c>
      <c r="P4" s="46">
        <v>2010</v>
      </c>
      <c r="Q4" s="46">
        <v>2010</v>
      </c>
      <c r="R4" s="46">
        <v>2011</v>
      </c>
      <c r="S4" s="46">
        <v>2011</v>
      </c>
      <c r="T4" s="46">
        <v>2011</v>
      </c>
      <c r="U4" s="46">
        <v>2011</v>
      </c>
      <c r="V4" s="46">
        <v>2011</v>
      </c>
      <c r="W4" s="46">
        <v>2012</v>
      </c>
      <c r="X4" s="46">
        <v>2012</v>
      </c>
      <c r="Y4" s="46">
        <v>2012</v>
      </c>
      <c r="Z4" s="46">
        <v>2012</v>
      </c>
      <c r="AA4" s="46">
        <v>2012</v>
      </c>
      <c r="AB4" s="46">
        <v>2013</v>
      </c>
      <c r="AC4" s="46">
        <v>2013</v>
      </c>
      <c r="AD4" s="46">
        <v>2013</v>
      </c>
      <c r="AE4" s="46">
        <v>2013</v>
      </c>
      <c r="AF4" s="46">
        <v>2013</v>
      </c>
      <c r="AG4" s="46">
        <v>2014</v>
      </c>
      <c r="AH4" s="46">
        <v>2014</v>
      </c>
      <c r="AI4" s="46">
        <v>2014</v>
      </c>
      <c r="AJ4" s="46">
        <v>2014</v>
      </c>
      <c r="AK4" s="46">
        <v>2014</v>
      </c>
      <c r="AL4" s="46">
        <v>2015</v>
      </c>
      <c r="AM4" s="46">
        <v>2015</v>
      </c>
      <c r="AN4" s="46">
        <v>2015</v>
      </c>
      <c r="AO4" s="46">
        <v>2015</v>
      </c>
      <c r="AP4" s="46">
        <v>2015</v>
      </c>
      <c r="AQ4" s="46">
        <v>2016</v>
      </c>
      <c r="AR4" s="46">
        <v>2016</v>
      </c>
      <c r="AS4" s="46">
        <v>2016</v>
      </c>
      <c r="AT4" s="46">
        <v>2016</v>
      </c>
      <c r="AU4" s="46">
        <v>2016</v>
      </c>
      <c r="AV4" s="46">
        <v>2017</v>
      </c>
      <c r="AW4" s="46">
        <v>2017</v>
      </c>
      <c r="AX4" s="46">
        <v>2017</v>
      </c>
      <c r="AY4" s="46">
        <v>2017</v>
      </c>
      <c r="AZ4" s="46">
        <v>2017</v>
      </c>
      <c r="BA4" s="46">
        <v>2018</v>
      </c>
      <c r="BB4" s="46">
        <v>2018</v>
      </c>
      <c r="BC4" s="46">
        <v>2018</v>
      </c>
      <c r="BD4" s="46">
        <v>2018</v>
      </c>
      <c r="BE4" s="46">
        <v>2018</v>
      </c>
      <c r="BF4" s="46">
        <v>2019</v>
      </c>
      <c r="BG4" s="46">
        <v>2019</v>
      </c>
      <c r="BH4" s="46">
        <v>2019</v>
      </c>
      <c r="BI4" s="46">
        <v>2019</v>
      </c>
      <c r="BJ4" s="46">
        <v>2019</v>
      </c>
      <c r="BK4" s="46">
        <v>2020</v>
      </c>
    </row>
    <row r="5" spans="1:63" s="24" customFormat="1" ht="4.5" customHeight="1">
      <c r="A5" s="43"/>
      <c r="B5" s="43"/>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row>
    <row r="6" spans="1:63" ht="20.25">
      <c r="A6" s="34" t="s">
        <v>90</v>
      </c>
      <c r="B6" s="34"/>
      <c r="C6" s="26"/>
      <c r="D6" s="26"/>
      <c r="E6" s="26"/>
      <c r="F6" s="26"/>
      <c r="G6" s="26"/>
      <c r="H6" s="26"/>
      <c r="I6" s="26"/>
      <c r="J6" s="26"/>
      <c r="K6" s="26"/>
      <c r="L6" s="26"/>
      <c r="M6" s="26"/>
      <c r="N6" s="26"/>
      <c r="O6" s="26"/>
      <c r="P6" s="26"/>
      <c r="Q6" s="26"/>
      <c r="R6" s="26"/>
      <c r="S6" s="26"/>
      <c r="T6" s="26"/>
      <c r="U6" s="20"/>
      <c r="V6" s="20"/>
      <c r="W6" s="26"/>
      <c r="X6" s="26"/>
      <c r="Y6" s="26"/>
      <c r="Z6" s="20"/>
      <c r="AA6" s="20"/>
      <c r="AB6" s="20"/>
      <c r="AC6" s="26"/>
      <c r="AD6" s="26"/>
      <c r="AE6" s="20"/>
      <c r="AF6" s="20"/>
      <c r="AG6" s="20"/>
      <c r="AH6" s="26"/>
      <c r="AI6" s="26"/>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row>
    <row r="7" spans="1:63" ht="1.1499999999999999" customHeight="1">
      <c r="A7" s="59"/>
      <c r="B7" s="59"/>
      <c r="C7" s="60"/>
      <c r="D7" s="60"/>
      <c r="E7" s="60"/>
      <c r="F7" s="60"/>
      <c r="G7" s="60"/>
      <c r="H7" s="60"/>
      <c r="I7" s="60"/>
      <c r="J7" s="60"/>
      <c r="K7" s="60"/>
      <c r="L7" s="60"/>
      <c r="M7" s="60"/>
      <c r="N7" s="60"/>
      <c r="O7" s="60"/>
      <c r="P7" s="60"/>
      <c r="Q7" s="60"/>
      <c r="R7" s="60"/>
      <c r="S7" s="60"/>
      <c r="T7" s="60"/>
      <c r="U7" s="59"/>
      <c r="V7" s="59"/>
      <c r="W7" s="60"/>
      <c r="X7" s="60"/>
      <c r="Y7" s="60"/>
      <c r="Z7" s="59"/>
      <c r="AA7" s="59"/>
      <c r="AB7" s="59"/>
      <c r="AC7" s="60"/>
      <c r="AD7" s="60"/>
      <c r="AE7" s="59"/>
      <c r="AF7" s="59"/>
      <c r="AG7" s="59"/>
      <c r="AH7" s="60"/>
      <c r="AI7" s="60"/>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row>
    <row r="8" spans="1:63" ht="11.25" customHeight="1">
      <c r="A8" s="39" t="s">
        <v>27</v>
      </c>
      <c r="B8" s="39"/>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row>
    <row r="9" spans="1:63" s="35" customFormat="1">
      <c r="A9" s="67" t="s">
        <v>16</v>
      </c>
      <c r="B9" s="63">
        <v>11136</v>
      </c>
      <c r="C9" s="68">
        <v>2760</v>
      </c>
      <c r="D9" s="68">
        <v>2748</v>
      </c>
      <c r="E9" s="68">
        <v>2806</v>
      </c>
      <c r="F9" s="68">
        <v>2701</v>
      </c>
      <c r="G9" s="63">
        <v>11015</v>
      </c>
      <c r="H9" s="68">
        <v>2791</v>
      </c>
      <c r="I9" s="68">
        <v>2872</v>
      </c>
      <c r="J9" s="68">
        <v>2924</v>
      </c>
      <c r="K9" s="68">
        <f>L9-J9-I9-H9</f>
        <v>2932</v>
      </c>
      <c r="L9" s="63">
        <v>11519</v>
      </c>
      <c r="M9" s="68">
        <v>2915</v>
      </c>
      <c r="N9" s="68">
        <v>2981</v>
      </c>
      <c r="O9" s="68">
        <v>3033</v>
      </c>
      <c r="P9" s="68">
        <f>Q9-O9-N9-M9</f>
        <v>3058</v>
      </c>
      <c r="Q9" s="63">
        <v>11987</v>
      </c>
      <c r="R9" s="68">
        <v>2913</v>
      </c>
      <c r="S9" s="68">
        <v>2893</v>
      </c>
      <c r="T9" s="68">
        <v>2917</v>
      </c>
      <c r="U9" s="68">
        <f>V9-T9-S9-R9</f>
        <v>2650</v>
      </c>
      <c r="V9" s="63">
        <v>11373</v>
      </c>
      <c r="W9" s="68">
        <v>2740</v>
      </c>
      <c r="X9" s="68">
        <v>2595</v>
      </c>
      <c r="Y9" s="68">
        <v>2494</v>
      </c>
      <c r="Z9" s="68">
        <f>AA9-Y9-X9-W9</f>
        <v>2449</v>
      </c>
      <c r="AA9" s="63">
        <v>10278</v>
      </c>
      <c r="AB9" s="68">
        <v>2405</v>
      </c>
      <c r="AC9" s="68">
        <v>2351</v>
      </c>
      <c r="AD9" s="68">
        <v>2398</v>
      </c>
      <c r="AE9" s="68">
        <f>AF9-AD9-AC9-AB9</f>
        <v>2409</v>
      </c>
      <c r="AF9" s="63">
        <v>9563</v>
      </c>
      <c r="AG9" s="68">
        <v>2311</v>
      </c>
      <c r="AH9" s="68">
        <v>2250</v>
      </c>
      <c r="AI9" s="68">
        <v>2232</v>
      </c>
      <c r="AJ9" s="68">
        <f>AK9-AI9-AH9-AG9</f>
        <v>2262</v>
      </c>
      <c r="AK9" s="63">
        <v>9055</v>
      </c>
      <c r="AL9" s="68">
        <v>2174</v>
      </c>
      <c r="AM9" s="68">
        <v>2603</v>
      </c>
      <c r="AN9" s="68">
        <v>2602</v>
      </c>
      <c r="AO9" s="68">
        <f>AP9-AN9-AM9-AL9</f>
        <v>2606</v>
      </c>
      <c r="AP9" s="63">
        <v>9985</v>
      </c>
      <c r="AQ9" s="68">
        <v>2559</v>
      </c>
      <c r="AR9" s="68">
        <v>2511</v>
      </c>
      <c r="AS9" s="68">
        <v>2510</v>
      </c>
      <c r="AT9" s="68">
        <f>AU9-AS9-AR9-AQ9</f>
        <v>2504</v>
      </c>
      <c r="AU9" s="63">
        <v>10084</v>
      </c>
      <c r="AV9" s="68">
        <v>2453</v>
      </c>
      <c r="AW9" s="68">
        <v>2463</v>
      </c>
      <c r="AX9" s="68">
        <v>2415</v>
      </c>
      <c r="AY9" s="68">
        <f>AZ9-AX9-AW9-AV9</f>
        <v>2458</v>
      </c>
      <c r="AZ9" s="63">
        <v>9789</v>
      </c>
      <c r="BA9" s="68">
        <v>2361</v>
      </c>
      <c r="BB9" s="68">
        <v>2333</v>
      </c>
      <c r="BC9" s="68">
        <v>2301</v>
      </c>
      <c r="BD9" s="68">
        <v>2326</v>
      </c>
      <c r="BE9" s="63">
        <v>9321</v>
      </c>
      <c r="BF9" s="68">
        <v>2256</v>
      </c>
      <c r="BG9" s="68">
        <v>2224</v>
      </c>
      <c r="BH9" s="68">
        <v>2247</v>
      </c>
      <c r="BI9" s="68">
        <v>2202</v>
      </c>
      <c r="BJ9" s="63">
        <v>8929</v>
      </c>
      <c r="BK9" s="68">
        <v>2187</v>
      </c>
    </row>
    <row r="10" spans="1:63">
      <c r="A10" s="69" t="s">
        <v>7</v>
      </c>
      <c r="B10" s="23"/>
      <c r="C10" s="70"/>
      <c r="D10" s="70">
        <f>D9/C9-1</f>
        <v>-4.3478260869564966E-3</v>
      </c>
      <c r="E10" s="70">
        <f>E9/D9-1</f>
        <v>2.1106259097525504E-2</v>
      </c>
      <c r="F10" s="70">
        <f>F9/E9-1</f>
        <v>-3.7419814682822516E-2</v>
      </c>
      <c r="G10" s="23"/>
      <c r="H10" s="70">
        <f>H9/F9-1</f>
        <v>3.3320992225101875E-2</v>
      </c>
      <c r="I10" s="70">
        <f>I9/H9-1</f>
        <v>2.9021855965603693E-2</v>
      </c>
      <c r="J10" s="70">
        <f>J9/I9-1</f>
        <v>1.8105849582172651E-2</v>
      </c>
      <c r="K10" s="70">
        <f>K9/J9-1</f>
        <v>2.7359781121751858E-3</v>
      </c>
      <c r="L10" s="23"/>
      <c r="M10" s="70">
        <f>M9/K9-1</f>
        <v>-5.7980900409276837E-3</v>
      </c>
      <c r="N10" s="70">
        <f>N9/M9-1</f>
        <v>2.2641509433962259E-2</v>
      </c>
      <c r="O10" s="70">
        <f>O9/N9-1</f>
        <v>1.7443810801744286E-2</v>
      </c>
      <c r="P10" s="70">
        <f>P9/O9-1</f>
        <v>8.2426640290140796E-3</v>
      </c>
      <c r="Q10" s="23"/>
      <c r="R10" s="70">
        <f>R9/P9-1</f>
        <v>-4.7416612164813632E-2</v>
      </c>
      <c r="S10" s="70">
        <f>S9/R9-1</f>
        <v>-6.8657741160316199E-3</v>
      </c>
      <c r="T10" s="70">
        <f>T9/S9-1</f>
        <v>8.295886622882831E-3</v>
      </c>
      <c r="U10" s="70">
        <f>U9/T9-1</f>
        <v>-9.1532396297566043E-2</v>
      </c>
      <c r="V10" s="23"/>
      <c r="W10" s="70">
        <f>W9/U9-1</f>
        <v>3.3962264150943389E-2</v>
      </c>
      <c r="X10" s="70">
        <f>X9/W9-1</f>
        <v>-5.2919708029197099E-2</v>
      </c>
      <c r="Y10" s="70">
        <f>Y9/X9-1</f>
        <v>-3.8921001926782273E-2</v>
      </c>
      <c r="Z10" s="70">
        <f>Z9/Y9-1</f>
        <v>-1.8043303929430654E-2</v>
      </c>
      <c r="AA10" s="23"/>
      <c r="AB10" s="70">
        <f>AB9/Z9-1</f>
        <v>-1.7966516945692068E-2</v>
      </c>
      <c r="AC10" s="70">
        <f>AC9/AB9-1</f>
        <v>-2.2453222453222454E-2</v>
      </c>
      <c r="AD10" s="70">
        <f>AD9/AC9-1</f>
        <v>1.9991492981709991E-2</v>
      </c>
      <c r="AE10" s="70">
        <f>AE9/AD9-1</f>
        <v>4.5871559633028358E-3</v>
      </c>
      <c r="AF10" s="23"/>
      <c r="AG10" s="70">
        <f>AG9/AE9-1</f>
        <v>-4.0680780406807782E-2</v>
      </c>
      <c r="AH10" s="70">
        <f>AH9/AG9-1</f>
        <v>-2.6395499783643417E-2</v>
      </c>
      <c r="AI10" s="70">
        <f>AI9/AH9-1</f>
        <v>-8.0000000000000071E-3</v>
      </c>
      <c r="AJ10" s="70">
        <f>AJ9/AI9-1</f>
        <v>1.3440860215053752E-2</v>
      </c>
      <c r="AK10" s="23"/>
      <c r="AL10" s="70">
        <f>AL9/AJ9-1</f>
        <v>-3.89036251105217E-2</v>
      </c>
      <c r="AM10" s="70">
        <f>AM9/AL9-1</f>
        <v>0.19733210671573143</v>
      </c>
      <c r="AN10" s="70">
        <f>AN9/AM9-1</f>
        <v>-3.8417210910490773E-4</v>
      </c>
      <c r="AO10" s="70">
        <f>AO9/AN9-1</f>
        <v>1.537279016141424E-3</v>
      </c>
      <c r="AP10" s="23"/>
      <c r="AQ10" s="70">
        <f>AQ9/AO9-1</f>
        <v>-1.8035303146584858E-2</v>
      </c>
      <c r="AR10" s="70">
        <f>AR9/AQ9-1</f>
        <v>-1.8757327080890951E-2</v>
      </c>
      <c r="AS10" s="70">
        <f>AS9/AR9-1</f>
        <v>-3.9824771007568316E-4</v>
      </c>
      <c r="AT10" s="70">
        <f>AT9/AS9-1</f>
        <v>-2.3904382470119057E-3</v>
      </c>
      <c r="AU10" s="23"/>
      <c r="AV10" s="70">
        <f>AV9/AT9-1</f>
        <v>-2.0367412140575025E-2</v>
      </c>
      <c r="AW10" s="70">
        <f>AW9/AV9-1</f>
        <v>4.0766408479413485E-3</v>
      </c>
      <c r="AX10" s="70">
        <f>AX9/AW9-1</f>
        <v>-1.948842874543244E-2</v>
      </c>
      <c r="AY10" s="70">
        <f>AY9/AX9-1</f>
        <v>1.7805383022774235E-2</v>
      </c>
      <c r="AZ10" s="23"/>
      <c r="BA10" s="70">
        <v>-3.9462978030919471E-2</v>
      </c>
      <c r="BB10" s="70">
        <v>-1.185938161795852E-2</v>
      </c>
      <c r="BC10" s="70">
        <v>-1.3716245177882502E-2</v>
      </c>
      <c r="BD10" s="70">
        <v>1.0864841373315892E-2</v>
      </c>
      <c r="BE10" s="23"/>
      <c r="BF10" s="70">
        <v>-3.009458297506451E-2</v>
      </c>
      <c r="BG10" s="70">
        <v>-1.4184397163120588E-2</v>
      </c>
      <c r="BH10" s="70">
        <v>1.0341726618705138E-2</v>
      </c>
      <c r="BI10" s="70">
        <v>-2.0026702269692942E-2</v>
      </c>
      <c r="BJ10" s="23"/>
      <c r="BK10" s="70">
        <v>-6.8119891008174838E-3</v>
      </c>
    </row>
    <row r="11" spans="1:63" ht="10.9" customHeight="1">
      <c r="A11" s="69" t="s">
        <v>8</v>
      </c>
      <c r="B11" s="23"/>
      <c r="C11" s="71"/>
      <c r="D11" s="71"/>
      <c r="E11" s="71"/>
      <c r="F11" s="71"/>
      <c r="G11" s="23">
        <f t="shared" ref="G11:N11" si="0">G9/B9-1</f>
        <v>-1.0865660919540221E-2</v>
      </c>
      <c r="H11" s="71">
        <f t="shared" si="0"/>
        <v>1.1231884057971042E-2</v>
      </c>
      <c r="I11" s="71">
        <f t="shared" si="0"/>
        <v>4.512372634643369E-2</v>
      </c>
      <c r="J11" s="71">
        <f t="shared" si="0"/>
        <v>4.2052744119743357E-2</v>
      </c>
      <c r="K11" s="71">
        <f t="shared" si="0"/>
        <v>8.5523880044428013E-2</v>
      </c>
      <c r="L11" s="23">
        <f t="shared" si="0"/>
        <v>4.5755787562414829E-2</v>
      </c>
      <c r="M11" s="71">
        <f t="shared" si="0"/>
        <v>4.4428520243640302E-2</v>
      </c>
      <c r="N11" s="71">
        <f t="shared" si="0"/>
        <v>3.79526462395543E-2</v>
      </c>
      <c r="O11" s="71">
        <f t="shared" ref="O11:Y11" si="1">O9/J9-1</f>
        <v>3.7277701778385852E-2</v>
      </c>
      <c r="P11" s="71">
        <f t="shared" si="1"/>
        <v>4.2974079126875786E-2</v>
      </c>
      <c r="Q11" s="23">
        <f t="shared" si="1"/>
        <v>4.0628526781838703E-2</v>
      </c>
      <c r="R11" s="71">
        <f t="shared" si="1"/>
        <v>-6.8610634648369473E-4</v>
      </c>
      <c r="S11" s="71">
        <f t="shared" si="1"/>
        <v>-2.9520295202952074E-2</v>
      </c>
      <c r="T11" s="71">
        <f t="shared" si="1"/>
        <v>-3.8245961094625747E-2</v>
      </c>
      <c r="U11" s="71">
        <f t="shared" si="1"/>
        <v>-0.13342053629823414</v>
      </c>
      <c r="V11" s="23">
        <f t="shared" si="1"/>
        <v>-5.1222157337115215E-2</v>
      </c>
      <c r="W11" s="71">
        <f t="shared" si="1"/>
        <v>-5.9388946103673179E-2</v>
      </c>
      <c r="X11" s="71">
        <f t="shared" si="1"/>
        <v>-0.10300725890079498</v>
      </c>
      <c r="Y11" s="71">
        <f t="shared" si="1"/>
        <v>-0.14501199862872816</v>
      </c>
      <c r="Z11" s="71">
        <f t="shared" ref="Z11:AI11" si="2">Z9/U9-1</f>
        <v>-7.5849056603773612E-2</v>
      </c>
      <c r="AA11" s="23">
        <f t="shared" si="2"/>
        <v>-9.6280664732260601E-2</v>
      </c>
      <c r="AB11" s="71">
        <f t="shared" si="2"/>
        <v>-0.12226277372262773</v>
      </c>
      <c r="AC11" s="71">
        <f t="shared" si="2"/>
        <v>-9.4026974951830433E-2</v>
      </c>
      <c r="AD11" s="71">
        <f t="shared" si="2"/>
        <v>-3.8492381716118684E-2</v>
      </c>
      <c r="AE11" s="71">
        <f t="shared" si="2"/>
        <v>-1.6333197223356466E-2</v>
      </c>
      <c r="AF11" s="23">
        <f t="shared" si="2"/>
        <v>-6.9566063436466208E-2</v>
      </c>
      <c r="AG11" s="71">
        <f t="shared" si="2"/>
        <v>-3.9085239085239087E-2</v>
      </c>
      <c r="AH11" s="71">
        <f t="shared" si="2"/>
        <v>-4.2960442364951112E-2</v>
      </c>
      <c r="AI11" s="71">
        <f t="shared" si="2"/>
        <v>-6.9224353628023372E-2</v>
      </c>
      <c r="AJ11" s="71">
        <f t="shared" ref="AJ11:AS11" si="3">AJ9/AE9-1</f>
        <v>-6.1021170610211728E-2</v>
      </c>
      <c r="AK11" s="23">
        <f t="shared" si="3"/>
        <v>-5.3121405416710288E-2</v>
      </c>
      <c r="AL11" s="71">
        <f t="shared" si="3"/>
        <v>-5.928169623539592E-2</v>
      </c>
      <c r="AM11" s="71">
        <f t="shared" si="3"/>
        <v>0.15688888888888886</v>
      </c>
      <c r="AN11" s="71">
        <f t="shared" si="3"/>
        <v>0.16577060931899634</v>
      </c>
      <c r="AO11" s="71">
        <f t="shared" si="3"/>
        <v>0.15207780725022113</v>
      </c>
      <c r="AP11" s="23">
        <f t="shared" si="3"/>
        <v>0.10270568746548858</v>
      </c>
      <c r="AQ11" s="71">
        <f t="shared" si="3"/>
        <v>0.17709291628334856</v>
      </c>
      <c r="AR11" s="71">
        <f t="shared" si="3"/>
        <v>-3.5343834037648847E-2</v>
      </c>
      <c r="AS11" s="71">
        <f t="shared" si="3"/>
        <v>-3.5357417371252864E-2</v>
      </c>
      <c r="AT11" s="71">
        <f t="shared" ref="AT11" si="4">AT9/AO9-1</f>
        <v>-3.9140445126630841E-2</v>
      </c>
      <c r="AU11" s="23">
        <f t="shared" ref="AU11:AX11" si="5">AU9/AP9-1</f>
        <v>9.9148723084627743E-3</v>
      </c>
      <c r="AV11" s="71">
        <f t="shared" si="5"/>
        <v>-4.14224306369676E-2</v>
      </c>
      <c r="AW11" s="71">
        <f t="shared" si="5"/>
        <v>-1.9115890083632014E-2</v>
      </c>
      <c r="AX11" s="71">
        <f t="shared" si="5"/>
        <v>-3.7848605577689209E-2</v>
      </c>
      <c r="AY11" s="71">
        <f t="shared" ref="AY11" si="6">AY9/AT9-1</f>
        <v>-1.8370607028754038E-2</v>
      </c>
      <c r="AZ11" s="23">
        <v>-2.9254264180880618E-2</v>
      </c>
      <c r="BA11" s="71">
        <v>-3.7505095801059873E-2</v>
      </c>
      <c r="BB11" s="71">
        <v>-5.2781161185546099E-2</v>
      </c>
      <c r="BC11" s="71">
        <v>-4.7204968944099424E-2</v>
      </c>
      <c r="BD11" s="71">
        <v>-5.3702196908055333E-2</v>
      </c>
      <c r="BE11" s="23">
        <v>-4.7808764940239001E-2</v>
      </c>
      <c r="BF11" s="71">
        <v>-4.4472681067344366E-2</v>
      </c>
      <c r="BG11" s="71">
        <v>-4.6720960137162426E-2</v>
      </c>
      <c r="BH11" s="71">
        <v>-2.3468057366362483E-2</v>
      </c>
      <c r="BI11" s="71">
        <v>-5.3310404127257072E-2</v>
      </c>
      <c r="BJ11" s="23">
        <v>-4.2055573436326599E-2</v>
      </c>
      <c r="BK11" s="71">
        <v>-3.0585106382978733E-2</v>
      </c>
    </row>
    <row r="12" spans="1:63" s="35" customFormat="1">
      <c r="A12" s="67" t="s">
        <v>261</v>
      </c>
      <c r="B12" s="63">
        <v>1509</v>
      </c>
      <c r="C12" s="68">
        <v>368</v>
      </c>
      <c r="D12" s="68">
        <v>361</v>
      </c>
      <c r="E12" s="68">
        <v>365</v>
      </c>
      <c r="F12" s="68">
        <v>364</v>
      </c>
      <c r="G12" s="63">
        <v>1458</v>
      </c>
      <c r="H12" s="68">
        <v>371</v>
      </c>
      <c r="I12" s="68">
        <v>377</v>
      </c>
      <c r="J12" s="68">
        <v>361</v>
      </c>
      <c r="K12" s="68">
        <f>L12-J12-I12-H12</f>
        <v>376</v>
      </c>
      <c r="L12" s="63">
        <v>1485</v>
      </c>
      <c r="M12" s="68">
        <v>343</v>
      </c>
      <c r="N12" s="68">
        <v>348</v>
      </c>
      <c r="O12" s="68">
        <v>350</v>
      </c>
      <c r="P12" s="68">
        <f>Q12-O12-N12-M12</f>
        <v>368</v>
      </c>
      <c r="Q12" s="63">
        <v>1409</v>
      </c>
      <c r="R12" s="68">
        <v>335</v>
      </c>
      <c r="S12" s="68">
        <v>348</v>
      </c>
      <c r="T12" s="68">
        <v>357</v>
      </c>
      <c r="U12" s="68">
        <f>V12-T12-S12-R12</f>
        <v>355</v>
      </c>
      <c r="V12" s="63">
        <v>1395</v>
      </c>
      <c r="W12" s="68">
        <v>358</v>
      </c>
      <c r="X12" s="68">
        <v>358</v>
      </c>
      <c r="Y12" s="68">
        <v>359</v>
      </c>
      <c r="Z12" s="68">
        <f>AA12-Y12-X12-W12</f>
        <v>361</v>
      </c>
      <c r="AA12" s="63">
        <v>1436</v>
      </c>
      <c r="AB12" s="68">
        <v>328</v>
      </c>
      <c r="AC12" s="68">
        <v>326</v>
      </c>
      <c r="AD12" s="68">
        <v>329</v>
      </c>
      <c r="AE12" s="68">
        <f>AF12-AD12-AC12-AB12</f>
        <v>328</v>
      </c>
      <c r="AF12" s="63">
        <v>1311</v>
      </c>
      <c r="AG12" s="68">
        <v>314</v>
      </c>
      <c r="AH12" s="68">
        <v>319</v>
      </c>
      <c r="AI12" s="68">
        <v>327</v>
      </c>
      <c r="AJ12" s="68">
        <f>AK12-AI12-AH12-AG12</f>
        <v>321</v>
      </c>
      <c r="AK12" s="63">
        <v>1281</v>
      </c>
      <c r="AL12" s="68">
        <v>317</v>
      </c>
      <c r="AM12" s="68">
        <v>451</v>
      </c>
      <c r="AN12" s="68">
        <v>457</v>
      </c>
      <c r="AO12" s="68">
        <f>AP12-AN12-AM12-AL12</f>
        <v>459</v>
      </c>
      <c r="AP12" s="63">
        <v>1684</v>
      </c>
      <c r="AQ12" s="68">
        <v>449</v>
      </c>
      <c r="AR12" s="68">
        <v>440</v>
      </c>
      <c r="AS12" s="68">
        <v>442</v>
      </c>
      <c r="AT12" s="68">
        <f>AU12-AS12-AR12-AQ12</f>
        <v>408</v>
      </c>
      <c r="AU12" s="63">
        <v>1739</v>
      </c>
      <c r="AV12" s="68">
        <v>428</v>
      </c>
      <c r="AW12" s="68">
        <v>424</v>
      </c>
      <c r="AX12" s="68">
        <v>436</v>
      </c>
      <c r="AY12" s="68">
        <f>AZ12-AX12-AW12-AV12</f>
        <v>427</v>
      </c>
      <c r="AZ12" s="63">
        <v>1715</v>
      </c>
      <c r="BA12" s="68">
        <v>525</v>
      </c>
      <c r="BB12" s="68">
        <v>537</v>
      </c>
      <c r="BC12" s="68">
        <v>547</v>
      </c>
      <c r="BD12" s="68">
        <v>580</v>
      </c>
      <c r="BE12" s="63">
        <v>2189</v>
      </c>
      <c r="BF12" s="68">
        <v>466</v>
      </c>
      <c r="BG12" s="68">
        <v>478</v>
      </c>
      <c r="BH12" s="68">
        <v>481</v>
      </c>
      <c r="BI12" s="68">
        <v>487</v>
      </c>
      <c r="BJ12" s="63">
        <v>1912</v>
      </c>
      <c r="BK12" s="68">
        <v>452</v>
      </c>
    </row>
    <row r="13" spans="1:63">
      <c r="A13" s="69" t="s">
        <v>7</v>
      </c>
      <c r="B13" s="23"/>
      <c r="C13" s="70"/>
      <c r="D13" s="70">
        <f>D12/C12-1</f>
        <v>-1.9021739130434812E-2</v>
      </c>
      <c r="E13" s="70">
        <f>E12/D12-1</f>
        <v>1.1080332409972193E-2</v>
      </c>
      <c r="F13" s="70">
        <f>F12/E12-1</f>
        <v>-2.739726027397249E-3</v>
      </c>
      <c r="G13" s="23"/>
      <c r="H13" s="70">
        <f>H12/F12-1</f>
        <v>1.9230769230769162E-2</v>
      </c>
      <c r="I13" s="70">
        <f>I12/H12-1</f>
        <v>1.6172506738544534E-2</v>
      </c>
      <c r="J13" s="70">
        <f>J12/I12-1</f>
        <v>-4.2440318302387259E-2</v>
      </c>
      <c r="K13" s="70">
        <f>K12/J12-1</f>
        <v>4.1551246537396169E-2</v>
      </c>
      <c r="L13" s="23"/>
      <c r="M13" s="70">
        <f>M12/K12-1</f>
        <v>-8.7765957446808485E-2</v>
      </c>
      <c r="N13" s="70">
        <f>N12/M12-1</f>
        <v>1.4577259475218707E-2</v>
      </c>
      <c r="O13" s="70">
        <f>O12/N12-1</f>
        <v>5.7471264367816577E-3</v>
      </c>
      <c r="P13" s="70">
        <f>P12/O12-1</f>
        <v>5.1428571428571379E-2</v>
      </c>
      <c r="Q13" s="23"/>
      <c r="R13" s="70">
        <f>R12/P12-1</f>
        <v>-8.9673913043478271E-2</v>
      </c>
      <c r="S13" s="70">
        <f>S12/R12-1</f>
        <v>3.8805970149253799E-2</v>
      </c>
      <c r="T13" s="70">
        <f>T12/S12-1</f>
        <v>2.5862068965517349E-2</v>
      </c>
      <c r="U13" s="70">
        <f>U12/T12-1</f>
        <v>-5.6022408963585235E-3</v>
      </c>
      <c r="V13" s="23"/>
      <c r="W13" s="70">
        <f>W12/U12-1</f>
        <v>8.4507042253521014E-3</v>
      </c>
      <c r="X13" s="70">
        <f>X12/W12-1</f>
        <v>0</v>
      </c>
      <c r="Y13" s="70">
        <f>Y12/X12-1</f>
        <v>2.7932960893854997E-3</v>
      </c>
      <c r="Z13" s="70">
        <f>Z12/Y12-1</f>
        <v>5.5710306406684396E-3</v>
      </c>
      <c r="AA13" s="23"/>
      <c r="AB13" s="70">
        <f>AB12/Z12-1</f>
        <v>-9.1412742382271484E-2</v>
      </c>
      <c r="AC13" s="70">
        <f>AC12/AB12-1</f>
        <v>-6.0975609756097615E-3</v>
      </c>
      <c r="AD13" s="70">
        <f>AD12/AC12-1</f>
        <v>9.2024539877300082E-3</v>
      </c>
      <c r="AE13" s="70">
        <f>AE12/AD12-1</f>
        <v>-3.0395136778115228E-3</v>
      </c>
      <c r="AF13" s="23"/>
      <c r="AG13" s="70">
        <f>AG12/AE12-1</f>
        <v>-4.2682926829268331E-2</v>
      </c>
      <c r="AH13" s="70">
        <f>AH12/AG12-1</f>
        <v>1.5923566878980999E-2</v>
      </c>
      <c r="AI13" s="70">
        <f>AI12/AH12-1</f>
        <v>2.5078369905956022E-2</v>
      </c>
      <c r="AJ13" s="70">
        <f>AJ12/AI12-1</f>
        <v>-1.834862385321101E-2</v>
      </c>
      <c r="AK13" s="23"/>
      <c r="AL13" s="70">
        <f>AL12/AJ12-1</f>
        <v>-1.2461059190031154E-2</v>
      </c>
      <c r="AM13" s="70">
        <f>AM12/AL12-1</f>
        <v>0.42271293375394325</v>
      </c>
      <c r="AN13" s="70">
        <f>AN12/AM12-1</f>
        <v>1.3303769401330268E-2</v>
      </c>
      <c r="AO13" s="70">
        <f>AO12/AN12-1</f>
        <v>4.3763676148795838E-3</v>
      </c>
      <c r="AP13" s="23"/>
      <c r="AQ13" s="70">
        <f>AQ12/AO12-1</f>
        <v>-2.1786492374727628E-2</v>
      </c>
      <c r="AR13" s="70">
        <f>AR12/AQ12-1</f>
        <v>-2.0044543429844075E-2</v>
      </c>
      <c r="AS13" s="70">
        <f>AS12/AR12-1</f>
        <v>4.5454545454546302E-3</v>
      </c>
      <c r="AT13" s="70">
        <f>AT12/AS12-1</f>
        <v>-7.6923076923076872E-2</v>
      </c>
      <c r="AU13" s="23"/>
      <c r="AV13" s="70">
        <f>AV12/AT12-1</f>
        <v>4.9019607843137303E-2</v>
      </c>
      <c r="AW13" s="70">
        <f>AW12/AV12-1</f>
        <v>-9.3457943925233655E-3</v>
      </c>
      <c r="AX13" s="70">
        <f>AX12/AW12-1</f>
        <v>2.8301886792452935E-2</v>
      </c>
      <c r="AY13" s="70">
        <f>AY12/AX12-1</f>
        <v>-2.0642201834862428E-2</v>
      </c>
      <c r="AZ13" s="23"/>
      <c r="BA13" s="70">
        <v>0.22950819672131151</v>
      </c>
      <c r="BB13" s="70">
        <v>2.2857142857142909E-2</v>
      </c>
      <c r="BC13" s="70">
        <v>1.862197392923659E-2</v>
      </c>
      <c r="BD13" s="70">
        <v>6.0329067641681888E-2</v>
      </c>
      <c r="BE13" s="23"/>
      <c r="BF13" s="70">
        <v>-0.19655172413793098</v>
      </c>
      <c r="BG13" s="70">
        <v>2.5751072961373467E-2</v>
      </c>
      <c r="BH13" s="70">
        <v>6.2761506276149959E-3</v>
      </c>
      <c r="BI13" s="70">
        <v>1.2474012474012364E-2</v>
      </c>
      <c r="BJ13" s="23"/>
      <c r="BK13" s="70">
        <v>-7.186858316221767E-2</v>
      </c>
    </row>
    <row r="14" spans="1:63" ht="10.9" customHeight="1">
      <c r="A14" s="69" t="s">
        <v>8</v>
      </c>
      <c r="B14" s="23"/>
      <c r="C14" s="71"/>
      <c r="D14" s="71"/>
      <c r="E14" s="71"/>
      <c r="F14" s="71"/>
      <c r="G14" s="23">
        <f t="shared" ref="G14:N14" si="7">G12/B12-1</f>
        <v>-3.379721669980118E-2</v>
      </c>
      <c r="H14" s="71">
        <f t="shared" si="7"/>
        <v>8.152173913043459E-3</v>
      </c>
      <c r="I14" s="71">
        <f t="shared" si="7"/>
        <v>4.4321329639889218E-2</v>
      </c>
      <c r="J14" s="71">
        <f t="shared" si="7"/>
        <v>-1.0958904109588996E-2</v>
      </c>
      <c r="K14" s="71">
        <f t="shared" si="7"/>
        <v>3.2967032967033072E-2</v>
      </c>
      <c r="L14" s="23">
        <f t="shared" si="7"/>
        <v>1.8518518518518601E-2</v>
      </c>
      <c r="M14" s="71">
        <f t="shared" si="7"/>
        <v>-7.547169811320753E-2</v>
      </c>
      <c r="N14" s="71">
        <f t="shared" si="7"/>
        <v>-7.6923076923076872E-2</v>
      </c>
      <c r="O14" s="71">
        <f t="shared" ref="O14:Y14" si="8">O12/J12-1</f>
        <v>-3.0470914127423865E-2</v>
      </c>
      <c r="P14" s="71">
        <f t="shared" si="8"/>
        <v>-2.1276595744680882E-2</v>
      </c>
      <c r="Q14" s="23">
        <f t="shared" si="8"/>
        <v>-5.1178451178451212E-2</v>
      </c>
      <c r="R14" s="71">
        <f t="shared" si="8"/>
        <v>-2.3323615160349864E-2</v>
      </c>
      <c r="S14" s="71">
        <f t="shared" si="8"/>
        <v>0</v>
      </c>
      <c r="T14" s="71">
        <f t="shared" si="8"/>
        <v>2.0000000000000018E-2</v>
      </c>
      <c r="U14" s="71">
        <f t="shared" si="8"/>
        <v>-3.5326086956521729E-2</v>
      </c>
      <c r="V14" s="23">
        <f t="shared" si="8"/>
        <v>-9.936124911284594E-3</v>
      </c>
      <c r="W14" s="71">
        <f t="shared" si="8"/>
        <v>6.8656716417910379E-2</v>
      </c>
      <c r="X14" s="71">
        <f t="shared" si="8"/>
        <v>2.8735632183908066E-2</v>
      </c>
      <c r="Y14" s="71">
        <f t="shared" si="8"/>
        <v>5.6022408963585235E-3</v>
      </c>
      <c r="Z14" s="71">
        <f t="shared" ref="Z14:AI14" si="9">Z12/U12-1</f>
        <v>1.6901408450704203E-2</v>
      </c>
      <c r="AA14" s="23">
        <f t="shared" si="9"/>
        <v>2.9390681003584218E-2</v>
      </c>
      <c r="AB14" s="71">
        <f t="shared" si="9"/>
        <v>-8.3798882681564213E-2</v>
      </c>
      <c r="AC14" s="71">
        <f t="shared" si="9"/>
        <v>-8.9385474860335212E-2</v>
      </c>
      <c r="AD14" s="71">
        <f t="shared" si="9"/>
        <v>-8.3565459610027815E-2</v>
      </c>
      <c r="AE14" s="71">
        <f t="shared" si="9"/>
        <v>-9.1412742382271484E-2</v>
      </c>
      <c r="AF14" s="23">
        <f t="shared" si="9"/>
        <v>-8.70473537604457E-2</v>
      </c>
      <c r="AG14" s="71">
        <f t="shared" si="9"/>
        <v>-4.2682926829268331E-2</v>
      </c>
      <c r="AH14" s="71">
        <f t="shared" si="9"/>
        <v>-2.1472392638036797E-2</v>
      </c>
      <c r="AI14" s="71">
        <f t="shared" si="9"/>
        <v>-6.0790273556230456E-3</v>
      </c>
      <c r="AJ14" s="71">
        <f t="shared" ref="AJ14:AS14" si="10">AJ12/AE12-1</f>
        <v>-2.1341463414634165E-2</v>
      </c>
      <c r="AK14" s="23">
        <f t="shared" si="10"/>
        <v>-2.2883295194508046E-2</v>
      </c>
      <c r="AL14" s="71">
        <f t="shared" si="10"/>
        <v>9.5541401273886439E-3</v>
      </c>
      <c r="AM14" s="71">
        <f t="shared" si="10"/>
        <v>0.4137931034482758</v>
      </c>
      <c r="AN14" s="71">
        <f t="shared" si="10"/>
        <v>0.39755351681957185</v>
      </c>
      <c r="AO14" s="71">
        <f t="shared" si="10"/>
        <v>0.42990654205607481</v>
      </c>
      <c r="AP14" s="23">
        <f t="shared" si="10"/>
        <v>0.31459797033567516</v>
      </c>
      <c r="AQ14" s="71">
        <f t="shared" si="10"/>
        <v>0.41640378548895907</v>
      </c>
      <c r="AR14" s="71">
        <f t="shared" si="10"/>
        <v>-2.4390243902439046E-2</v>
      </c>
      <c r="AS14" s="71">
        <f t="shared" si="10"/>
        <v>-3.2822757111597323E-2</v>
      </c>
      <c r="AT14" s="71">
        <f t="shared" ref="AT14" si="11">AT12/AO12-1</f>
        <v>-0.11111111111111116</v>
      </c>
      <c r="AU14" s="23">
        <f t="shared" ref="AU14:AX14" si="12">AU12/AP12-1</f>
        <v>3.2660332541567749E-2</v>
      </c>
      <c r="AV14" s="71">
        <f t="shared" si="12"/>
        <v>-4.6770601336302842E-2</v>
      </c>
      <c r="AW14" s="71">
        <f t="shared" si="12"/>
        <v>-3.6363636363636376E-2</v>
      </c>
      <c r="AX14" s="71">
        <f t="shared" si="12"/>
        <v>-1.3574660633484115E-2</v>
      </c>
      <c r="AY14" s="71">
        <f t="shared" ref="AY14" si="13">AY12/AT12-1</f>
        <v>4.6568627450980449E-2</v>
      </c>
      <c r="AZ14" s="23">
        <v>-1.3801035077630863E-2</v>
      </c>
      <c r="BA14" s="71">
        <v>0.22663551401869153</v>
      </c>
      <c r="BB14" s="71">
        <v>0.26650943396226423</v>
      </c>
      <c r="BC14" s="71">
        <v>0.25458715596330284</v>
      </c>
      <c r="BD14" s="71">
        <v>0.35831381733021073</v>
      </c>
      <c r="BE14" s="23">
        <v>0.27638483965014582</v>
      </c>
      <c r="BF14" s="71">
        <v>-0.11238095238095236</v>
      </c>
      <c r="BG14" s="71">
        <v>-0.1098696461824954</v>
      </c>
      <c r="BH14" s="71">
        <v>-0.12065813528336378</v>
      </c>
      <c r="BI14" s="71">
        <v>-0.16034482758620694</v>
      </c>
      <c r="BJ14" s="23">
        <v>-0.12654179990863412</v>
      </c>
      <c r="BK14" s="71">
        <v>-3.0042918454935674E-2</v>
      </c>
    </row>
    <row r="15" spans="1:63">
      <c r="A15" s="67" t="s">
        <v>76</v>
      </c>
      <c r="B15" s="63">
        <v>2192</v>
      </c>
      <c r="C15" s="78" t="s">
        <v>48</v>
      </c>
      <c r="D15" s="78" t="s">
        <v>48</v>
      </c>
      <c r="E15" s="78" t="s">
        <v>48</v>
      </c>
      <c r="F15" s="78" t="s">
        <v>48</v>
      </c>
      <c r="G15" s="63">
        <v>2161</v>
      </c>
      <c r="H15" s="116" t="s">
        <v>40</v>
      </c>
      <c r="I15" s="116" t="s">
        <v>40</v>
      </c>
      <c r="J15" s="116" t="s">
        <v>40</v>
      </c>
      <c r="K15" s="116" t="s">
        <v>40</v>
      </c>
      <c r="L15" s="63">
        <v>1990</v>
      </c>
      <c r="M15" s="68">
        <v>505</v>
      </c>
      <c r="N15" s="68">
        <v>489</v>
      </c>
      <c r="O15" s="68">
        <v>492</v>
      </c>
      <c r="P15" s="68">
        <f>Q15-O15-N15-M15</f>
        <v>538</v>
      </c>
      <c r="Q15" s="63">
        <v>2024</v>
      </c>
      <c r="R15" s="68">
        <v>532</v>
      </c>
      <c r="S15" s="68">
        <v>540</v>
      </c>
      <c r="T15" s="68">
        <v>540</v>
      </c>
      <c r="U15" s="68">
        <f>V15-T15-S15-R15</f>
        <v>478</v>
      </c>
      <c r="V15" s="63">
        <v>2090</v>
      </c>
      <c r="W15" s="68">
        <v>511</v>
      </c>
      <c r="X15" s="68">
        <v>505</v>
      </c>
      <c r="Y15" s="68">
        <v>511</v>
      </c>
      <c r="Z15" s="68">
        <f>AA15-Y15-X15-W15</f>
        <v>449</v>
      </c>
      <c r="AA15" s="63">
        <v>1976</v>
      </c>
      <c r="AB15" s="68">
        <v>499</v>
      </c>
      <c r="AC15" s="68">
        <v>468</v>
      </c>
      <c r="AD15" s="68">
        <v>464</v>
      </c>
      <c r="AE15" s="68">
        <f>AF15-AD15-AC15-AB15</f>
        <v>441</v>
      </c>
      <c r="AF15" s="63">
        <v>1872</v>
      </c>
      <c r="AG15" s="68">
        <v>448</v>
      </c>
      <c r="AH15" s="68">
        <v>443</v>
      </c>
      <c r="AI15" s="68">
        <v>437</v>
      </c>
      <c r="AJ15" s="68">
        <f>AK15-AI15-AH15-AG15</f>
        <v>440</v>
      </c>
      <c r="AK15" s="63">
        <v>1768</v>
      </c>
      <c r="AL15" s="68">
        <v>439</v>
      </c>
      <c r="AM15" s="68">
        <v>497</v>
      </c>
      <c r="AN15" s="68">
        <v>506</v>
      </c>
      <c r="AO15" s="68">
        <f>AP15-AN15-AM15-AL15</f>
        <v>515</v>
      </c>
      <c r="AP15" s="63">
        <v>1957</v>
      </c>
      <c r="AQ15" s="68">
        <v>513</v>
      </c>
      <c r="AR15" s="68">
        <v>495</v>
      </c>
      <c r="AS15" s="68">
        <v>501</v>
      </c>
      <c r="AT15" s="68">
        <f>AU15-AS15-AR15-AQ15</f>
        <v>503</v>
      </c>
      <c r="AU15" s="63">
        <v>2012</v>
      </c>
      <c r="AV15" s="68">
        <v>504</v>
      </c>
      <c r="AW15" s="68">
        <v>494</v>
      </c>
      <c r="AX15" s="68">
        <v>502</v>
      </c>
      <c r="AY15" s="68">
        <f>AZ15-AX15-AW15-AV15</f>
        <v>505</v>
      </c>
      <c r="AZ15" s="63">
        <v>2005</v>
      </c>
      <c r="BA15" s="68">
        <v>510</v>
      </c>
      <c r="BB15" s="68">
        <v>503</v>
      </c>
      <c r="BC15" s="68">
        <v>494</v>
      </c>
      <c r="BD15" s="68">
        <v>485</v>
      </c>
      <c r="BE15" s="63">
        <v>1992</v>
      </c>
      <c r="BF15" s="68">
        <v>492</v>
      </c>
      <c r="BG15" s="68">
        <v>489</v>
      </c>
      <c r="BH15" s="68">
        <v>474</v>
      </c>
      <c r="BI15" s="68">
        <v>478</v>
      </c>
      <c r="BJ15" s="63">
        <v>1933</v>
      </c>
      <c r="BK15" s="68">
        <v>479</v>
      </c>
    </row>
    <row r="16" spans="1:63">
      <c r="A16" s="69" t="s">
        <v>7</v>
      </c>
      <c r="B16" s="23"/>
      <c r="C16" s="71"/>
      <c r="D16" s="71"/>
      <c r="E16" s="71"/>
      <c r="F16" s="71"/>
      <c r="G16" s="23"/>
      <c r="H16" s="70"/>
      <c r="I16" s="70"/>
      <c r="J16" s="70"/>
      <c r="K16" s="70"/>
      <c r="L16" s="23"/>
      <c r="M16" s="70"/>
      <c r="N16" s="70">
        <f>N15/M15-1</f>
        <v>-3.1683168316831711E-2</v>
      </c>
      <c r="O16" s="70">
        <f>O15/N15-1</f>
        <v>6.1349693251533388E-3</v>
      </c>
      <c r="P16" s="70">
        <f>P15/O15-1</f>
        <v>9.3495934959349603E-2</v>
      </c>
      <c r="Q16" s="23"/>
      <c r="R16" s="70">
        <f>R15/P15-1</f>
        <v>-1.1152416356877359E-2</v>
      </c>
      <c r="S16" s="70">
        <f>S15/R15-1</f>
        <v>1.5037593984962516E-2</v>
      </c>
      <c r="T16" s="70">
        <f>T15/S15-1</f>
        <v>0</v>
      </c>
      <c r="U16" s="70">
        <f>U15/T15-1</f>
        <v>-0.11481481481481481</v>
      </c>
      <c r="V16" s="23"/>
      <c r="W16" s="70">
        <f>W15/U15-1</f>
        <v>6.9037656903765621E-2</v>
      </c>
      <c r="X16" s="70">
        <f>X15/W15-1</f>
        <v>-1.1741682974559686E-2</v>
      </c>
      <c r="Y16" s="70">
        <f>Y15/X15-1</f>
        <v>1.1881188118811892E-2</v>
      </c>
      <c r="Z16" s="70">
        <f>Z15/Y15-1</f>
        <v>-0.12133072407045009</v>
      </c>
      <c r="AA16" s="23"/>
      <c r="AB16" s="70">
        <f>AB15/Z15-1</f>
        <v>0.11135857461024501</v>
      </c>
      <c r="AC16" s="70">
        <f>AC15/AB15-1</f>
        <v>-6.2124248496993939E-2</v>
      </c>
      <c r="AD16" s="70">
        <f>AD15/AC15-1</f>
        <v>-8.5470085470085166E-3</v>
      </c>
      <c r="AE16" s="70">
        <f>AE15/AD15-1</f>
        <v>-4.9568965517241326E-2</v>
      </c>
      <c r="AF16" s="23"/>
      <c r="AG16" s="70">
        <f>AG15/AE15-1</f>
        <v>1.5873015873015817E-2</v>
      </c>
      <c r="AH16" s="70">
        <f>AH15/AG15-1</f>
        <v>-1.1160714285714302E-2</v>
      </c>
      <c r="AI16" s="70">
        <f>AI15/AH15-1</f>
        <v>-1.3544018058690765E-2</v>
      </c>
      <c r="AJ16" s="70">
        <f>AJ15/AI15-1</f>
        <v>6.8649885583524917E-3</v>
      </c>
      <c r="AK16" s="23"/>
      <c r="AL16" s="70">
        <f>AL15/AJ15-1</f>
        <v>-2.2727272727273151E-3</v>
      </c>
      <c r="AM16" s="70">
        <f>AM15/AL15-1</f>
        <v>0.13211845102505704</v>
      </c>
      <c r="AN16" s="70">
        <f>AN15/AM15-1</f>
        <v>1.810865191146882E-2</v>
      </c>
      <c r="AO16" s="70">
        <f>AO15/AN15-1</f>
        <v>1.7786561264822032E-2</v>
      </c>
      <c r="AP16" s="23"/>
      <c r="AQ16" s="70">
        <f>AQ15/AO15-1</f>
        <v>-3.8834951456310218E-3</v>
      </c>
      <c r="AR16" s="70">
        <f>AR15/AQ15-1</f>
        <v>-3.5087719298245612E-2</v>
      </c>
      <c r="AS16" s="70">
        <f>AS15/AR15-1</f>
        <v>1.2121212121212199E-2</v>
      </c>
      <c r="AT16" s="70">
        <f>AT15/AS15-1</f>
        <v>3.9920159680639777E-3</v>
      </c>
      <c r="AU16" s="23"/>
      <c r="AV16" s="70">
        <f>AV15/AT15-1</f>
        <v>1.9880715705764551E-3</v>
      </c>
      <c r="AW16" s="70">
        <f>AW15/AV15-1</f>
        <v>-1.9841269841269882E-2</v>
      </c>
      <c r="AX16" s="70">
        <f>AX15/AW15-1</f>
        <v>1.6194331983805599E-2</v>
      </c>
      <c r="AY16" s="70">
        <f>AY15/AX15-1</f>
        <v>5.9760956175298752E-3</v>
      </c>
      <c r="AZ16" s="23"/>
      <c r="BA16" s="70">
        <v>9.9009900990099098E-3</v>
      </c>
      <c r="BB16" s="70">
        <v>-1.3725490196078383E-2</v>
      </c>
      <c r="BC16" s="70">
        <v>-1.7892644135188873E-2</v>
      </c>
      <c r="BD16" s="70">
        <v>-1.8218623481781382E-2</v>
      </c>
      <c r="BE16" s="23"/>
      <c r="BF16" s="70">
        <v>1.4432989690721598E-2</v>
      </c>
      <c r="BG16" s="70">
        <v>-6.0975609756097615E-3</v>
      </c>
      <c r="BH16" s="70">
        <v>-3.0674846625766916E-2</v>
      </c>
      <c r="BI16" s="70">
        <v>8.4388185654007408E-3</v>
      </c>
      <c r="BJ16" s="23"/>
      <c r="BK16" s="70">
        <v>2.0920502092049986E-3</v>
      </c>
    </row>
    <row r="17" spans="1:63" ht="10.15" customHeight="1">
      <c r="A17" s="69" t="s">
        <v>8</v>
      </c>
      <c r="B17" s="23"/>
      <c r="C17" s="71"/>
      <c r="D17" s="71"/>
      <c r="E17" s="71"/>
      <c r="F17" s="71"/>
      <c r="G17" s="23">
        <f>G15/B15-1</f>
        <v>-1.414233576642332E-2</v>
      </c>
      <c r="H17" s="71"/>
      <c r="I17" s="71"/>
      <c r="J17" s="71"/>
      <c r="K17" s="71"/>
      <c r="L17" s="23">
        <f>L15/G15-1</f>
        <v>-7.9130032392410898E-2</v>
      </c>
      <c r="M17" s="71"/>
      <c r="N17" s="71"/>
      <c r="O17" s="70"/>
      <c r="P17" s="68"/>
      <c r="Q17" s="23">
        <f t="shared" ref="Q17:Y17" si="14">Q15/L15-1</f>
        <v>1.7085427135678399E-2</v>
      </c>
      <c r="R17" s="71">
        <f t="shared" si="14"/>
        <v>5.3465346534653513E-2</v>
      </c>
      <c r="S17" s="71">
        <f t="shared" si="14"/>
        <v>0.10429447852760743</v>
      </c>
      <c r="T17" s="71">
        <f t="shared" si="14"/>
        <v>9.7560975609756184E-2</v>
      </c>
      <c r="U17" s="71">
        <f t="shared" si="14"/>
        <v>-0.11152416356877326</v>
      </c>
      <c r="V17" s="23">
        <f t="shared" si="14"/>
        <v>3.2608695652173836E-2</v>
      </c>
      <c r="W17" s="71">
        <f t="shared" si="14"/>
        <v>-3.9473684210526327E-2</v>
      </c>
      <c r="X17" s="71">
        <f t="shared" si="14"/>
        <v>-6.481481481481477E-2</v>
      </c>
      <c r="Y17" s="71">
        <f t="shared" si="14"/>
        <v>-5.3703703703703698E-2</v>
      </c>
      <c r="Z17" s="71">
        <f t="shared" ref="Z17:AI17" si="15">Z15/U15-1</f>
        <v>-6.0669456066945626E-2</v>
      </c>
      <c r="AA17" s="23">
        <f t="shared" si="15"/>
        <v>-5.4545454545454564E-2</v>
      </c>
      <c r="AB17" s="71">
        <f t="shared" si="15"/>
        <v>-2.3483365949119372E-2</v>
      </c>
      <c r="AC17" s="71">
        <f t="shared" si="15"/>
        <v>-7.3267326732673221E-2</v>
      </c>
      <c r="AD17" s="71">
        <f t="shared" si="15"/>
        <v>-9.1976516634050931E-2</v>
      </c>
      <c r="AE17" s="71">
        <f t="shared" si="15"/>
        <v>-1.7817371937639215E-2</v>
      </c>
      <c r="AF17" s="23">
        <f t="shared" si="15"/>
        <v>-5.2631578947368474E-2</v>
      </c>
      <c r="AG17" s="71">
        <f t="shared" si="15"/>
        <v>-0.10220440881763526</v>
      </c>
      <c r="AH17" s="71">
        <f t="shared" si="15"/>
        <v>-5.3418803418803451E-2</v>
      </c>
      <c r="AI17" s="71">
        <f t="shared" si="15"/>
        <v>-5.8189655172413812E-2</v>
      </c>
      <c r="AJ17" s="71">
        <f t="shared" ref="AJ17:AS17" si="16">AJ15/AE15-1</f>
        <v>-2.2675736961451642E-3</v>
      </c>
      <c r="AK17" s="23">
        <f t="shared" si="16"/>
        <v>-5.555555555555558E-2</v>
      </c>
      <c r="AL17" s="71">
        <f t="shared" si="16"/>
        <v>-2.0089285714285698E-2</v>
      </c>
      <c r="AM17" s="71">
        <f t="shared" si="16"/>
        <v>0.12189616252821667</v>
      </c>
      <c r="AN17" s="71">
        <f t="shared" si="16"/>
        <v>0.15789473684210531</v>
      </c>
      <c r="AO17" s="71">
        <f t="shared" si="16"/>
        <v>0.17045454545454541</v>
      </c>
      <c r="AP17" s="23">
        <f t="shared" si="16"/>
        <v>0.10690045248868785</v>
      </c>
      <c r="AQ17" s="71">
        <f t="shared" si="16"/>
        <v>0.16856492027334857</v>
      </c>
      <c r="AR17" s="71">
        <f t="shared" si="16"/>
        <v>-4.0241448692153181E-3</v>
      </c>
      <c r="AS17" s="71">
        <f t="shared" si="16"/>
        <v>-9.8814229249012397E-3</v>
      </c>
      <c r="AT17" s="71">
        <f t="shared" ref="AT17" si="17">AT15/AO15-1</f>
        <v>-2.3300970873786353E-2</v>
      </c>
      <c r="AU17" s="23">
        <f t="shared" ref="AU17:AX17" si="18">AU15/AP15-1</f>
        <v>2.8104241185487933E-2</v>
      </c>
      <c r="AV17" s="71">
        <f t="shared" si="18"/>
        <v>-1.7543859649122862E-2</v>
      </c>
      <c r="AW17" s="71">
        <f t="shared" si="18"/>
        <v>-2.0202020202020332E-3</v>
      </c>
      <c r="AX17" s="71">
        <f t="shared" si="18"/>
        <v>1.9960079840319889E-3</v>
      </c>
      <c r="AY17" s="71">
        <f t="shared" ref="AY17" si="19">AY15/AT15-1</f>
        <v>3.9761431411531323E-3</v>
      </c>
      <c r="AZ17" s="23">
        <v>-3.4791252485089075E-3</v>
      </c>
      <c r="BA17" s="71">
        <v>1.1904761904761862E-2</v>
      </c>
      <c r="BB17" s="71">
        <v>1.8218623481781382E-2</v>
      </c>
      <c r="BC17" s="71">
        <v>-1.5936254980079667E-2</v>
      </c>
      <c r="BD17" s="71">
        <v>-3.9603960396039639E-2</v>
      </c>
      <c r="BE17" s="23">
        <v>-6.4837905236907467E-3</v>
      </c>
      <c r="BF17" s="71">
        <v>-3.5294117647058809E-2</v>
      </c>
      <c r="BG17" s="71">
        <v>-2.7833001988071593E-2</v>
      </c>
      <c r="BH17" s="71">
        <v>-4.0485829959514219E-2</v>
      </c>
      <c r="BI17" s="71">
        <v>-1.4432989690721598E-2</v>
      </c>
      <c r="BJ17" s="23">
        <v>-2.9618473895582365E-2</v>
      </c>
      <c r="BK17" s="71">
        <v>-2.6422764227642226E-2</v>
      </c>
    </row>
    <row r="18" spans="1:63">
      <c r="A18" s="67" t="s">
        <v>255</v>
      </c>
      <c r="B18" s="63">
        <v>39</v>
      </c>
      <c r="C18" s="78" t="s">
        <v>48</v>
      </c>
      <c r="D18" s="78" t="s">
        <v>48</v>
      </c>
      <c r="E18" s="78" t="s">
        <v>48</v>
      </c>
      <c r="F18" s="78" t="s">
        <v>48</v>
      </c>
      <c r="G18" s="63">
        <v>96</v>
      </c>
      <c r="H18" s="116" t="s">
        <v>40</v>
      </c>
      <c r="I18" s="116" t="s">
        <v>40</v>
      </c>
      <c r="J18" s="116" t="s">
        <v>40</v>
      </c>
      <c r="K18" s="116" t="s">
        <v>40</v>
      </c>
      <c r="L18" s="63">
        <v>201</v>
      </c>
      <c r="M18" s="182">
        <v>-25</v>
      </c>
      <c r="N18" s="182">
        <v>-70</v>
      </c>
      <c r="O18" s="182">
        <v>-59</v>
      </c>
      <c r="P18" s="182">
        <f>Q18-O18-N18-M18</f>
        <v>-62</v>
      </c>
      <c r="Q18" s="174">
        <v>-216</v>
      </c>
      <c r="R18" s="182">
        <v>250</v>
      </c>
      <c r="S18" s="182">
        <v>-62</v>
      </c>
      <c r="T18" s="182">
        <v>-106</v>
      </c>
      <c r="U18" s="182">
        <f>V18-T18-S18-R18</f>
        <v>57</v>
      </c>
      <c r="V18" s="63">
        <v>139</v>
      </c>
      <c r="W18" s="182">
        <v>-23</v>
      </c>
      <c r="X18" s="182">
        <v>17</v>
      </c>
      <c r="Y18" s="182">
        <v>-6</v>
      </c>
      <c r="Z18" s="182">
        <f>AA18-Y18-X18-W18</f>
        <v>-2</v>
      </c>
      <c r="AA18" s="174">
        <v>-14</v>
      </c>
      <c r="AB18" s="182">
        <v>-72</v>
      </c>
      <c r="AC18" s="182">
        <v>-18</v>
      </c>
      <c r="AD18" s="182">
        <v>-6</v>
      </c>
      <c r="AE18" s="182">
        <f>AF18-AD18-AC18-AB18</f>
        <v>81</v>
      </c>
      <c r="AF18" s="174">
        <v>-15</v>
      </c>
      <c r="AG18" s="182">
        <v>-8</v>
      </c>
      <c r="AH18" s="182">
        <v>-568</v>
      </c>
      <c r="AI18" s="182">
        <v>-25</v>
      </c>
      <c r="AJ18" s="182">
        <f>AK18-AI18-AH18-AG18</f>
        <v>15</v>
      </c>
      <c r="AK18" s="174">
        <v>-586</v>
      </c>
      <c r="AL18" s="182">
        <v>-17</v>
      </c>
      <c r="AM18" s="182">
        <v>-141</v>
      </c>
      <c r="AN18" s="182">
        <v>-13</v>
      </c>
      <c r="AO18" s="182">
        <f>AP18-AN18-AM18-AL18</f>
        <v>76</v>
      </c>
      <c r="AP18" s="174">
        <v>-95</v>
      </c>
      <c r="AQ18" s="182">
        <v>5</v>
      </c>
      <c r="AR18" s="182">
        <v>-12</v>
      </c>
      <c r="AS18" s="182">
        <v>-26</v>
      </c>
      <c r="AT18" s="182">
        <f>AU18-AS18-AR18-AQ18</f>
        <v>33</v>
      </c>
      <c r="AU18" s="174">
        <v>0</v>
      </c>
      <c r="AV18" s="182">
        <v>-4</v>
      </c>
      <c r="AW18" s="182">
        <v>-1</v>
      </c>
      <c r="AX18" s="182">
        <v>-23</v>
      </c>
      <c r="AY18" s="182">
        <f>AZ18-AX18-AW18-AV18</f>
        <v>9</v>
      </c>
      <c r="AZ18" s="174">
        <v>-19</v>
      </c>
      <c r="BA18" s="182">
        <v>23</v>
      </c>
      <c r="BB18" s="182">
        <v>84</v>
      </c>
      <c r="BC18" s="182">
        <v>6</v>
      </c>
      <c r="BD18" s="182">
        <v>521</v>
      </c>
      <c r="BE18" s="174">
        <v>634</v>
      </c>
      <c r="BF18" s="182">
        <v>-25</v>
      </c>
      <c r="BG18" s="182">
        <v>-414</v>
      </c>
      <c r="BH18" s="182">
        <v>39</v>
      </c>
      <c r="BI18" s="182">
        <v>179</v>
      </c>
      <c r="BJ18" s="174">
        <v>-221</v>
      </c>
      <c r="BK18" s="182">
        <v>-3</v>
      </c>
    </row>
    <row r="19" spans="1:63" ht="14.25" customHeight="1">
      <c r="A19" s="67" t="s">
        <v>233</v>
      </c>
      <c r="B19" s="63"/>
      <c r="C19" s="78"/>
      <c r="D19" s="78"/>
      <c r="E19" s="78"/>
      <c r="F19" s="78"/>
      <c r="G19" s="63"/>
      <c r="H19" s="116"/>
      <c r="I19" s="116"/>
      <c r="J19" s="116"/>
      <c r="K19" s="116"/>
      <c r="L19" s="63"/>
      <c r="M19" s="182"/>
      <c r="N19" s="182"/>
      <c r="O19" s="182"/>
      <c r="P19" s="182"/>
      <c r="Q19" s="174"/>
      <c r="R19" s="182"/>
      <c r="S19" s="182"/>
      <c r="T19" s="182"/>
      <c r="U19" s="182"/>
      <c r="V19" s="63"/>
      <c r="W19" s="182"/>
      <c r="X19" s="182"/>
      <c r="Y19" s="182"/>
      <c r="Z19" s="182"/>
      <c r="AA19" s="174"/>
      <c r="AB19" s="182"/>
      <c r="AC19" s="182"/>
      <c r="AD19" s="182"/>
      <c r="AE19" s="182"/>
      <c r="AF19" s="149" t="s">
        <v>138</v>
      </c>
      <c r="AG19" s="182"/>
      <c r="AH19" s="182"/>
      <c r="AI19" s="182"/>
      <c r="AJ19" s="182"/>
      <c r="AK19" s="149" t="s">
        <v>138</v>
      </c>
      <c r="AL19" s="182"/>
      <c r="AM19" s="182"/>
      <c r="AN19" s="182"/>
      <c r="AO19" s="182"/>
      <c r="AP19" s="149" t="s">
        <v>138</v>
      </c>
      <c r="AQ19" s="182" t="s">
        <v>138</v>
      </c>
      <c r="AR19" s="182" t="s">
        <v>138</v>
      </c>
      <c r="AS19" s="182" t="s">
        <v>138</v>
      </c>
      <c r="AT19" s="182" t="s">
        <v>138</v>
      </c>
      <c r="AU19" s="149" t="s">
        <v>138</v>
      </c>
      <c r="AV19" s="182" t="s">
        <v>138</v>
      </c>
      <c r="AW19" s="182" t="s">
        <v>138</v>
      </c>
      <c r="AX19" s="182" t="s">
        <v>138</v>
      </c>
      <c r="AY19" s="182">
        <v>87</v>
      </c>
      <c r="AZ19" s="174">
        <v>87</v>
      </c>
      <c r="BA19" s="182" t="s">
        <v>138</v>
      </c>
      <c r="BB19" s="182" t="s">
        <v>138</v>
      </c>
      <c r="BC19" s="182">
        <v>10</v>
      </c>
      <c r="BD19" s="182">
        <v>1665</v>
      </c>
      <c r="BE19" s="174">
        <v>1675</v>
      </c>
      <c r="BF19" s="182" t="s">
        <v>138</v>
      </c>
      <c r="BG19" s="182">
        <v>951</v>
      </c>
      <c r="BH19" s="182" t="s">
        <v>138</v>
      </c>
      <c r="BI19" s="182">
        <v>102</v>
      </c>
      <c r="BJ19" s="174">
        <v>1053</v>
      </c>
      <c r="BK19" s="68">
        <v>0</v>
      </c>
    </row>
    <row r="20" spans="1:63" s="35" customFormat="1" ht="16.5" customHeight="1">
      <c r="A20" s="67" t="s">
        <v>251</v>
      </c>
      <c r="B20" s="63">
        <v>2321</v>
      </c>
      <c r="C20" s="68">
        <v>641</v>
      </c>
      <c r="D20" s="68">
        <v>772</v>
      </c>
      <c r="E20" s="68">
        <v>775</v>
      </c>
      <c r="F20" s="68">
        <v>452</v>
      </c>
      <c r="G20" s="63">
        <v>2640</v>
      </c>
      <c r="H20" s="68">
        <v>799</v>
      </c>
      <c r="I20" s="68">
        <v>818</v>
      </c>
      <c r="J20" s="68">
        <v>875</v>
      </c>
      <c r="K20" s="68">
        <f>L20-J20-I20-H20</f>
        <v>480</v>
      </c>
      <c r="L20" s="63">
        <v>2972</v>
      </c>
      <c r="M20" s="68">
        <v>874</v>
      </c>
      <c r="N20" s="68">
        <v>990</v>
      </c>
      <c r="O20" s="68">
        <v>979</v>
      </c>
      <c r="P20" s="68">
        <f>Q20-O20-N20-M20</f>
        <v>901</v>
      </c>
      <c r="Q20" s="63">
        <v>3744</v>
      </c>
      <c r="R20" s="68">
        <v>665</v>
      </c>
      <c r="S20" s="68">
        <v>935</v>
      </c>
      <c r="T20" s="68">
        <v>944</v>
      </c>
      <c r="U20" s="68">
        <f>V20-T20-S20-R20</f>
        <v>711</v>
      </c>
      <c r="V20" s="63">
        <v>3255</v>
      </c>
      <c r="W20" s="68">
        <v>850</v>
      </c>
      <c r="X20" s="68">
        <v>746</v>
      </c>
      <c r="Y20" s="68">
        <v>667</v>
      </c>
      <c r="Z20" s="68">
        <f>AA20-Y20-X20-W20</f>
        <v>778</v>
      </c>
      <c r="AA20" s="63">
        <v>3041</v>
      </c>
      <c r="AB20" s="68">
        <v>761</v>
      </c>
      <c r="AC20" s="68">
        <v>744</v>
      </c>
      <c r="AD20" s="68">
        <v>721</v>
      </c>
      <c r="AE20" s="68">
        <f>AF20-AD20-AC20-AB20</f>
        <v>593</v>
      </c>
      <c r="AF20" s="63">
        <v>2819</v>
      </c>
      <c r="AG20" s="68">
        <v>688</v>
      </c>
      <c r="AH20" s="68">
        <v>1234</v>
      </c>
      <c r="AI20" s="68">
        <v>671</v>
      </c>
      <c r="AJ20" s="68">
        <f>AK20-AI20-AH20-AG20</f>
        <v>633</v>
      </c>
      <c r="AK20" s="63">
        <v>3226</v>
      </c>
      <c r="AL20" s="68">
        <v>636</v>
      </c>
      <c r="AM20" s="68">
        <v>794</v>
      </c>
      <c r="AN20" s="68">
        <v>652</v>
      </c>
      <c r="AO20" s="68">
        <f>AP20-AN20-AM20-AL20</f>
        <v>488</v>
      </c>
      <c r="AP20" s="63">
        <v>2570</v>
      </c>
      <c r="AQ20" s="68">
        <v>574</v>
      </c>
      <c r="AR20" s="68">
        <v>616</v>
      </c>
      <c r="AS20" s="68">
        <v>599</v>
      </c>
      <c r="AT20" s="68">
        <f>AU20-AS20-AR20-AQ20</f>
        <v>532</v>
      </c>
      <c r="AU20" s="63">
        <v>2321</v>
      </c>
      <c r="AV20" s="68">
        <v>566</v>
      </c>
      <c r="AW20" s="68">
        <v>573</v>
      </c>
      <c r="AX20" s="68">
        <v>544</v>
      </c>
      <c r="AY20" s="68">
        <f>AZ20-AX20-AW20-AV20</f>
        <v>427</v>
      </c>
      <c r="AZ20" s="63">
        <v>2110</v>
      </c>
      <c r="BA20" s="68">
        <v>462</v>
      </c>
      <c r="BB20" s="68">
        <v>371</v>
      </c>
      <c r="BC20" s="68">
        <v>429</v>
      </c>
      <c r="BD20" s="182">
        <v>-1810</v>
      </c>
      <c r="BE20" s="174">
        <v>-548</v>
      </c>
      <c r="BF20" s="68">
        <v>511</v>
      </c>
      <c r="BG20" s="182">
        <v>-94</v>
      </c>
      <c r="BH20" s="182">
        <v>459</v>
      </c>
      <c r="BI20" s="182">
        <v>113</v>
      </c>
      <c r="BJ20" s="174">
        <v>989</v>
      </c>
      <c r="BK20" s="68">
        <v>466</v>
      </c>
    </row>
    <row r="21" spans="1:63">
      <c r="A21" s="69" t="s">
        <v>7</v>
      </c>
      <c r="B21" s="23"/>
      <c r="C21" s="70"/>
      <c r="D21" s="70">
        <f>D20/C20-1</f>
        <v>0.20436817472698898</v>
      </c>
      <c r="E21" s="70">
        <f>E20/D20-1</f>
        <v>3.8860103626943143E-3</v>
      </c>
      <c r="F21" s="70">
        <f>F20/E20-1</f>
        <v>-0.41677419354838707</v>
      </c>
      <c r="G21" s="23"/>
      <c r="H21" s="70">
        <f>H20/F20-1</f>
        <v>0.76769911504424782</v>
      </c>
      <c r="I21" s="70">
        <f>I20/H20-1</f>
        <v>2.3779724655819789E-2</v>
      </c>
      <c r="J21" s="70">
        <f>J20/I20-1</f>
        <v>6.968215158924207E-2</v>
      </c>
      <c r="K21" s="70">
        <f>K20/J20-1</f>
        <v>-0.4514285714285714</v>
      </c>
      <c r="L21" s="23"/>
      <c r="M21" s="70">
        <f>M20/K20-1</f>
        <v>0.8208333333333333</v>
      </c>
      <c r="N21" s="70">
        <f>N20/M20-1</f>
        <v>0.13272311212814647</v>
      </c>
      <c r="O21" s="70">
        <f>O20/N20-1</f>
        <v>-1.1111111111111072E-2</v>
      </c>
      <c r="P21" s="70">
        <f>P20/O20-1</f>
        <v>-7.9673135852911137E-2</v>
      </c>
      <c r="Q21" s="23"/>
      <c r="R21" s="70">
        <f>R20/P20-1</f>
        <v>-0.2619311875693674</v>
      </c>
      <c r="S21" s="70">
        <f>S20/R20-1</f>
        <v>0.40601503759398505</v>
      </c>
      <c r="T21" s="70">
        <f>T20/S20-1</f>
        <v>9.6256684491977662E-3</v>
      </c>
      <c r="U21" s="70">
        <f>U20/T20-1</f>
        <v>-0.24682203389830504</v>
      </c>
      <c r="V21" s="23"/>
      <c r="W21" s="70">
        <f>W20/U20-1</f>
        <v>0.19549929676511946</v>
      </c>
      <c r="X21" s="70">
        <f>X20/W20-1</f>
        <v>-0.12235294117647055</v>
      </c>
      <c r="Y21" s="70">
        <f>Y20/X20-1</f>
        <v>-0.10589812332439674</v>
      </c>
      <c r="Z21" s="70">
        <f>Z20/Y20-1</f>
        <v>0.16641679160419787</v>
      </c>
      <c r="AA21" s="23"/>
      <c r="AB21" s="70">
        <f>AB20/Z20-1</f>
        <v>-2.1850899742930641E-2</v>
      </c>
      <c r="AC21" s="70">
        <f>AC20/AB20-1</f>
        <v>-2.2339027595269401E-2</v>
      </c>
      <c r="AD21" s="70">
        <f>AD20/AC20-1</f>
        <v>-3.0913978494623628E-2</v>
      </c>
      <c r="AE21" s="70">
        <f>AE20/AD20-1</f>
        <v>-0.17753120665742028</v>
      </c>
      <c r="AF21" s="23"/>
      <c r="AG21" s="70">
        <f>AG20/AE20-1</f>
        <v>0.16020236087689721</v>
      </c>
      <c r="AH21" s="70">
        <f>AH20/AG20-1</f>
        <v>0.79360465116279078</v>
      </c>
      <c r="AI21" s="70">
        <f>AI20/AH20-1</f>
        <v>-0.45623987034035651</v>
      </c>
      <c r="AJ21" s="70">
        <f>AJ20/AI20-1</f>
        <v>-5.663189269746649E-2</v>
      </c>
      <c r="AK21" s="23"/>
      <c r="AL21" s="70">
        <f>AL20/AJ20-1</f>
        <v>4.7393364928909332E-3</v>
      </c>
      <c r="AM21" s="70">
        <f>AM20/AL20-1</f>
        <v>0.2484276729559749</v>
      </c>
      <c r="AN21" s="70">
        <f>AN20/AM20-1</f>
        <v>-0.17884130982367763</v>
      </c>
      <c r="AO21" s="70">
        <f>AO20/AN20-1</f>
        <v>-0.25153374233128833</v>
      </c>
      <c r="AP21" s="23"/>
      <c r="AQ21" s="70">
        <f>AQ20/AO20-1</f>
        <v>0.17622950819672134</v>
      </c>
      <c r="AR21" s="70">
        <f>AR20/AQ20-1</f>
        <v>7.3170731707317138E-2</v>
      </c>
      <c r="AS21" s="70">
        <f>AS20/AR20-1</f>
        <v>-2.759740259740262E-2</v>
      </c>
      <c r="AT21" s="70">
        <f>AT20/AS20-1</f>
        <v>-0.11185308848080133</v>
      </c>
      <c r="AU21" s="23"/>
      <c r="AV21" s="70">
        <f>AV20/AT20-1</f>
        <v>6.3909774436090139E-2</v>
      </c>
      <c r="AW21" s="70">
        <f>AW20/AV20-1</f>
        <v>1.2367491166077826E-2</v>
      </c>
      <c r="AX21" s="70">
        <f>AX20/AW20-1</f>
        <v>-5.0610820244328059E-2</v>
      </c>
      <c r="AY21" s="70">
        <f>AY20/AX20-1</f>
        <v>-0.21507352941176472</v>
      </c>
      <c r="AZ21" s="23"/>
      <c r="BA21" s="70">
        <v>8.1967213114754189E-2</v>
      </c>
      <c r="BB21" s="70">
        <v>-0.19696969696969702</v>
      </c>
      <c r="BC21" s="70">
        <v>0.15633423180592998</v>
      </c>
      <c r="BD21" s="83" t="s">
        <v>39</v>
      </c>
      <c r="BE21" s="23"/>
      <c r="BF21" s="83" t="s">
        <v>39</v>
      </c>
      <c r="BG21" s="83" t="s">
        <v>39</v>
      </c>
      <c r="BH21" s="83" t="s">
        <v>39</v>
      </c>
      <c r="BI21" s="70">
        <v>-0.75381263616557737</v>
      </c>
      <c r="BJ21" s="23"/>
      <c r="BK21" s="70">
        <v>3.1238938053097343</v>
      </c>
    </row>
    <row r="22" spans="1:63" ht="10.15" customHeight="1">
      <c r="A22" s="69" t="s">
        <v>8</v>
      </c>
      <c r="B22" s="23"/>
      <c r="C22" s="71"/>
      <c r="D22" s="71"/>
      <c r="E22" s="71"/>
      <c r="F22" s="71"/>
      <c r="G22" s="23">
        <f t="shared" ref="G22:N22" si="20">G20/B20-1</f>
        <v>0.13744075829383884</v>
      </c>
      <c r="H22" s="71">
        <f t="shared" si="20"/>
        <v>0.24648985959438385</v>
      </c>
      <c r="I22" s="71">
        <f t="shared" si="20"/>
        <v>5.9585492227979264E-2</v>
      </c>
      <c r="J22" s="71">
        <f t="shared" si="20"/>
        <v>0.12903225806451624</v>
      </c>
      <c r="K22" s="71">
        <f t="shared" si="20"/>
        <v>6.1946902654867353E-2</v>
      </c>
      <c r="L22" s="23">
        <f t="shared" si="20"/>
        <v>0.12575757575757573</v>
      </c>
      <c r="M22" s="71">
        <f t="shared" si="20"/>
        <v>9.3867334167709648E-2</v>
      </c>
      <c r="N22" s="71">
        <f t="shared" si="20"/>
        <v>0.21026894865525669</v>
      </c>
      <c r="O22" s="71">
        <f t="shared" ref="O22:Y22" si="21">O20/J20-1</f>
        <v>0.11885714285714277</v>
      </c>
      <c r="P22" s="71">
        <f t="shared" si="21"/>
        <v>0.87708333333333344</v>
      </c>
      <c r="Q22" s="23">
        <f t="shared" si="21"/>
        <v>0.25975773889636611</v>
      </c>
      <c r="R22" s="71">
        <f t="shared" si="21"/>
        <v>-0.23913043478260865</v>
      </c>
      <c r="S22" s="71">
        <f t="shared" si="21"/>
        <v>-5.555555555555558E-2</v>
      </c>
      <c r="T22" s="71">
        <f t="shared" si="21"/>
        <v>-3.5750766087844776E-2</v>
      </c>
      <c r="U22" s="71">
        <f t="shared" si="21"/>
        <v>-0.21087680355160932</v>
      </c>
      <c r="V22" s="23">
        <f t="shared" si="21"/>
        <v>-0.13060897435897434</v>
      </c>
      <c r="W22" s="71">
        <f t="shared" si="21"/>
        <v>0.27819548872180455</v>
      </c>
      <c r="X22" s="71">
        <f t="shared" si="21"/>
        <v>-0.20213903743315509</v>
      </c>
      <c r="Y22" s="71">
        <f t="shared" si="21"/>
        <v>-0.29343220338983056</v>
      </c>
      <c r="Z22" s="71">
        <f t="shared" ref="Z22:AI22" si="22">Z20/U20-1</f>
        <v>9.4233473980309457E-2</v>
      </c>
      <c r="AA22" s="23">
        <f t="shared" si="22"/>
        <v>-6.5745007680491518E-2</v>
      </c>
      <c r="AB22" s="71">
        <f t="shared" si="22"/>
        <v>-0.1047058823529412</v>
      </c>
      <c r="AC22" s="71">
        <f t="shared" si="22"/>
        <v>-2.6809651474530849E-3</v>
      </c>
      <c r="AD22" s="71">
        <f t="shared" si="22"/>
        <v>8.0959520239880067E-2</v>
      </c>
      <c r="AE22" s="71">
        <f t="shared" si="22"/>
        <v>-0.23778920308483287</v>
      </c>
      <c r="AF22" s="23">
        <f t="shared" si="22"/>
        <v>-7.3002301874383391E-2</v>
      </c>
      <c r="AG22" s="71">
        <f t="shared" si="22"/>
        <v>-9.592641261498025E-2</v>
      </c>
      <c r="AH22" s="71">
        <f t="shared" si="22"/>
        <v>0.65860215053763449</v>
      </c>
      <c r="AI22" s="71">
        <f t="shared" si="22"/>
        <v>-6.9348127600554754E-2</v>
      </c>
      <c r="AJ22" s="71">
        <f t="shared" ref="AJ22:AS22" si="23">AJ20/AE20-1</f>
        <v>6.7453625632377667E-2</v>
      </c>
      <c r="AK22" s="23">
        <f t="shared" si="23"/>
        <v>0.14437743880808807</v>
      </c>
      <c r="AL22" s="71">
        <f t="shared" si="23"/>
        <v>-7.5581395348837233E-2</v>
      </c>
      <c r="AM22" s="71">
        <f t="shared" si="23"/>
        <v>-0.35656401944894656</v>
      </c>
      <c r="AN22" s="71">
        <f t="shared" si="23"/>
        <v>-2.8315946348733245E-2</v>
      </c>
      <c r="AO22" s="71">
        <f t="shared" si="23"/>
        <v>-0.2290679304897314</v>
      </c>
      <c r="AP22" s="23">
        <f t="shared" si="23"/>
        <v>-0.20334779913205203</v>
      </c>
      <c r="AQ22" s="71">
        <f t="shared" si="23"/>
        <v>-9.7484276729559727E-2</v>
      </c>
      <c r="AR22" s="71">
        <f t="shared" si="23"/>
        <v>-0.22418136020151136</v>
      </c>
      <c r="AS22" s="71">
        <f t="shared" si="23"/>
        <v>-8.1288343558282183E-2</v>
      </c>
      <c r="AT22" s="71">
        <f t="shared" ref="AT22" si="24">AT20/AO20-1</f>
        <v>9.0163934426229497E-2</v>
      </c>
      <c r="AU22" s="23">
        <f t="shared" ref="AU22:AX22" si="25">AU20/AP20-1</f>
        <v>-9.6887159533073919E-2</v>
      </c>
      <c r="AV22" s="71">
        <f t="shared" si="25"/>
        <v>-1.3937282229965153E-2</v>
      </c>
      <c r="AW22" s="71">
        <f t="shared" si="25"/>
        <v>-6.9805194805194759E-2</v>
      </c>
      <c r="AX22" s="71">
        <f t="shared" si="25"/>
        <v>-9.1819699499165242E-2</v>
      </c>
      <c r="AY22" s="71">
        <f t="shared" ref="AY22" si="26">AY20/AT20-1</f>
        <v>-0.19736842105263153</v>
      </c>
      <c r="AZ22" s="23">
        <v>-9.0909090909090939E-2</v>
      </c>
      <c r="BA22" s="71">
        <v>-0.18374558303886923</v>
      </c>
      <c r="BB22" s="71">
        <v>-0.35253054101221637</v>
      </c>
      <c r="BC22" s="71">
        <v>-0.21139705882352944</v>
      </c>
      <c r="BD22" s="83" t="s">
        <v>39</v>
      </c>
      <c r="BE22" s="90" t="s">
        <v>39</v>
      </c>
      <c r="BF22" s="71">
        <v>0.10606060606060597</v>
      </c>
      <c r="BG22" s="83" t="s">
        <v>39</v>
      </c>
      <c r="BH22" s="71">
        <v>6.9930069930070005E-2</v>
      </c>
      <c r="BI22" s="83" t="s">
        <v>39</v>
      </c>
      <c r="BJ22" s="90" t="s">
        <v>39</v>
      </c>
      <c r="BK22" s="71">
        <v>-8.8062622309197702E-2</v>
      </c>
    </row>
    <row r="23" spans="1:63">
      <c r="A23" s="67" t="s">
        <v>88</v>
      </c>
      <c r="B23" s="63">
        <v>182</v>
      </c>
      <c r="C23" s="78" t="s">
        <v>48</v>
      </c>
      <c r="D23" s="78" t="s">
        <v>48</v>
      </c>
      <c r="E23" s="78" t="s">
        <v>48</v>
      </c>
      <c r="F23" s="78" t="s">
        <v>48</v>
      </c>
      <c r="G23" s="63">
        <v>140</v>
      </c>
      <c r="H23" s="116" t="s">
        <v>40</v>
      </c>
      <c r="I23" s="116" t="s">
        <v>40</v>
      </c>
      <c r="J23" s="116" t="s">
        <v>40</v>
      </c>
      <c r="K23" s="116" t="s">
        <v>40</v>
      </c>
      <c r="L23" s="174">
        <v>-31</v>
      </c>
      <c r="M23" s="68">
        <v>-22</v>
      </c>
      <c r="N23" s="68">
        <v>35</v>
      </c>
      <c r="O23" s="68">
        <v>74</v>
      </c>
      <c r="P23" s="68">
        <f>Q23-O23-N23-M23</f>
        <v>22</v>
      </c>
      <c r="Q23" s="63">
        <v>109</v>
      </c>
      <c r="R23" s="68">
        <v>20</v>
      </c>
      <c r="S23" s="68">
        <v>62</v>
      </c>
      <c r="T23" s="68">
        <v>86</v>
      </c>
      <c r="U23" s="68">
        <f>V23-T23-S23-R23</f>
        <v>44</v>
      </c>
      <c r="V23" s="63">
        <v>212</v>
      </c>
      <c r="W23" s="68">
        <v>-44</v>
      </c>
      <c r="X23" s="68">
        <v>77</v>
      </c>
      <c r="Y23" s="68">
        <v>55</v>
      </c>
      <c r="Z23" s="68">
        <f>AA23-SUM(W23:Y23)</f>
        <v>63</v>
      </c>
      <c r="AA23" s="63">
        <v>151</v>
      </c>
      <c r="AB23" s="68">
        <v>24</v>
      </c>
      <c r="AC23" s="68">
        <v>27</v>
      </c>
      <c r="AD23" s="68">
        <v>45</v>
      </c>
      <c r="AE23" s="68">
        <f>AF23-SUM(AB23:AD23)</f>
        <v>49</v>
      </c>
      <c r="AF23" s="63">
        <v>145</v>
      </c>
      <c r="AG23" s="68">
        <v>42</v>
      </c>
      <c r="AH23" s="68">
        <v>32</v>
      </c>
      <c r="AI23" s="68">
        <v>39</v>
      </c>
      <c r="AJ23" s="68">
        <f>AK23-SUM(AG23:AI23)</f>
        <v>17</v>
      </c>
      <c r="AK23" s="63">
        <v>130</v>
      </c>
      <c r="AL23" s="68">
        <v>37</v>
      </c>
      <c r="AM23" s="68">
        <v>129</v>
      </c>
      <c r="AN23" s="68">
        <v>100</v>
      </c>
      <c r="AO23" s="182">
        <f>AP23-SUM(AL23:AN23)</f>
        <v>-3</v>
      </c>
      <c r="AP23" s="63">
        <v>263</v>
      </c>
      <c r="AQ23" s="68">
        <v>102</v>
      </c>
      <c r="AR23" s="68">
        <v>105</v>
      </c>
      <c r="AS23" s="68">
        <v>104</v>
      </c>
      <c r="AT23" s="182">
        <f>AU23-SUM(AQ23:AS23)</f>
        <v>136</v>
      </c>
      <c r="AU23" s="63">
        <v>447</v>
      </c>
      <c r="AV23" s="68">
        <v>101</v>
      </c>
      <c r="AW23" s="68">
        <v>102</v>
      </c>
      <c r="AX23" s="68">
        <v>94</v>
      </c>
      <c r="AY23" s="182">
        <f>AZ23-SUM(AV23:AX23)</f>
        <v>120</v>
      </c>
      <c r="AZ23" s="63">
        <v>417</v>
      </c>
      <c r="BA23" s="68">
        <v>108</v>
      </c>
      <c r="BB23" s="68">
        <v>110</v>
      </c>
      <c r="BC23" s="68">
        <v>109</v>
      </c>
      <c r="BD23" s="182">
        <v>108</v>
      </c>
      <c r="BE23" s="63">
        <v>435</v>
      </c>
      <c r="BF23" s="68">
        <v>99</v>
      </c>
      <c r="BG23" s="68">
        <v>136</v>
      </c>
      <c r="BH23" s="68">
        <v>205</v>
      </c>
      <c r="BI23" s="182">
        <v>109</v>
      </c>
      <c r="BJ23" s="63">
        <v>549</v>
      </c>
      <c r="BK23" s="68">
        <v>34</v>
      </c>
    </row>
    <row r="24" spans="1:63">
      <c r="A24" s="69" t="s">
        <v>7</v>
      </c>
      <c r="B24" s="23"/>
      <c r="C24" s="71"/>
      <c r="D24" s="71"/>
      <c r="E24" s="71"/>
      <c r="F24" s="71"/>
      <c r="G24" s="23"/>
      <c r="H24" s="71"/>
      <c r="I24" s="71"/>
      <c r="J24" s="71"/>
      <c r="K24" s="71"/>
      <c r="L24" s="23"/>
      <c r="M24" s="71"/>
      <c r="N24" s="70"/>
      <c r="O24" s="70">
        <f>O23/N23-1</f>
        <v>1.1142857142857143</v>
      </c>
      <c r="P24" s="70">
        <f>P23/O23-1</f>
        <v>-0.70270270270270263</v>
      </c>
      <c r="Q24" s="23"/>
      <c r="R24" s="83">
        <f>R23/P23-1</f>
        <v>-9.0909090909090939E-2</v>
      </c>
      <c r="S24" s="83">
        <f>S23/R23-1</f>
        <v>2.1</v>
      </c>
      <c r="T24" s="70">
        <f>T23/S23-1</f>
        <v>0.38709677419354849</v>
      </c>
      <c r="U24" s="83">
        <f>U23/T23-1</f>
        <v>-0.48837209302325579</v>
      </c>
      <c r="V24" s="23"/>
      <c r="W24" s="83"/>
      <c r="X24" s="83"/>
      <c r="Y24" s="83">
        <f>Y23/X23-1</f>
        <v>-0.2857142857142857</v>
      </c>
      <c r="Z24" s="83">
        <f>Z23/Y23-1</f>
        <v>0.1454545454545455</v>
      </c>
      <c r="AA24" s="23"/>
      <c r="AB24" s="70">
        <f>AB23/Z23-1</f>
        <v>-0.61904761904761907</v>
      </c>
      <c r="AC24" s="70">
        <f>AC23/AB23-1</f>
        <v>0.125</v>
      </c>
      <c r="AD24" s="70">
        <f>AD23/AC23-1</f>
        <v>0.66666666666666674</v>
      </c>
      <c r="AE24" s="83">
        <f>AE23/AD23-1</f>
        <v>8.8888888888888795E-2</v>
      </c>
      <c r="AF24" s="23"/>
      <c r="AG24" s="70">
        <f>AG23/AE23-1</f>
        <v>-0.1428571428571429</v>
      </c>
      <c r="AH24" s="70">
        <f>AH23/AG23-1</f>
        <v>-0.23809523809523814</v>
      </c>
      <c r="AI24" s="70">
        <f>AI23/AH23-1</f>
        <v>0.21875</v>
      </c>
      <c r="AJ24" s="83">
        <f>AJ23/AI23-1</f>
        <v>-0.5641025641025641</v>
      </c>
      <c r="AK24" s="23"/>
      <c r="AL24" s="70">
        <f>AL23/AJ23-1</f>
        <v>1.1764705882352939</v>
      </c>
      <c r="AM24" s="70">
        <f>AM23/AL23-1</f>
        <v>2.4864864864864864</v>
      </c>
      <c r="AN24" s="70">
        <f>AN23/AM23-1</f>
        <v>-0.22480620155038755</v>
      </c>
      <c r="AO24" s="83" t="s">
        <v>39</v>
      </c>
      <c r="AP24" s="23"/>
      <c r="AQ24" s="83" t="s">
        <v>39</v>
      </c>
      <c r="AR24" s="70">
        <f>AR23/AQ23-1</f>
        <v>2.9411764705882248E-2</v>
      </c>
      <c r="AS24" s="70">
        <f>AS23/AR23-1</f>
        <v>-9.52380952380949E-3</v>
      </c>
      <c r="AT24" s="70">
        <f>AT23/AS23-1</f>
        <v>0.30769230769230771</v>
      </c>
      <c r="AU24" s="23"/>
      <c r="AV24" s="70">
        <f>AV23/AT23-1</f>
        <v>-0.25735294117647056</v>
      </c>
      <c r="AW24" s="70">
        <f>AW23/AV23-1</f>
        <v>9.9009900990099098E-3</v>
      </c>
      <c r="AX24" s="70">
        <f>AX23/AW23-1</f>
        <v>-7.8431372549019662E-2</v>
      </c>
      <c r="AY24" s="70">
        <f>AY23/AX23-1</f>
        <v>0.27659574468085113</v>
      </c>
      <c r="AZ24" s="23"/>
      <c r="BA24" s="70">
        <v>-9.9999999999999978E-2</v>
      </c>
      <c r="BB24" s="70">
        <v>1.8518518518518601E-2</v>
      </c>
      <c r="BC24" s="70">
        <v>-9.0909090909090384E-3</v>
      </c>
      <c r="BD24" s="70">
        <v>-9.1743119266054496E-3</v>
      </c>
      <c r="BE24" s="23"/>
      <c r="BF24" s="70">
        <v>-8.333333333333337E-2</v>
      </c>
      <c r="BG24" s="70">
        <v>0.3737373737373737</v>
      </c>
      <c r="BH24" s="70">
        <v>0.50735294117647056</v>
      </c>
      <c r="BI24" s="70">
        <v>-0.46829268292682924</v>
      </c>
      <c r="BJ24" s="23"/>
      <c r="BK24" s="70">
        <v>-0.68807339449541283</v>
      </c>
    </row>
    <row r="25" spans="1:63" ht="10.9" customHeight="1">
      <c r="A25" s="69" t="s">
        <v>8</v>
      </c>
      <c r="B25" s="23"/>
      <c r="C25" s="71"/>
      <c r="D25" s="71"/>
      <c r="E25" s="71"/>
      <c r="F25" s="71"/>
      <c r="G25" s="23">
        <f>G23/B23-1</f>
        <v>-0.23076923076923073</v>
      </c>
      <c r="H25" s="71"/>
      <c r="I25" s="71"/>
      <c r="J25" s="71"/>
      <c r="K25" s="71"/>
      <c r="L25" s="23"/>
      <c r="M25" s="71"/>
      <c r="N25" s="71"/>
      <c r="O25" s="71"/>
      <c r="P25" s="71"/>
      <c r="Q25" s="90"/>
      <c r="R25" s="83"/>
      <c r="S25" s="71">
        <f>S23/N23-1</f>
        <v>0.77142857142857135</v>
      </c>
      <c r="T25" s="71">
        <f>T23/O23-1</f>
        <v>0.16216216216216206</v>
      </c>
      <c r="U25" s="83">
        <f>U23/P23-1</f>
        <v>1</v>
      </c>
      <c r="V25" s="90">
        <f>V23/Q23-1</f>
        <v>0.94495412844036708</v>
      </c>
      <c r="W25" s="83"/>
      <c r="X25" s="83">
        <f t="shared" ref="X25:AD25" si="27">X23/S23-1</f>
        <v>0.24193548387096775</v>
      </c>
      <c r="Y25" s="71">
        <f t="shared" si="27"/>
        <v>-0.36046511627906974</v>
      </c>
      <c r="Z25" s="83">
        <f t="shared" si="27"/>
        <v>0.43181818181818188</v>
      </c>
      <c r="AA25" s="90">
        <f t="shared" si="27"/>
        <v>-0.28773584905660377</v>
      </c>
      <c r="AB25" s="71">
        <f t="shared" si="27"/>
        <v>-1.5454545454545454</v>
      </c>
      <c r="AC25" s="71">
        <f t="shared" si="27"/>
        <v>-0.64935064935064934</v>
      </c>
      <c r="AD25" s="71">
        <f t="shared" si="27"/>
        <v>-0.18181818181818177</v>
      </c>
      <c r="AE25" s="83">
        <f t="shared" ref="AE25:AN25" si="28">AE23/Z23-1</f>
        <v>-0.22222222222222221</v>
      </c>
      <c r="AF25" s="90">
        <f t="shared" si="28"/>
        <v>-3.9735099337748325E-2</v>
      </c>
      <c r="AG25" s="71">
        <f t="shared" si="28"/>
        <v>0.75</v>
      </c>
      <c r="AH25" s="71">
        <f t="shared" si="28"/>
        <v>0.18518518518518512</v>
      </c>
      <c r="AI25" s="71">
        <f t="shared" si="28"/>
        <v>-0.1333333333333333</v>
      </c>
      <c r="AJ25" s="83">
        <f t="shared" si="28"/>
        <v>-0.65306122448979598</v>
      </c>
      <c r="AK25" s="90">
        <f t="shared" si="28"/>
        <v>-0.10344827586206895</v>
      </c>
      <c r="AL25" s="71">
        <f t="shared" si="28"/>
        <v>-0.11904761904761907</v>
      </c>
      <c r="AM25" s="71">
        <f t="shared" si="28"/>
        <v>3.03125</v>
      </c>
      <c r="AN25" s="71">
        <f t="shared" si="28"/>
        <v>1.5641025641025643</v>
      </c>
      <c r="AO25" s="83" t="s">
        <v>39</v>
      </c>
      <c r="AP25" s="90">
        <f>AP23/AK23-1</f>
        <v>1.023076923076923</v>
      </c>
      <c r="AQ25" s="71">
        <f t="shared" ref="AQ25:AS25" si="29">AQ23/AL23-1</f>
        <v>1.7567567567567566</v>
      </c>
      <c r="AR25" s="71">
        <f t="shared" si="29"/>
        <v>-0.18604651162790697</v>
      </c>
      <c r="AS25" s="71">
        <f t="shared" si="29"/>
        <v>4.0000000000000036E-2</v>
      </c>
      <c r="AT25" s="83" t="s">
        <v>39</v>
      </c>
      <c r="AU25" s="90">
        <f>AU23/AP23-1</f>
        <v>0.69961977186311786</v>
      </c>
      <c r="AV25" s="71">
        <f t="shared" ref="AV25:AY25" si="30">AV23/AQ23-1</f>
        <v>-9.8039215686274161E-3</v>
      </c>
      <c r="AW25" s="71">
        <f t="shared" si="30"/>
        <v>-2.8571428571428581E-2</v>
      </c>
      <c r="AX25" s="71">
        <f t="shared" si="30"/>
        <v>-9.6153846153846145E-2</v>
      </c>
      <c r="AY25" s="71">
        <f t="shared" si="30"/>
        <v>-0.11764705882352944</v>
      </c>
      <c r="AZ25" s="90">
        <v>-6.7114093959731558E-2</v>
      </c>
      <c r="BA25" s="71">
        <v>6.9306930693069368E-2</v>
      </c>
      <c r="BB25" s="71">
        <v>7.8431372549019551E-2</v>
      </c>
      <c r="BC25" s="71">
        <v>0.15957446808510634</v>
      </c>
      <c r="BD25" s="71">
        <v>-9.9999999999999978E-2</v>
      </c>
      <c r="BE25" s="90">
        <v>4.3165467625899234E-2</v>
      </c>
      <c r="BF25" s="71">
        <v>-8.333333333333337E-2</v>
      </c>
      <c r="BG25" s="71">
        <v>0.23636363636363633</v>
      </c>
      <c r="BH25" s="71">
        <v>0.88073394495412849</v>
      </c>
      <c r="BI25" s="71">
        <v>9.2592592592593004E-3</v>
      </c>
      <c r="BJ25" s="90">
        <v>0.26206896551724146</v>
      </c>
      <c r="BK25" s="71">
        <v>-0.65656565656565657</v>
      </c>
    </row>
    <row r="26" spans="1:63" ht="25.5" hidden="1">
      <c r="A26" s="87" t="s">
        <v>142</v>
      </c>
      <c r="B26" s="120" t="s">
        <v>40</v>
      </c>
      <c r="C26" s="78" t="s">
        <v>48</v>
      </c>
      <c r="D26" s="78" t="s">
        <v>48</v>
      </c>
      <c r="E26" s="78" t="s">
        <v>48</v>
      </c>
      <c r="F26" s="78" t="s">
        <v>48</v>
      </c>
      <c r="G26" s="120" t="s">
        <v>40</v>
      </c>
      <c r="H26" s="116" t="s">
        <v>40</v>
      </c>
      <c r="I26" s="116" t="s">
        <v>40</v>
      </c>
      <c r="J26" s="116" t="s">
        <v>40</v>
      </c>
      <c r="K26" s="116" t="s">
        <v>40</v>
      </c>
      <c r="L26" s="120" t="s">
        <v>40</v>
      </c>
      <c r="M26" s="182">
        <v>-23</v>
      </c>
      <c r="N26" s="182">
        <v>-86</v>
      </c>
      <c r="O26" s="182">
        <v>-71</v>
      </c>
      <c r="P26" s="182">
        <f>Q26-O26-N26-M26</f>
        <v>-81</v>
      </c>
      <c r="Q26" s="174">
        <v>-261</v>
      </c>
      <c r="R26" s="182">
        <v>-65</v>
      </c>
      <c r="S26" s="182">
        <v>-72</v>
      </c>
      <c r="T26" s="182">
        <v>-66</v>
      </c>
      <c r="U26" s="182">
        <f>V26-T26-S26-R26</f>
        <v>-13</v>
      </c>
      <c r="V26" s="174">
        <v>-216</v>
      </c>
      <c r="W26" s="182">
        <v>-58</v>
      </c>
      <c r="X26" s="182">
        <v>-83</v>
      </c>
      <c r="Y26" s="182">
        <v>-92</v>
      </c>
      <c r="Z26" s="182">
        <f>AA26-Y26-X26-W26</f>
        <v>-12</v>
      </c>
      <c r="AA26" s="174">
        <v>-245</v>
      </c>
      <c r="AB26" s="182">
        <v>-40</v>
      </c>
      <c r="AC26" s="182">
        <v>-67</v>
      </c>
      <c r="AD26" s="182">
        <v>-88</v>
      </c>
      <c r="AE26" s="182">
        <f>AF26-AD26-AC26-AB26</f>
        <v>-57</v>
      </c>
      <c r="AF26" s="174">
        <v>-252</v>
      </c>
      <c r="AG26" s="182">
        <v>-19</v>
      </c>
      <c r="AH26" s="182">
        <v>-79</v>
      </c>
      <c r="AI26" s="182">
        <v>-34</v>
      </c>
      <c r="AJ26" s="182">
        <f>AK26-AI26-AH26-AG26</f>
        <v>-38</v>
      </c>
      <c r="AK26" s="174">
        <v>-170</v>
      </c>
      <c r="AL26" s="68">
        <v>16</v>
      </c>
      <c r="AM26" s="68">
        <v>0</v>
      </c>
      <c r="AN26" s="182">
        <v>-1</v>
      </c>
      <c r="AO26" s="182">
        <f>AP26-AN26-AM26-AL26</f>
        <v>-3</v>
      </c>
      <c r="AP26" s="63">
        <v>12</v>
      </c>
      <c r="AQ26" s="182">
        <v>-1</v>
      </c>
      <c r="AR26" s="182">
        <v>-1</v>
      </c>
      <c r="AS26" s="182">
        <v>-2</v>
      </c>
      <c r="AT26" s="182">
        <f>AU26-AS26-AR26-AQ26</f>
        <v>16</v>
      </c>
      <c r="AU26" s="63">
        <v>12</v>
      </c>
      <c r="AV26" s="182">
        <v>-1</v>
      </c>
      <c r="AW26" s="182">
        <v>-1</v>
      </c>
      <c r="AX26" s="182">
        <v>-1</v>
      </c>
      <c r="AY26" s="182">
        <f>AZ26-AX26-AW26-AV26</f>
        <v>15</v>
      </c>
      <c r="AZ26" s="63">
        <v>12</v>
      </c>
      <c r="BA26" s="182">
        <v>-1</v>
      </c>
      <c r="BB26" s="182">
        <v>-1</v>
      </c>
      <c r="BC26" s="182">
        <v>-1</v>
      </c>
      <c r="BD26" s="182">
        <v>15</v>
      </c>
      <c r="BE26" s="63">
        <v>12</v>
      </c>
      <c r="BF26" s="182">
        <v>-1</v>
      </c>
      <c r="BG26" s="182"/>
      <c r="BH26" s="182"/>
      <c r="BI26" s="182">
        <v>13</v>
      </c>
      <c r="BJ26" s="63">
        <v>12</v>
      </c>
      <c r="BK26" s="182">
        <v>-1</v>
      </c>
    </row>
    <row r="27" spans="1:63" hidden="1">
      <c r="A27" s="69" t="s">
        <v>7</v>
      </c>
      <c r="B27" s="23"/>
      <c r="C27" s="71"/>
      <c r="D27" s="71"/>
      <c r="E27" s="71"/>
      <c r="F27" s="71"/>
      <c r="G27" s="23"/>
      <c r="H27" s="71"/>
      <c r="I27" s="71"/>
      <c r="J27" s="71"/>
      <c r="K27" s="71"/>
      <c r="L27" s="23"/>
      <c r="M27" s="71"/>
      <c r="N27" s="70">
        <f>N26/M26-1</f>
        <v>2.7391304347826089</v>
      </c>
      <c r="O27" s="70">
        <f>O26/N26-1</f>
        <v>-0.17441860465116277</v>
      </c>
      <c r="P27" s="70">
        <f>P26/O26-1</f>
        <v>0.14084507042253525</v>
      </c>
      <c r="Q27" s="23"/>
      <c r="R27" s="83">
        <f>R26/P26-1</f>
        <v>-0.19753086419753085</v>
      </c>
      <c r="S27" s="83">
        <f>S26/R26-1</f>
        <v>0.10769230769230775</v>
      </c>
      <c r="T27" s="70">
        <f>T26/S26-1</f>
        <v>-8.333333333333337E-2</v>
      </c>
      <c r="U27" s="83">
        <f>U26/T26-1</f>
        <v>-0.80303030303030298</v>
      </c>
      <c r="V27" s="174"/>
      <c r="W27" s="70">
        <f>W26/U26-1</f>
        <v>3.4615384615384617</v>
      </c>
      <c r="X27" s="70">
        <f>X26/W26-1</f>
        <v>0.43103448275862077</v>
      </c>
      <c r="Y27" s="70">
        <f>Y26/X26-1</f>
        <v>0.10843373493975905</v>
      </c>
      <c r="Z27" s="70">
        <f>Z26/Y26-1</f>
        <v>-0.86956521739130432</v>
      </c>
      <c r="AA27" s="23"/>
      <c r="AB27" s="70">
        <f>AB26/Z26-1</f>
        <v>2.3333333333333335</v>
      </c>
      <c r="AC27" s="70">
        <f>AC26/AB26-1</f>
        <v>0.67500000000000004</v>
      </c>
      <c r="AD27" s="70">
        <f>AD26/AC26-1</f>
        <v>0.31343283582089554</v>
      </c>
      <c r="AE27" s="70">
        <f>AE26/AD26-1</f>
        <v>-0.35227272727272729</v>
      </c>
      <c r="AF27" s="23"/>
      <c r="AG27" s="70">
        <f>AG26/AE26-1</f>
        <v>-0.66666666666666674</v>
      </c>
      <c r="AH27" s="70">
        <f>AH26/AG26-1</f>
        <v>3.1578947368421053</v>
      </c>
      <c r="AI27" s="70">
        <f>AI26/AH26-1</f>
        <v>-0.56962025316455689</v>
      </c>
      <c r="AJ27" s="70">
        <f>AJ26/AI26-1</f>
        <v>0.11764705882352944</v>
      </c>
      <c r="AK27" s="23"/>
      <c r="AL27" s="83" t="s">
        <v>39</v>
      </c>
      <c r="AM27" s="70">
        <f>AM26/AL26-1</f>
        <v>-1</v>
      </c>
      <c r="AN27" s="83" t="s">
        <v>39</v>
      </c>
      <c r="AO27" s="70">
        <f>AO26/AN26-1</f>
        <v>2</v>
      </c>
      <c r="AP27" s="23"/>
      <c r="AQ27" s="70">
        <f>AQ26/AO26-1</f>
        <v>-0.66666666666666674</v>
      </c>
      <c r="AR27" s="70">
        <f>AR26/AQ26-1</f>
        <v>0</v>
      </c>
      <c r="AS27" s="70">
        <f>AS26/AR26-1</f>
        <v>1</v>
      </c>
      <c r="AT27" s="70">
        <f>AT26/AS26-1</f>
        <v>-9</v>
      </c>
      <c r="AU27" s="23"/>
      <c r="AV27" s="70">
        <f>AV26/AT26-1</f>
        <v>-1.0625</v>
      </c>
      <c r="AW27" s="70">
        <f>AW26/AU26-1</f>
        <v>-1.0833333333333333</v>
      </c>
      <c r="AX27" s="70">
        <f>AX26/AV26-1</f>
        <v>0</v>
      </c>
      <c r="AY27" s="70">
        <f>AY26/AX26-1</f>
        <v>-16</v>
      </c>
      <c r="AZ27" s="23"/>
      <c r="BA27" s="70">
        <v>-1.0666666666666667</v>
      </c>
      <c r="BB27" s="70">
        <v>-1.0833333333333333</v>
      </c>
      <c r="BC27" s="70">
        <v>0</v>
      </c>
      <c r="BD27" s="83" t="s">
        <v>39</v>
      </c>
      <c r="BE27" s="23"/>
      <c r="BF27" s="83" t="s">
        <v>39</v>
      </c>
      <c r="BG27" s="70"/>
      <c r="BH27" s="70"/>
      <c r="BI27" s="83" t="s">
        <v>39</v>
      </c>
      <c r="BJ27" s="23"/>
      <c r="BK27" s="83" t="s">
        <v>39</v>
      </c>
    </row>
    <row r="28" spans="1:63" hidden="1">
      <c r="A28" s="69" t="s">
        <v>8</v>
      </c>
      <c r="B28" s="23"/>
      <c r="C28" s="71"/>
      <c r="D28" s="71"/>
      <c r="E28" s="71"/>
      <c r="F28" s="71"/>
      <c r="G28" s="23"/>
      <c r="H28" s="71"/>
      <c r="I28" s="71"/>
      <c r="J28" s="71"/>
      <c r="K28" s="71"/>
      <c r="L28" s="23"/>
      <c r="M28" s="71"/>
      <c r="N28" s="71"/>
      <c r="O28" s="71"/>
      <c r="P28" s="71"/>
      <c r="Q28" s="90"/>
      <c r="R28" s="83"/>
      <c r="S28" s="71">
        <f t="shared" ref="S28:AD28" si="31">S26/N26-1</f>
        <v>-0.16279069767441856</v>
      </c>
      <c r="T28" s="71">
        <f t="shared" si="31"/>
        <v>-7.0422535211267623E-2</v>
      </c>
      <c r="U28" s="83">
        <f t="shared" si="31"/>
        <v>-0.83950617283950613</v>
      </c>
      <c r="V28" s="90">
        <f t="shared" si="31"/>
        <v>-0.17241379310344829</v>
      </c>
      <c r="W28" s="71">
        <f t="shared" si="31"/>
        <v>-0.10769230769230764</v>
      </c>
      <c r="X28" s="71">
        <f t="shared" si="31"/>
        <v>0.15277777777777768</v>
      </c>
      <c r="Y28" s="71">
        <f t="shared" si="31"/>
        <v>0.39393939393939403</v>
      </c>
      <c r="Z28" s="71">
        <f t="shared" si="31"/>
        <v>-7.6923076923076872E-2</v>
      </c>
      <c r="AA28" s="90">
        <f t="shared" si="31"/>
        <v>0.1342592592592593</v>
      </c>
      <c r="AB28" s="71">
        <f t="shared" si="31"/>
        <v>-0.31034482758620685</v>
      </c>
      <c r="AC28" s="71">
        <f t="shared" si="31"/>
        <v>-0.19277108433734935</v>
      </c>
      <c r="AD28" s="71">
        <f t="shared" si="31"/>
        <v>-4.3478260869565188E-2</v>
      </c>
      <c r="AE28" s="71">
        <f t="shared" ref="AE28:AM28" si="32">AE26/Z26-1</f>
        <v>3.75</v>
      </c>
      <c r="AF28" s="90">
        <f t="shared" si="32"/>
        <v>2.857142857142847E-2</v>
      </c>
      <c r="AG28" s="71">
        <f t="shared" si="32"/>
        <v>-0.52500000000000002</v>
      </c>
      <c r="AH28" s="71">
        <f t="shared" si="32"/>
        <v>0.17910447761194037</v>
      </c>
      <c r="AI28" s="71">
        <f t="shared" si="32"/>
        <v>-0.61363636363636365</v>
      </c>
      <c r="AJ28" s="71">
        <f t="shared" si="32"/>
        <v>-0.33333333333333337</v>
      </c>
      <c r="AK28" s="90">
        <f t="shared" si="32"/>
        <v>-0.32539682539682535</v>
      </c>
      <c r="AL28" s="83" t="s">
        <v>39</v>
      </c>
      <c r="AM28" s="71">
        <f t="shared" si="32"/>
        <v>-1</v>
      </c>
      <c r="AN28" s="83" t="s">
        <v>39</v>
      </c>
      <c r="AO28" s="71">
        <f>AO26/AJ26-1</f>
        <v>-0.92105263157894735</v>
      </c>
      <c r="AP28" s="90">
        <f>AP26/AK26-1</f>
        <v>-1.0705882352941176</v>
      </c>
      <c r="AQ28" s="83" t="s">
        <v>39</v>
      </c>
      <c r="AR28" s="83" t="s">
        <v>39</v>
      </c>
      <c r="AS28" s="71">
        <f t="shared" ref="AS28" si="33">AS26/AN26-1</f>
        <v>1</v>
      </c>
      <c r="AT28" s="71">
        <f>AT26/AO26-1</f>
        <v>-6.333333333333333</v>
      </c>
      <c r="AU28" s="90">
        <f>AU26/AP26-1</f>
        <v>0</v>
      </c>
      <c r="AV28" s="83" t="s">
        <v>39</v>
      </c>
      <c r="AW28" s="83" t="s">
        <v>39</v>
      </c>
      <c r="AX28" s="83" t="s">
        <v>39</v>
      </c>
      <c r="AY28" s="71">
        <f>AY26/AT26-1</f>
        <v>-6.25E-2</v>
      </c>
      <c r="AZ28" s="90">
        <v>0</v>
      </c>
      <c r="BA28" s="83" t="s">
        <v>39</v>
      </c>
      <c r="BB28" s="83" t="s">
        <v>39</v>
      </c>
      <c r="BC28" s="83" t="s">
        <v>39</v>
      </c>
      <c r="BD28" s="71">
        <v>0</v>
      </c>
      <c r="BE28" s="90">
        <v>0</v>
      </c>
      <c r="BF28" s="83" t="s">
        <v>39</v>
      </c>
      <c r="BG28" s="71"/>
      <c r="BH28" s="71"/>
      <c r="BI28" s="71">
        <v>-0.1333333333333333</v>
      </c>
      <c r="BJ28" s="90">
        <v>0</v>
      </c>
      <c r="BK28" s="83" t="s">
        <v>39</v>
      </c>
    </row>
    <row r="29" spans="1:63">
      <c r="A29" s="67" t="s">
        <v>184</v>
      </c>
      <c r="B29" s="63">
        <v>666</v>
      </c>
      <c r="C29" s="68">
        <v>180</v>
      </c>
      <c r="D29" s="68">
        <v>205</v>
      </c>
      <c r="E29" s="68">
        <v>207</v>
      </c>
      <c r="F29" s="68">
        <f>G29-E29-D29-C29</f>
        <v>128</v>
      </c>
      <c r="G29" s="63">
        <v>720</v>
      </c>
      <c r="H29" s="68">
        <v>221</v>
      </c>
      <c r="I29" s="68">
        <v>222</v>
      </c>
      <c r="J29" s="68">
        <v>259</v>
      </c>
      <c r="K29" s="68">
        <f>L29-J29-I29-H29</f>
        <v>105</v>
      </c>
      <c r="L29" s="63">
        <v>807</v>
      </c>
      <c r="M29" s="68">
        <v>231</v>
      </c>
      <c r="N29" s="68">
        <v>231</v>
      </c>
      <c r="O29" s="68">
        <v>246</v>
      </c>
      <c r="P29" s="68">
        <f>Q29-O29-N29-M29</f>
        <v>224</v>
      </c>
      <c r="Q29" s="63">
        <v>932</v>
      </c>
      <c r="R29" s="68">
        <v>174</v>
      </c>
      <c r="S29" s="68">
        <v>216</v>
      </c>
      <c r="T29" s="68">
        <v>243</v>
      </c>
      <c r="U29" s="68">
        <f>V29-T29-S29-R29</f>
        <v>122</v>
      </c>
      <c r="V29" s="63">
        <v>755</v>
      </c>
      <c r="W29" s="68">
        <v>245</v>
      </c>
      <c r="X29" s="68">
        <v>174</v>
      </c>
      <c r="Y29" s="68">
        <v>178</v>
      </c>
      <c r="Z29" s="68">
        <f>AA29-Y29-X29-W29</f>
        <v>181</v>
      </c>
      <c r="AA29" s="63">
        <v>778</v>
      </c>
      <c r="AB29" s="68">
        <v>200</v>
      </c>
      <c r="AC29" s="68">
        <v>177</v>
      </c>
      <c r="AD29" s="68">
        <v>139</v>
      </c>
      <c r="AE29" s="68">
        <f>AF29-AD29-AC29-AB29</f>
        <v>135</v>
      </c>
      <c r="AF29" s="63">
        <v>651</v>
      </c>
      <c r="AG29" s="68">
        <v>170</v>
      </c>
      <c r="AH29" s="68">
        <v>313</v>
      </c>
      <c r="AI29" s="68">
        <v>170</v>
      </c>
      <c r="AJ29" s="68">
        <f>AK29-AI29-AH29-AG29</f>
        <v>162</v>
      </c>
      <c r="AK29" s="63">
        <v>815</v>
      </c>
      <c r="AL29" s="68">
        <v>152</v>
      </c>
      <c r="AM29" s="68">
        <v>183</v>
      </c>
      <c r="AN29" s="68">
        <v>144</v>
      </c>
      <c r="AO29" s="68">
        <f>AP29-AN29-AM29-AL29</f>
        <v>119</v>
      </c>
      <c r="AP29" s="63">
        <v>598</v>
      </c>
      <c r="AQ29" s="68">
        <v>183</v>
      </c>
      <c r="AR29" s="68">
        <v>133</v>
      </c>
      <c r="AS29" s="68">
        <v>99</v>
      </c>
      <c r="AT29" s="68">
        <f>AU29-AS29-AR29-AQ29</f>
        <v>210</v>
      </c>
      <c r="AU29" s="63">
        <v>625</v>
      </c>
      <c r="AV29" s="68">
        <v>113</v>
      </c>
      <c r="AW29" s="68">
        <v>111</v>
      </c>
      <c r="AX29" s="68">
        <v>128</v>
      </c>
      <c r="AY29" s="68">
        <f>AZ29-AX29-AW29-AV29</f>
        <v>101</v>
      </c>
      <c r="AZ29" s="63">
        <v>453</v>
      </c>
      <c r="BA29" s="68">
        <v>93</v>
      </c>
      <c r="BB29" s="68">
        <v>65</v>
      </c>
      <c r="BC29" s="68">
        <v>85</v>
      </c>
      <c r="BD29" s="182">
        <v>-163</v>
      </c>
      <c r="BE29" s="63">
        <v>80</v>
      </c>
      <c r="BF29" s="68">
        <v>112</v>
      </c>
      <c r="BG29" s="68">
        <v>1342</v>
      </c>
      <c r="BH29" s="68">
        <v>62</v>
      </c>
      <c r="BI29" s="182">
        <v>9</v>
      </c>
      <c r="BJ29" s="63">
        <v>1525</v>
      </c>
      <c r="BK29" s="68">
        <v>100</v>
      </c>
    </row>
    <row r="30" spans="1:63" ht="10.9" customHeight="1">
      <c r="A30" s="69" t="s">
        <v>7</v>
      </c>
      <c r="B30" s="23"/>
      <c r="C30" s="70"/>
      <c r="D30" s="70">
        <f>D29/C29-1</f>
        <v>0.13888888888888884</v>
      </c>
      <c r="E30" s="70">
        <f>E29/D29-1</f>
        <v>9.7560975609756184E-3</v>
      </c>
      <c r="F30" s="70">
        <f>F29/E29-1</f>
        <v>-0.38164251207729472</v>
      </c>
      <c r="G30" s="23"/>
      <c r="H30" s="70">
        <f>H29/F29-1</f>
        <v>0.7265625</v>
      </c>
      <c r="I30" s="70">
        <f>I29/H29-1</f>
        <v>4.5248868778280382E-3</v>
      </c>
      <c r="J30" s="70">
        <f>J29/I29-1</f>
        <v>0.16666666666666674</v>
      </c>
      <c r="K30" s="70">
        <f>K29/J29-1</f>
        <v>-0.59459459459459452</v>
      </c>
      <c r="L30" s="23"/>
      <c r="M30" s="70">
        <f>M29/K29-1</f>
        <v>1.2000000000000002</v>
      </c>
      <c r="N30" s="70">
        <f>N29/M29-1</f>
        <v>0</v>
      </c>
      <c r="O30" s="70">
        <f>O29/N29-1</f>
        <v>6.4935064935064846E-2</v>
      </c>
      <c r="P30" s="70">
        <f>P29/O29-1</f>
        <v>-8.9430894308943132E-2</v>
      </c>
      <c r="Q30" s="23"/>
      <c r="R30" s="70">
        <f>R29/P29-1</f>
        <v>-0.2232142857142857</v>
      </c>
      <c r="S30" s="70">
        <f>S29/R29-1</f>
        <v>0.24137931034482762</v>
      </c>
      <c r="T30" s="70">
        <f>T29/S29-1</f>
        <v>0.125</v>
      </c>
      <c r="U30" s="70">
        <f>U29/T29-1</f>
        <v>-0.49794238683127567</v>
      </c>
      <c r="V30" s="23"/>
      <c r="W30" s="70">
        <f>W29/U29-1</f>
        <v>1.0081967213114753</v>
      </c>
      <c r="X30" s="70">
        <f>X29/W29-1</f>
        <v>-0.28979591836734697</v>
      </c>
      <c r="Y30" s="70">
        <f>Y29/X29-1</f>
        <v>2.2988505747126409E-2</v>
      </c>
      <c r="Z30" s="70">
        <f>Z29/Y29-1</f>
        <v>1.6853932584269593E-2</v>
      </c>
      <c r="AA30" s="23">
        <v>91</v>
      </c>
      <c r="AB30" s="70">
        <f>AB29/Z29-1</f>
        <v>0.1049723756906078</v>
      </c>
      <c r="AC30" s="70">
        <f>AC29/AB29-1</f>
        <v>-0.11499999999999999</v>
      </c>
      <c r="AD30" s="70">
        <f>AD29/AC29-1</f>
        <v>-0.21468926553672318</v>
      </c>
      <c r="AE30" s="70">
        <f>AE29/AD29-1</f>
        <v>-2.877697841726623E-2</v>
      </c>
      <c r="AF30" s="23"/>
      <c r="AG30" s="70">
        <f>AG29/AE29-1</f>
        <v>0.2592592592592593</v>
      </c>
      <c r="AH30" s="70">
        <f>AH29/AG29-1</f>
        <v>0.84117647058823519</v>
      </c>
      <c r="AI30" s="70">
        <f>AI29/AH29-1</f>
        <v>-0.45686900958466459</v>
      </c>
      <c r="AJ30" s="70">
        <f>AJ29/AI29-1</f>
        <v>-4.705882352941182E-2</v>
      </c>
      <c r="AK30" s="23"/>
      <c r="AL30" s="70">
        <f>AL29/AJ29-1</f>
        <v>-6.1728395061728447E-2</v>
      </c>
      <c r="AM30" s="70">
        <f>AM29/AL29-1</f>
        <v>0.20394736842105265</v>
      </c>
      <c r="AN30" s="70">
        <f>AN29/AM29-1</f>
        <v>-0.21311475409836067</v>
      </c>
      <c r="AO30" s="70">
        <f>AO29/AN29-1</f>
        <v>-0.17361111111111116</v>
      </c>
      <c r="AP30" s="23"/>
      <c r="AQ30" s="70">
        <f>AQ29/AO29-1</f>
        <v>0.53781512605042026</v>
      </c>
      <c r="AR30" s="70">
        <f>AR29/AQ29-1</f>
        <v>-0.27322404371584696</v>
      </c>
      <c r="AS30" s="70">
        <f>AS29/AR29-1</f>
        <v>-0.25563909774436089</v>
      </c>
      <c r="AT30" s="70">
        <f>AT29/AS29-1</f>
        <v>1.1212121212121211</v>
      </c>
      <c r="AU30" s="23"/>
      <c r="AV30" s="70">
        <f>AV29/AT29-1</f>
        <v>-0.46190476190476193</v>
      </c>
      <c r="AW30" s="70">
        <f>AW29/AV29-1</f>
        <v>-1.7699115044247815E-2</v>
      </c>
      <c r="AX30" s="70">
        <f>AX29/AW29-1</f>
        <v>0.15315315315315314</v>
      </c>
      <c r="AY30" s="70">
        <f>AY29/AX29-1</f>
        <v>-0.2109375</v>
      </c>
      <c r="AZ30" s="23"/>
      <c r="BA30" s="70">
        <v>-7.9207920792079167E-2</v>
      </c>
      <c r="BB30" s="70">
        <v>-0.30107526881720426</v>
      </c>
      <c r="BC30" s="70">
        <v>0.30769230769230771</v>
      </c>
      <c r="BD30" s="83" t="s">
        <v>39</v>
      </c>
      <c r="BE30" s="23"/>
      <c r="BF30" s="83" t="s">
        <v>39</v>
      </c>
      <c r="BG30" s="70">
        <v>10.982142857142858</v>
      </c>
      <c r="BH30" s="70">
        <v>-0.95380029806259314</v>
      </c>
      <c r="BI30" s="70">
        <v>-0.85483870967741937</v>
      </c>
      <c r="BJ30" s="23"/>
      <c r="BK30" s="70">
        <v>10.111111111111111</v>
      </c>
    </row>
    <row r="31" spans="1:63" ht="11.45" customHeight="1">
      <c r="A31" s="69" t="s">
        <v>8</v>
      </c>
      <c r="B31" s="23"/>
      <c r="C31" s="71"/>
      <c r="D31" s="71"/>
      <c r="E31" s="71"/>
      <c r="F31" s="71"/>
      <c r="G31" s="23">
        <f t="shared" ref="G31" si="34">G29/B29-1</f>
        <v>8.1081081081081141E-2</v>
      </c>
      <c r="H31" s="71">
        <f t="shared" ref="H31" si="35">H29/C29-1</f>
        <v>0.22777777777777786</v>
      </c>
      <c r="I31" s="71">
        <f t="shared" ref="I31" si="36">I29/D29-1</f>
        <v>8.2926829268292757E-2</v>
      </c>
      <c r="J31" s="71">
        <f t="shared" ref="J31" si="37">J29/E29-1</f>
        <v>0.25120772946859904</v>
      </c>
      <c r="K31" s="71">
        <f t="shared" ref="K31" si="38">K29/F29-1</f>
        <v>-0.1796875</v>
      </c>
      <c r="L31" s="23">
        <f t="shared" ref="L31" si="39">L29/G29-1</f>
        <v>0.12083333333333335</v>
      </c>
      <c r="M31" s="71">
        <f t="shared" ref="M31" si="40">M29/H29-1</f>
        <v>4.5248868778280604E-2</v>
      </c>
      <c r="N31" s="71">
        <f t="shared" ref="N31" si="41">N29/I29-1</f>
        <v>4.0540540540540571E-2</v>
      </c>
      <c r="O31" s="71">
        <f t="shared" ref="O31" si="42">O29/J29-1</f>
        <v>-5.0193050193050204E-2</v>
      </c>
      <c r="P31" s="71">
        <f t="shared" ref="P31" si="43">P29/K29-1</f>
        <v>1.1333333333333333</v>
      </c>
      <c r="Q31" s="23">
        <f t="shared" ref="Q31" si="44">Q29/L29-1</f>
        <v>0.15489467162329618</v>
      </c>
      <c r="R31" s="71">
        <f t="shared" ref="R31" si="45">R29/M29-1</f>
        <v>-0.24675324675324672</v>
      </c>
      <c r="S31" s="71">
        <f t="shared" ref="S31" si="46">S29/N29-1</f>
        <v>-6.4935064935064957E-2</v>
      </c>
      <c r="T31" s="71">
        <f t="shared" ref="T31" si="47">T29/O29-1</f>
        <v>-1.2195121951219523E-2</v>
      </c>
      <c r="U31" s="71">
        <f t="shared" ref="U31" si="48">U29/P29-1</f>
        <v>-0.4553571428571429</v>
      </c>
      <c r="V31" s="23">
        <f t="shared" ref="V31" si="49">V29/Q29-1</f>
        <v>-0.18991416309012876</v>
      </c>
      <c r="W31" s="71">
        <f t="shared" ref="W31" si="50">W29/R29-1</f>
        <v>0.40804597701149414</v>
      </c>
      <c r="X31" s="71">
        <f t="shared" ref="X31" si="51">X29/S29-1</f>
        <v>-0.19444444444444442</v>
      </c>
      <c r="Y31" s="71">
        <f t="shared" ref="Y31" si="52">Y29/T29-1</f>
        <v>-0.26748971193415638</v>
      </c>
      <c r="Z31" s="71">
        <f t="shared" ref="Z31" si="53">Z29/U29-1</f>
        <v>0.48360655737704916</v>
      </c>
      <c r="AA31" s="23">
        <f t="shared" ref="AA31" si="54">AA29/V29-1</f>
        <v>3.0463576158940464E-2</v>
      </c>
      <c r="AB31" s="71">
        <f t="shared" ref="AB31" si="55">AB29/W29-1</f>
        <v>-0.18367346938775508</v>
      </c>
      <c r="AC31" s="71">
        <f t="shared" ref="AC31" si="56">AC29/X29-1</f>
        <v>1.7241379310344751E-2</v>
      </c>
      <c r="AD31" s="71">
        <f t="shared" ref="AD31" si="57">AD29/Y29-1</f>
        <v>-0.2191011235955056</v>
      </c>
      <c r="AE31" s="71">
        <f t="shared" ref="AE31" si="58">AE29/Z29-1</f>
        <v>-0.2541436464088398</v>
      </c>
      <c r="AF31" s="23">
        <f t="shared" ref="AF31" si="59">AF29/AA29-1</f>
        <v>-0.16323907455012854</v>
      </c>
      <c r="AG31" s="71">
        <f t="shared" ref="AG31" si="60">AG29/AB29-1</f>
        <v>-0.15000000000000002</v>
      </c>
      <c r="AH31" s="71">
        <f t="shared" ref="AH31" si="61">AH29/AC29-1</f>
        <v>0.76836158192090398</v>
      </c>
      <c r="AI31" s="71">
        <f t="shared" ref="AI31" si="62">AI29/AD29-1</f>
        <v>0.2230215827338129</v>
      </c>
      <c r="AJ31" s="71">
        <f t="shared" ref="AJ31" si="63">AJ29/AE29-1</f>
        <v>0.19999999999999996</v>
      </c>
      <c r="AK31" s="23">
        <f t="shared" ref="AK31" si="64">AK29/AF29-1</f>
        <v>0.25192012288786492</v>
      </c>
      <c r="AL31" s="71">
        <f t="shared" ref="AL31" si="65">AL29/AG29-1</f>
        <v>-0.10588235294117643</v>
      </c>
      <c r="AM31" s="71">
        <f t="shared" ref="AM31" si="66">AM29/AH29-1</f>
        <v>-0.4153354632587859</v>
      </c>
      <c r="AN31" s="71">
        <f t="shared" ref="AN31" si="67">AN29/AI29-1</f>
        <v>-0.15294117647058825</v>
      </c>
      <c r="AO31" s="71">
        <f t="shared" ref="AO31" si="68">AO29/AJ29-1</f>
        <v>-0.26543209876543206</v>
      </c>
      <c r="AP31" s="23">
        <f t="shared" ref="AP31" si="69">AP29/AK29-1</f>
        <v>-0.26625766871165646</v>
      </c>
      <c r="AQ31" s="71">
        <f t="shared" ref="AQ31" si="70">AQ29/AL29-1</f>
        <v>0.20394736842105265</v>
      </c>
      <c r="AR31" s="71">
        <f t="shared" ref="AR31" si="71">AR29/AM29-1</f>
        <v>-0.27322404371584696</v>
      </c>
      <c r="AS31" s="71">
        <f t="shared" ref="AS31" si="72">AS29/AN29-1</f>
        <v>-0.3125</v>
      </c>
      <c r="AT31" s="71">
        <f t="shared" ref="AT31" si="73">AT29/AO29-1</f>
        <v>0.76470588235294112</v>
      </c>
      <c r="AU31" s="23">
        <f t="shared" ref="AU31:AX31" si="74">AU29/AP29-1</f>
        <v>4.5150501672240884E-2</v>
      </c>
      <c r="AV31" s="71">
        <f t="shared" si="74"/>
        <v>-0.38251366120218577</v>
      </c>
      <c r="AW31" s="71">
        <f t="shared" si="74"/>
        <v>-0.16541353383458646</v>
      </c>
      <c r="AX31" s="71">
        <f t="shared" si="74"/>
        <v>0.29292929292929304</v>
      </c>
      <c r="AY31" s="71">
        <f t="shared" ref="AY31" si="75">AY29/AT29-1</f>
        <v>-0.51904761904761898</v>
      </c>
      <c r="AZ31" s="23">
        <v>-0.2752</v>
      </c>
      <c r="BA31" s="71">
        <v>-0.17699115044247793</v>
      </c>
      <c r="BB31" s="71">
        <v>-0.4144144144144144</v>
      </c>
      <c r="BC31" s="71">
        <v>-0.3359375</v>
      </c>
      <c r="BD31" s="83" t="s">
        <v>39</v>
      </c>
      <c r="BE31" s="23">
        <v>-0.82339955849889623</v>
      </c>
      <c r="BF31" s="71">
        <v>0.20430107526881724</v>
      </c>
      <c r="BG31" s="71">
        <v>19.646153846153847</v>
      </c>
      <c r="BH31" s="71">
        <v>-0.27058823529411768</v>
      </c>
      <c r="BI31" s="83" t="s">
        <v>39</v>
      </c>
      <c r="BJ31" s="23">
        <v>18.0625</v>
      </c>
      <c r="BK31" s="71">
        <v>-0.1071428571428571</v>
      </c>
    </row>
    <row r="32" spans="1:63" s="35" customFormat="1">
      <c r="A32" s="67" t="s">
        <v>280</v>
      </c>
      <c r="B32" s="63">
        <v>1330</v>
      </c>
      <c r="C32" s="68">
        <v>411</v>
      </c>
      <c r="D32" s="68">
        <v>456</v>
      </c>
      <c r="E32" s="68">
        <v>462</v>
      </c>
      <c r="F32" s="68">
        <v>298</v>
      </c>
      <c r="G32" s="63">
        <v>1627</v>
      </c>
      <c r="H32" s="68">
        <v>608</v>
      </c>
      <c r="I32" s="68">
        <v>541</v>
      </c>
      <c r="J32" s="68">
        <v>2088</v>
      </c>
      <c r="K32" s="68">
        <f>L32-J32-I32-H32</f>
        <v>366</v>
      </c>
      <c r="L32" s="63">
        <v>3603</v>
      </c>
      <c r="M32" s="68">
        <v>642</v>
      </c>
      <c r="N32" s="68">
        <v>638</v>
      </c>
      <c r="O32" s="68">
        <v>588</v>
      </c>
      <c r="P32" s="68">
        <f>Q32-O32-N32-M32</f>
        <v>575</v>
      </c>
      <c r="Q32" s="63">
        <v>2443</v>
      </c>
      <c r="R32" s="68">
        <v>407</v>
      </c>
      <c r="S32" s="68">
        <v>585</v>
      </c>
      <c r="T32" s="68">
        <v>550</v>
      </c>
      <c r="U32" s="68">
        <f>V32-T32-S32-R32</f>
        <v>532</v>
      </c>
      <c r="V32" s="63">
        <v>2074</v>
      </c>
      <c r="W32" s="68">
        <v>582</v>
      </c>
      <c r="X32" s="68">
        <v>415</v>
      </c>
      <c r="Y32" s="68">
        <v>342</v>
      </c>
      <c r="Z32" s="68">
        <f>AA32-Y32-X32-W32</f>
        <v>522</v>
      </c>
      <c r="AA32" s="63">
        <v>1861</v>
      </c>
      <c r="AB32" s="68">
        <v>497</v>
      </c>
      <c r="AC32" s="68">
        <v>473</v>
      </c>
      <c r="AD32" s="68">
        <v>449</v>
      </c>
      <c r="AE32" s="68">
        <f>AF32-AD32-AC32-AB32</f>
        <v>352</v>
      </c>
      <c r="AF32" s="63">
        <v>1771</v>
      </c>
      <c r="AG32" s="68">
        <v>457</v>
      </c>
      <c r="AH32" s="68">
        <v>810</v>
      </c>
      <c r="AI32" s="68">
        <v>428</v>
      </c>
      <c r="AJ32" s="68">
        <f>AK32-AI32-AH32-AG32</f>
        <v>416</v>
      </c>
      <c r="AK32" s="63">
        <v>2111</v>
      </c>
      <c r="AL32" s="68">
        <v>463</v>
      </c>
      <c r="AM32" s="68">
        <v>482</v>
      </c>
      <c r="AN32" s="68">
        <v>407</v>
      </c>
      <c r="AO32" s="68">
        <f>AP32-AN32-AM32-AL32</f>
        <v>369</v>
      </c>
      <c r="AP32" s="63">
        <v>1721</v>
      </c>
      <c r="AQ32" s="68">
        <v>288</v>
      </c>
      <c r="AR32" s="68">
        <v>377</v>
      </c>
      <c r="AS32" s="68">
        <v>394</v>
      </c>
      <c r="AT32" s="68">
        <f>AU32-AS32-AR32-AQ32</f>
        <v>185</v>
      </c>
      <c r="AU32" s="63">
        <v>1244</v>
      </c>
      <c r="AV32" s="68">
        <v>350</v>
      </c>
      <c r="AW32" s="68">
        <v>358</v>
      </c>
      <c r="AX32" s="68">
        <v>322</v>
      </c>
      <c r="AY32" s="68">
        <f>AZ32-AX32-AW32-AV32</f>
        <v>205</v>
      </c>
      <c r="AZ32" s="63">
        <v>1235</v>
      </c>
      <c r="BA32" s="68">
        <v>260</v>
      </c>
      <c r="BB32" s="68">
        <v>195</v>
      </c>
      <c r="BC32" s="68">
        <v>234</v>
      </c>
      <c r="BD32" s="182">
        <v>-1755</v>
      </c>
      <c r="BE32" s="174">
        <v>-1066</v>
      </c>
      <c r="BF32" s="68">
        <v>300</v>
      </c>
      <c r="BG32" s="182">
        <v>-1573</v>
      </c>
      <c r="BH32" s="182">
        <v>191</v>
      </c>
      <c r="BI32" s="182">
        <v>-5</v>
      </c>
      <c r="BJ32" s="174">
        <v>-1087</v>
      </c>
      <c r="BK32" s="68">
        <v>332</v>
      </c>
    </row>
    <row r="33" spans="1:63" ht="12.6" customHeight="1">
      <c r="A33" s="69" t="s">
        <v>7</v>
      </c>
      <c r="B33" s="23"/>
      <c r="C33" s="70"/>
      <c r="D33" s="70">
        <f>D32/C32-1</f>
        <v>0.10948905109489049</v>
      </c>
      <c r="E33" s="70">
        <f>E32/D32-1</f>
        <v>1.3157894736842035E-2</v>
      </c>
      <c r="F33" s="70">
        <f>F32/E32-1</f>
        <v>-0.35497835497835495</v>
      </c>
      <c r="G33" s="23"/>
      <c r="H33" s="70">
        <f>H32/F32-1</f>
        <v>1.0402684563758391</v>
      </c>
      <c r="I33" s="70">
        <f>I32/H32-1</f>
        <v>-0.11019736842105265</v>
      </c>
      <c r="J33" s="70">
        <f>J32/I32-1</f>
        <v>2.8595194085027726</v>
      </c>
      <c r="K33" s="70">
        <f>K32/J32-1</f>
        <v>-0.82471264367816088</v>
      </c>
      <c r="L33" s="23"/>
      <c r="M33" s="70">
        <f>M32/K32-1</f>
        <v>0.75409836065573765</v>
      </c>
      <c r="N33" s="70">
        <f>N32/M32-1</f>
        <v>-6.230529595015577E-3</v>
      </c>
      <c r="O33" s="70">
        <f>O32/N32-1</f>
        <v>-7.8369905956112818E-2</v>
      </c>
      <c r="P33" s="70">
        <f>P32/O32-1</f>
        <v>-2.2108843537414935E-2</v>
      </c>
      <c r="Q33" s="23"/>
      <c r="R33" s="70">
        <f>R32/P32-1</f>
        <v>-0.29217391304347828</v>
      </c>
      <c r="S33" s="70">
        <f>S32/R32-1</f>
        <v>0.4373464373464373</v>
      </c>
      <c r="T33" s="70">
        <f>T32/S32-1</f>
        <v>-5.9829059829059839E-2</v>
      </c>
      <c r="U33" s="70">
        <f>U32/T32-1</f>
        <v>-3.2727272727272716E-2</v>
      </c>
      <c r="V33" s="23"/>
      <c r="W33" s="70">
        <f>W32/U32-1</f>
        <v>9.3984962406014949E-2</v>
      </c>
      <c r="X33" s="70">
        <f>X32/W32-1</f>
        <v>-0.28694158075601373</v>
      </c>
      <c r="Y33" s="70">
        <f>Y32/X32-1</f>
        <v>-0.17590361445783131</v>
      </c>
      <c r="Z33" s="70">
        <f>Z32/Y32-1</f>
        <v>0.52631578947368429</v>
      </c>
      <c r="AA33" s="23"/>
      <c r="AB33" s="70">
        <f>AB32/Z32-1</f>
        <v>-4.789272030651337E-2</v>
      </c>
      <c r="AC33" s="70">
        <f>AC32/AB32-1</f>
        <v>-4.8289738430583484E-2</v>
      </c>
      <c r="AD33" s="70">
        <f>AD32/AC32-1</f>
        <v>-5.0739957716701922E-2</v>
      </c>
      <c r="AE33" s="70">
        <f>AE32/AD32-1</f>
        <v>-0.21603563474387533</v>
      </c>
      <c r="AF33" s="23"/>
      <c r="AG33" s="70">
        <f>AG32/AE32-1</f>
        <v>0.29829545454545459</v>
      </c>
      <c r="AH33" s="70">
        <f>AH32/AG32-1</f>
        <v>0.77242888402625831</v>
      </c>
      <c r="AI33" s="70">
        <f>AI32/AH32-1</f>
        <v>-0.47160493827160499</v>
      </c>
      <c r="AJ33" s="70">
        <f>AJ32/AI32-1</f>
        <v>-2.8037383177570097E-2</v>
      </c>
      <c r="AK33" s="23"/>
      <c r="AL33" s="70">
        <f>AL32/AJ32-1</f>
        <v>0.11298076923076916</v>
      </c>
      <c r="AM33" s="70">
        <f>AM32/AL32-1</f>
        <v>4.1036717062634898E-2</v>
      </c>
      <c r="AN33" s="70">
        <f>AN32/AM32-1</f>
        <v>-0.15560165975103735</v>
      </c>
      <c r="AO33" s="70">
        <f>AO32/AN32-1</f>
        <v>-9.3366093366093361E-2</v>
      </c>
      <c r="AP33" s="23"/>
      <c r="AQ33" s="70">
        <f>AQ32/AO32-1</f>
        <v>-0.21951219512195119</v>
      </c>
      <c r="AR33" s="70">
        <f>AR32/AQ32-1</f>
        <v>0.30902777777777768</v>
      </c>
      <c r="AS33" s="70">
        <f>AS32/AR32-1</f>
        <v>4.5092838196286511E-2</v>
      </c>
      <c r="AT33" s="70">
        <f>AT32/AS32-1</f>
        <v>-0.53045685279187815</v>
      </c>
      <c r="AU33" s="23"/>
      <c r="AV33" s="70">
        <f>AV32/AT32-1</f>
        <v>0.89189189189189189</v>
      </c>
      <c r="AW33" s="70">
        <f>AW32/AV32-1</f>
        <v>2.2857142857142909E-2</v>
      </c>
      <c r="AX33" s="70">
        <f>AX32/AW32-1</f>
        <v>-0.1005586592178771</v>
      </c>
      <c r="AY33" s="70">
        <f>AY32/AX32-1</f>
        <v>-0.36335403726708071</v>
      </c>
      <c r="AZ33" s="23"/>
      <c r="BA33" s="70">
        <v>0.26829268292682928</v>
      </c>
      <c r="BB33" s="70">
        <v>-0.25</v>
      </c>
      <c r="BC33" s="70">
        <v>0.19999999999999996</v>
      </c>
      <c r="BD33" s="83" t="s">
        <v>39</v>
      </c>
      <c r="BE33" s="23"/>
      <c r="BF33" s="83" t="s">
        <v>39</v>
      </c>
      <c r="BG33" s="83" t="s">
        <v>39</v>
      </c>
      <c r="BH33" s="83" t="s">
        <v>39</v>
      </c>
      <c r="BI33" s="70">
        <v>-1.0261780104712042</v>
      </c>
      <c r="BJ33" s="23"/>
      <c r="BK33" s="83" t="s">
        <v>39</v>
      </c>
    </row>
    <row r="34" spans="1:63" ht="12" customHeight="1">
      <c r="A34" s="69" t="s">
        <v>8</v>
      </c>
      <c r="B34" s="23"/>
      <c r="C34" s="71"/>
      <c r="D34" s="71"/>
      <c r="E34" s="71"/>
      <c r="F34" s="71"/>
      <c r="G34" s="23">
        <f t="shared" ref="G34:N34" si="76">G32/B32-1</f>
        <v>0.22330827067669179</v>
      </c>
      <c r="H34" s="71">
        <f t="shared" si="76"/>
        <v>0.47931873479318732</v>
      </c>
      <c r="I34" s="71">
        <f t="shared" si="76"/>
        <v>0.18640350877192979</v>
      </c>
      <c r="J34" s="71">
        <f t="shared" si="76"/>
        <v>3.5194805194805197</v>
      </c>
      <c r="K34" s="71">
        <f t="shared" si="76"/>
        <v>0.22818791946308714</v>
      </c>
      <c r="L34" s="23">
        <f t="shared" si="76"/>
        <v>1.2145052243392747</v>
      </c>
      <c r="M34" s="71">
        <f t="shared" si="76"/>
        <v>5.5921052631578982E-2</v>
      </c>
      <c r="N34" s="71">
        <f t="shared" si="76"/>
        <v>0.17929759704251391</v>
      </c>
      <c r="O34" s="71">
        <f t="shared" ref="O34:Y34" si="77">O32/J32-1</f>
        <v>-0.71839080459770122</v>
      </c>
      <c r="P34" s="71">
        <f t="shared" si="77"/>
        <v>0.5710382513661203</v>
      </c>
      <c r="Q34" s="23">
        <f t="shared" si="77"/>
        <v>-0.32195392728281991</v>
      </c>
      <c r="R34" s="71">
        <f t="shared" si="77"/>
        <v>-0.36604361370716509</v>
      </c>
      <c r="S34" s="71">
        <f t="shared" si="77"/>
        <v>-8.3072100313479669E-2</v>
      </c>
      <c r="T34" s="71">
        <f t="shared" si="77"/>
        <v>-6.4625850340136015E-2</v>
      </c>
      <c r="U34" s="71">
        <f t="shared" si="77"/>
        <v>-7.478260869565212E-2</v>
      </c>
      <c r="V34" s="23">
        <f t="shared" si="77"/>
        <v>-0.15104379860826855</v>
      </c>
      <c r="W34" s="71">
        <f t="shared" si="77"/>
        <v>0.42997542997542992</v>
      </c>
      <c r="X34" s="71">
        <f t="shared" si="77"/>
        <v>-0.29059829059829057</v>
      </c>
      <c r="Y34" s="71">
        <f t="shared" si="77"/>
        <v>-0.37818181818181817</v>
      </c>
      <c r="Z34" s="71">
        <f t="shared" ref="Z34:AI34" si="78">Z32/U32-1</f>
        <v>-1.8796992481203034E-2</v>
      </c>
      <c r="AA34" s="23">
        <f t="shared" si="78"/>
        <v>-0.10270009643201539</v>
      </c>
      <c r="AB34" s="71">
        <f t="shared" si="78"/>
        <v>-0.14604810996563578</v>
      </c>
      <c r="AC34" s="71">
        <f t="shared" si="78"/>
        <v>0.13975903614457841</v>
      </c>
      <c r="AD34" s="71">
        <f t="shared" si="78"/>
        <v>0.3128654970760234</v>
      </c>
      <c r="AE34" s="71">
        <f t="shared" si="78"/>
        <v>-0.32567049808429116</v>
      </c>
      <c r="AF34" s="23">
        <f t="shared" si="78"/>
        <v>-4.8361096184846852E-2</v>
      </c>
      <c r="AG34" s="71">
        <f t="shared" si="78"/>
        <v>-8.0482897384305807E-2</v>
      </c>
      <c r="AH34" s="71">
        <f t="shared" si="78"/>
        <v>0.71247357293868929</v>
      </c>
      <c r="AI34" s="71">
        <f t="shared" si="78"/>
        <v>-4.6770601336302842E-2</v>
      </c>
      <c r="AJ34" s="71">
        <f t="shared" ref="AJ34:AS34" si="79">AJ32/AE32-1</f>
        <v>0.18181818181818188</v>
      </c>
      <c r="AK34" s="23">
        <f t="shared" si="79"/>
        <v>0.19198193111236583</v>
      </c>
      <c r="AL34" s="71">
        <f t="shared" si="79"/>
        <v>1.3129102844638973E-2</v>
      </c>
      <c r="AM34" s="71">
        <f t="shared" si="79"/>
        <v>-0.40493827160493823</v>
      </c>
      <c r="AN34" s="71">
        <f t="shared" si="79"/>
        <v>-4.9065420560747697E-2</v>
      </c>
      <c r="AO34" s="71">
        <f t="shared" si="79"/>
        <v>-0.11298076923076927</v>
      </c>
      <c r="AP34" s="23">
        <f t="shared" si="79"/>
        <v>-0.18474656560871627</v>
      </c>
      <c r="AQ34" s="71">
        <f t="shared" si="79"/>
        <v>-0.37796976241900648</v>
      </c>
      <c r="AR34" s="71">
        <f t="shared" si="79"/>
        <v>-0.21784232365145229</v>
      </c>
      <c r="AS34" s="71">
        <f t="shared" si="79"/>
        <v>-3.1941031941031928E-2</v>
      </c>
      <c r="AT34" s="71">
        <f t="shared" ref="AT34" si="80">AT32/AO32-1</f>
        <v>-0.49864498644986455</v>
      </c>
      <c r="AU34" s="23">
        <f t="shared" ref="AU34:AX34" si="81">AU32/AP32-1</f>
        <v>-0.27716443927948864</v>
      </c>
      <c r="AV34" s="71">
        <f t="shared" si="81"/>
        <v>0.21527777777777768</v>
      </c>
      <c r="AW34" s="71">
        <f t="shared" si="81"/>
        <v>-5.0397877984084904E-2</v>
      </c>
      <c r="AX34" s="71">
        <f t="shared" si="81"/>
        <v>-0.18274111675126903</v>
      </c>
      <c r="AY34" s="71">
        <f t="shared" ref="AY34" si="82">AY32/AT32-1</f>
        <v>0.10810810810810811</v>
      </c>
      <c r="AZ34" s="23">
        <v>-7.2347266881028771E-3</v>
      </c>
      <c r="BA34" s="71">
        <v>-0.25714285714285712</v>
      </c>
      <c r="BB34" s="71">
        <v>-0.45530726256983245</v>
      </c>
      <c r="BC34" s="71">
        <v>-0.27329192546583847</v>
      </c>
      <c r="BD34" s="83" t="s">
        <v>39</v>
      </c>
      <c r="BE34" s="90" t="s">
        <v>39</v>
      </c>
      <c r="BF34" s="71">
        <v>0.15384615384615374</v>
      </c>
      <c r="BG34" s="83" t="s">
        <v>39</v>
      </c>
      <c r="BH34" s="71">
        <v>-0.18376068376068377</v>
      </c>
      <c r="BI34" s="83" t="s">
        <v>39</v>
      </c>
      <c r="BJ34" s="23">
        <v>1.9699812382739212E-2</v>
      </c>
      <c r="BK34" s="71">
        <v>0.10666666666666669</v>
      </c>
    </row>
    <row r="35" spans="1:63" ht="22.9" customHeight="1">
      <c r="A35" s="225" t="s">
        <v>263</v>
      </c>
      <c r="B35" s="23"/>
      <c r="C35" s="71"/>
      <c r="D35" s="71"/>
      <c r="E35" s="71"/>
      <c r="F35" s="71"/>
      <c r="G35" s="23"/>
      <c r="H35" s="71"/>
      <c r="I35" s="71"/>
      <c r="J35" s="71"/>
      <c r="K35" s="71"/>
      <c r="L35" s="23"/>
      <c r="M35" s="71"/>
      <c r="N35" s="71"/>
      <c r="O35" s="71"/>
      <c r="P35" s="71"/>
      <c r="Q35" s="23"/>
      <c r="R35" s="71"/>
      <c r="S35" s="71"/>
      <c r="T35" s="71"/>
      <c r="U35" s="71"/>
      <c r="V35" s="23"/>
      <c r="W35" s="71"/>
      <c r="X35" s="71"/>
      <c r="Y35" s="71"/>
      <c r="Z35" s="71"/>
      <c r="AA35" s="23"/>
      <c r="AB35" s="71"/>
      <c r="AC35" s="71"/>
      <c r="AD35" s="71"/>
      <c r="AE35" s="71"/>
      <c r="AF35" s="63">
        <f>AF32+(AF18*0.75)</f>
        <v>1759.75</v>
      </c>
      <c r="AG35" s="71"/>
      <c r="AH35" s="71"/>
      <c r="AI35" s="71"/>
      <c r="AJ35" s="71"/>
      <c r="AK35" s="63">
        <f>AK32+(AK18*0.75)</f>
        <v>1671.5</v>
      </c>
      <c r="AL35" s="71"/>
      <c r="AM35" s="71"/>
      <c r="AN35" s="71"/>
      <c r="AO35" s="71"/>
      <c r="AP35" s="63">
        <f>AP32+(AP18*0.75)</f>
        <v>1649.75</v>
      </c>
      <c r="AQ35" s="220">
        <f>AQ32+(AQ18*0.75)</f>
        <v>291.75</v>
      </c>
      <c r="AR35" s="220">
        <f>AR32+(AR18*0.75)</f>
        <v>368</v>
      </c>
      <c r="AS35" s="220">
        <f>AS32+(AS18*0.75)</f>
        <v>374.5</v>
      </c>
      <c r="AT35" s="220">
        <f>AU35-AS35-AR35-AQ35</f>
        <v>209.75</v>
      </c>
      <c r="AU35" s="63">
        <f>AU32+(AU18*0.75)</f>
        <v>1244</v>
      </c>
      <c r="AV35" s="220">
        <f>AV32+(AV18*0.76)</f>
        <v>346.96</v>
      </c>
      <c r="AW35" s="220">
        <f>AW32+(AW18*0.76)</f>
        <v>357.24</v>
      </c>
      <c r="AX35" s="220">
        <f>AX32+(AX18*0.76)</f>
        <v>304.52</v>
      </c>
      <c r="AY35" s="220">
        <f>AZ35-AX35-AW35-AV35</f>
        <v>298.83999999999997</v>
      </c>
      <c r="AZ35" s="63">
        <v>1307.56</v>
      </c>
      <c r="BA35" s="220">
        <v>277.70999999999998</v>
      </c>
      <c r="BB35" s="220">
        <v>259.68</v>
      </c>
      <c r="BC35" s="220">
        <v>248.62</v>
      </c>
      <c r="BD35" s="182">
        <v>197.17000000000007</v>
      </c>
      <c r="BE35" s="63">
        <v>983.18000000000006</v>
      </c>
      <c r="BF35" s="220">
        <v>291.10000000000002</v>
      </c>
      <c r="BG35" s="220">
        <v>225.22000000000003</v>
      </c>
      <c r="BH35" s="220">
        <v>221.03</v>
      </c>
      <c r="BI35" s="220">
        <v>212.83000000000004</v>
      </c>
      <c r="BJ35" s="63">
        <v>950.18000000000006</v>
      </c>
      <c r="BK35" s="220">
        <v>329.69</v>
      </c>
    </row>
    <row r="36" spans="1:63" s="35" customFormat="1" ht="16.899999999999999" customHeight="1">
      <c r="A36" s="67" t="s">
        <v>189</v>
      </c>
      <c r="B36" s="63">
        <f>B12+B20</f>
        <v>3830</v>
      </c>
      <c r="C36" s="75">
        <f>C12+C20</f>
        <v>1009</v>
      </c>
      <c r="D36" s="75">
        <f>D12+D20</f>
        <v>1133</v>
      </c>
      <c r="E36" s="75">
        <f>E12+E20</f>
        <v>1140</v>
      </c>
      <c r="F36" s="68">
        <f>G36-E36-D36-C36</f>
        <v>816</v>
      </c>
      <c r="G36" s="63">
        <f>G12+G20</f>
        <v>4098</v>
      </c>
      <c r="H36" s="75">
        <f>H12+H20</f>
        <v>1170</v>
      </c>
      <c r="I36" s="75">
        <f>I12+I20</f>
        <v>1195</v>
      </c>
      <c r="J36" s="75">
        <f>J12+J20</f>
        <v>1236</v>
      </c>
      <c r="K36" s="68">
        <f>L36-J36-I36-H36</f>
        <v>856</v>
      </c>
      <c r="L36" s="63">
        <f>L12+L20</f>
        <v>4457</v>
      </c>
      <c r="M36" s="75">
        <f>M12+M20</f>
        <v>1217</v>
      </c>
      <c r="N36" s="75">
        <f>N12+N20</f>
        <v>1338</v>
      </c>
      <c r="O36" s="75">
        <f>O12+O20</f>
        <v>1329</v>
      </c>
      <c r="P36" s="68">
        <f>Q36-O36-N36-M36</f>
        <v>1269</v>
      </c>
      <c r="Q36" s="63">
        <f>Q12+Q20</f>
        <v>5153</v>
      </c>
      <c r="R36" s="75">
        <f>R12+R20</f>
        <v>1000</v>
      </c>
      <c r="S36" s="75">
        <f>S12+S20</f>
        <v>1283</v>
      </c>
      <c r="T36" s="75">
        <f>T12+T20</f>
        <v>1301</v>
      </c>
      <c r="U36" s="68">
        <f>V36-T36-S36-R36</f>
        <v>1066</v>
      </c>
      <c r="V36" s="63">
        <f>V12+V20</f>
        <v>4650</v>
      </c>
      <c r="W36" s="75">
        <f>W12+W20</f>
        <v>1208</v>
      </c>
      <c r="X36" s="75">
        <f>X12+X20</f>
        <v>1104</v>
      </c>
      <c r="Y36" s="75">
        <f>Y12+Y20</f>
        <v>1026</v>
      </c>
      <c r="Z36" s="68">
        <f>AA36-Y36-X36-W36</f>
        <v>1139</v>
      </c>
      <c r="AA36" s="63">
        <f>AA12+AA20</f>
        <v>4477</v>
      </c>
      <c r="AB36" s="75">
        <f>AB12+AB20</f>
        <v>1089</v>
      </c>
      <c r="AC36" s="75">
        <f>AC12+AC20</f>
        <v>1070</v>
      </c>
      <c r="AD36" s="75">
        <f>AD12+AD20</f>
        <v>1050</v>
      </c>
      <c r="AE36" s="68">
        <f>AF36-AD36-AC36-AB36</f>
        <v>921</v>
      </c>
      <c r="AF36" s="63">
        <f>AF12+AF20</f>
        <v>4130</v>
      </c>
      <c r="AG36" s="75">
        <f>AG12+AG20</f>
        <v>1002</v>
      </c>
      <c r="AH36" s="75">
        <f>AH12+AH20</f>
        <v>1553</v>
      </c>
      <c r="AI36" s="75">
        <f>AI12+AI20</f>
        <v>998</v>
      </c>
      <c r="AJ36" s="68">
        <f>AK36-AI36-AH36-AG36</f>
        <v>954</v>
      </c>
      <c r="AK36" s="63">
        <f>AK12+AK20</f>
        <v>4507</v>
      </c>
      <c r="AL36" s="75">
        <f>AL12+AL20</f>
        <v>953</v>
      </c>
      <c r="AM36" s="75">
        <f>AM12+AM20</f>
        <v>1245</v>
      </c>
      <c r="AN36" s="75">
        <f>AN12+AN20</f>
        <v>1109</v>
      </c>
      <c r="AO36" s="68">
        <f>AP36-AN36-AM36-AL36</f>
        <v>947</v>
      </c>
      <c r="AP36" s="63">
        <f>AP12+AP20</f>
        <v>4254</v>
      </c>
      <c r="AQ36" s="75">
        <f>AQ12+AQ20</f>
        <v>1023</v>
      </c>
      <c r="AR36" s="75">
        <f>AR12+AR20</f>
        <v>1056</v>
      </c>
      <c r="AS36" s="75">
        <f>AS12+AS20</f>
        <v>1041</v>
      </c>
      <c r="AT36" s="68">
        <f>AU36-AS36-AR36-AQ36</f>
        <v>940</v>
      </c>
      <c r="AU36" s="63">
        <f>AU12+AU20</f>
        <v>4060</v>
      </c>
      <c r="AV36" s="75">
        <f>AV12+AV20</f>
        <v>994</v>
      </c>
      <c r="AW36" s="75">
        <f>AW12+AW20</f>
        <v>997</v>
      </c>
      <c r="AX36" s="75">
        <f>AX12+AX20</f>
        <v>980</v>
      </c>
      <c r="AY36" s="68">
        <f>AZ36-AX36-AW36-AV36</f>
        <v>854</v>
      </c>
      <c r="AZ36" s="63">
        <v>3825</v>
      </c>
      <c r="BA36" s="75">
        <v>987</v>
      </c>
      <c r="BB36" s="75">
        <v>908</v>
      </c>
      <c r="BC36" s="75">
        <v>976</v>
      </c>
      <c r="BD36" s="182">
        <v>-1230</v>
      </c>
      <c r="BE36" s="63">
        <v>1641</v>
      </c>
      <c r="BF36" s="75">
        <v>977</v>
      </c>
      <c r="BG36" s="75">
        <v>384</v>
      </c>
      <c r="BH36" s="75">
        <v>940</v>
      </c>
      <c r="BI36" s="182">
        <v>600</v>
      </c>
      <c r="BJ36" s="63">
        <v>2901</v>
      </c>
      <c r="BK36" s="75">
        <v>918</v>
      </c>
    </row>
    <row r="37" spans="1:63" ht="10.15" customHeight="1">
      <c r="A37" s="69" t="s">
        <v>7</v>
      </c>
      <c r="B37" s="23"/>
      <c r="C37" s="70"/>
      <c r="D37" s="70">
        <f>D36/C36-1</f>
        <v>0.12289395441030715</v>
      </c>
      <c r="E37" s="70">
        <f>E36/D36-1</f>
        <v>6.1782877316858276E-3</v>
      </c>
      <c r="F37" s="70">
        <f>F36/E36-1</f>
        <v>-0.28421052631578947</v>
      </c>
      <c r="G37" s="23"/>
      <c r="H37" s="70">
        <f>H36/F36-1</f>
        <v>0.43382352941176472</v>
      </c>
      <c r="I37" s="70">
        <f>I36/H36-1</f>
        <v>2.1367521367521292E-2</v>
      </c>
      <c r="J37" s="70">
        <f>J36/I36-1</f>
        <v>3.4309623430962333E-2</v>
      </c>
      <c r="K37" s="70">
        <f>K36/J36-1</f>
        <v>-0.30744336569579289</v>
      </c>
      <c r="L37" s="23"/>
      <c r="M37" s="70">
        <f>M36/K36-1</f>
        <v>0.42172897196261672</v>
      </c>
      <c r="N37" s="70">
        <f>N36/M36-1</f>
        <v>9.9424815119145471E-2</v>
      </c>
      <c r="O37" s="70">
        <f>O36/N36-1</f>
        <v>-6.7264573991031584E-3</v>
      </c>
      <c r="P37" s="70">
        <f>P36/O36-1</f>
        <v>-4.5146726862302478E-2</v>
      </c>
      <c r="Q37" s="23"/>
      <c r="R37" s="70">
        <f>R36/P36-1</f>
        <v>-0.21197793538219067</v>
      </c>
      <c r="S37" s="70">
        <f>S36/R36-1</f>
        <v>0.28299999999999992</v>
      </c>
      <c r="T37" s="70">
        <f>T36/S36-1</f>
        <v>1.4029618082618933E-2</v>
      </c>
      <c r="U37" s="70">
        <f>U36/T36-1</f>
        <v>-0.18063028439661799</v>
      </c>
      <c r="V37" s="23"/>
      <c r="W37" s="70">
        <f>W36/U36-1</f>
        <v>0.13320825515947465</v>
      </c>
      <c r="X37" s="70">
        <f>X36/W36-1</f>
        <v>-8.6092715231788075E-2</v>
      </c>
      <c r="Y37" s="70">
        <f>Y36/X36-1</f>
        <v>-7.0652173913043459E-2</v>
      </c>
      <c r="Z37" s="70">
        <f>Z36/Y36-1</f>
        <v>0.11013645224171542</v>
      </c>
      <c r="AA37" s="23"/>
      <c r="AB37" s="70">
        <f>AB36/Z36-1</f>
        <v>-4.3898156277436318E-2</v>
      </c>
      <c r="AC37" s="70">
        <f>AC36/AB36-1</f>
        <v>-1.7447199265381075E-2</v>
      </c>
      <c r="AD37" s="70">
        <f>AD36/AC36-1</f>
        <v>-1.8691588785046731E-2</v>
      </c>
      <c r="AE37" s="70">
        <f>AE36/AD36-1</f>
        <v>-0.12285714285714289</v>
      </c>
      <c r="AF37" s="23"/>
      <c r="AG37" s="70">
        <f>AG36/AE36-1</f>
        <v>8.7947882736156391E-2</v>
      </c>
      <c r="AH37" s="70">
        <f>AH36/AG36-1</f>
        <v>0.54990019960079839</v>
      </c>
      <c r="AI37" s="70">
        <f>AI36/AH36-1</f>
        <v>-0.35737282678686411</v>
      </c>
      <c r="AJ37" s="70">
        <f>AJ36/AI36-1</f>
        <v>-4.4088176352705455E-2</v>
      </c>
      <c r="AK37" s="23"/>
      <c r="AL37" s="70">
        <f>AL36/AJ36-1</f>
        <v>-1.0482180293500676E-3</v>
      </c>
      <c r="AM37" s="70">
        <f>AM36/AL36-1</f>
        <v>0.3064008394543547</v>
      </c>
      <c r="AN37" s="70">
        <f>AN36/AM36-1</f>
        <v>-0.10923694779116466</v>
      </c>
      <c r="AO37" s="70">
        <f>AO36/AN36-1</f>
        <v>-0.14607754733994593</v>
      </c>
      <c r="AP37" s="23"/>
      <c r="AQ37" s="70">
        <f>AQ36/AO36-1</f>
        <v>8.0253431890179527E-2</v>
      </c>
      <c r="AR37" s="70">
        <f>AR36/AQ36-1</f>
        <v>3.2258064516129004E-2</v>
      </c>
      <c r="AS37" s="70">
        <f>AS36/AR36-1</f>
        <v>-1.4204545454545414E-2</v>
      </c>
      <c r="AT37" s="70">
        <f>AT36/AS36-1</f>
        <v>-9.7022094140249759E-2</v>
      </c>
      <c r="AU37" s="23"/>
      <c r="AV37" s="70">
        <f>AV36/AT36-1</f>
        <v>5.7446808510638325E-2</v>
      </c>
      <c r="AW37" s="70">
        <f>AW36/AV36-1</f>
        <v>3.0181086519114331E-3</v>
      </c>
      <c r="AX37" s="70">
        <f>AX36/AW36-1</f>
        <v>-1.7051153460381108E-2</v>
      </c>
      <c r="AY37" s="70">
        <f>AY36/AX36-1</f>
        <v>-0.12857142857142856</v>
      </c>
      <c r="AZ37" s="23"/>
      <c r="BA37" s="70">
        <v>0.15573770491803285</v>
      </c>
      <c r="BB37" s="70">
        <v>-8.0040526849037508E-2</v>
      </c>
      <c r="BC37" s="70">
        <v>7.4889867841409608E-2</v>
      </c>
      <c r="BD37" s="83" t="s">
        <v>39</v>
      </c>
      <c r="BE37" s="23"/>
      <c r="BF37" s="83" t="s">
        <v>39</v>
      </c>
      <c r="BG37" s="70">
        <v>-0.60696008188331629</v>
      </c>
      <c r="BH37" s="70">
        <v>1.4479166666666665</v>
      </c>
      <c r="BI37" s="70">
        <v>-0.36170212765957444</v>
      </c>
      <c r="BJ37" s="23"/>
      <c r="BK37" s="70">
        <v>0.53</v>
      </c>
    </row>
    <row r="38" spans="1:63" ht="10.15" customHeight="1">
      <c r="A38" s="69" t="s">
        <v>8</v>
      </c>
      <c r="B38" s="23"/>
      <c r="C38" s="71"/>
      <c r="D38" s="71"/>
      <c r="E38" s="71"/>
      <c r="F38" s="71"/>
      <c r="G38" s="23">
        <f t="shared" ref="G38:AL38" si="83">G36/B36-1</f>
        <v>6.9973890339425582E-2</v>
      </c>
      <c r="H38" s="71">
        <f t="shared" si="83"/>
        <v>0.15956392467789882</v>
      </c>
      <c r="I38" s="71">
        <f t="shared" si="83"/>
        <v>5.4721977052074156E-2</v>
      </c>
      <c r="J38" s="71">
        <f t="shared" si="83"/>
        <v>8.4210526315789513E-2</v>
      </c>
      <c r="K38" s="71">
        <f t="shared" si="83"/>
        <v>4.9019607843137303E-2</v>
      </c>
      <c r="L38" s="23">
        <f t="shared" si="83"/>
        <v>8.7603709126403029E-2</v>
      </c>
      <c r="M38" s="71">
        <f t="shared" si="83"/>
        <v>4.017094017094025E-2</v>
      </c>
      <c r="N38" s="71">
        <f t="shared" si="83"/>
        <v>0.11966527196652721</v>
      </c>
      <c r="O38" s="71">
        <f t="shared" si="83"/>
        <v>7.5242718446602019E-2</v>
      </c>
      <c r="P38" s="71">
        <f t="shared" si="83"/>
        <v>0.48247663551401865</v>
      </c>
      <c r="Q38" s="23">
        <f t="shared" si="83"/>
        <v>0.15615885124523232</v>
      </c>
      <c r="R38" s="71">
        <f t="shared" si="83"/>
        <v>-0.17830731306491376</v>
      </c>
      <c r="S38" s="71">
        <f t="shared" si="83"/>
        <v>-4.1106128550074783E-2</v>
      </c>
      <c r="T38" s="71">
        <f t="shared" si="83"/>
        <v>-2.1068472535741178E-2</v>
      </c>
      <c r="U38" s="71">
        <f t="shared" si="83"/>
        <v>-0.1599684791174153</v>
      </c>
      <c r="V38" s="23">
        <f t="shared" si="83"/>
        <v>-9.7613040947021168E-2</v>
      </c>
      <c r="W38" s="71">
        <f t="shared" si="83"/>
        <v>0.20799999999999996</v>
      </c>
      <c r="X38" s="71">
        <f t="shared" si="83"/>
        <v>-0.13951675759937643</v>
      </c>
      <c r="Y38" s="71">
        <f t="shared" si="83"/>
        <v>-0.21137586471944658</v>
      </c>
      <c r="Z38" s="71">
        <f t="shared" si="83"/>
        <v>6.8480300187617305E-2</v>
      </c>
      <c r="AA38" s="23">
        <f t="shared" si="83"/>
        <v>-3.7204301075268842E-2</v>
      </c>
      <c r="AB38" s="71">
        <f t="shared" si="83"/>
        <v>-9.8509933774834413E-2</v>
      </c>
      <c r="AC38" s="71">
        <f t="shared" si="83"/>
        <v>-3.0797101449275388E-2</v>
      </c>
      <c r="AD38" s="71">
        <f t="shared" si="83"/>
        <v>2.3391812865497075E-2</v>
      </c>
      <c r="AE38" s="71">
        <f t="shared" si="83"/>
        <v>-0.19139596136962245</v>
      </c>
      <c r="AF38" s="23">
        <f t="shared" si="83"/>
        <v>-7.7507259325441114E-2</v>
      </c>
      <c r="AG38" s="71">
        <f t="shared" si="83"/>
        <v>-7.9889807162534465E-2</v>
      </c>
      <c r="AH38" s="71">
        <f t="shared" si="83"/>
        <v>0.45140186915887859</v>
      </c>
      <c r="AI38" s="71">
        <f t="shared" si="83"/>
        <v>-4.9523809523809526E-2</v>
      </c>
      <c r="AJ38" s="71">
        <f t="shared" si="83"/>
        <v>3.5830618892508159E-2</v>
      </c>
      <c r="AK38" s="23">
        <f t="shared" si="83"/>
        <v>9.1283292978208141E-2</v>
      </c>
      <c r="AL38" s="71">
        <f t="shared" si="83"/>
        <v>-4.8902195608782395E-2</v>
      </c>
      <c r="AM38" s="71">
        <f t="shared" ref="AM38:AY38" si="84">AM36/AH36-1</f>
        <v>-0.1983258209916291</v>
      </c>
      <c r="AN38" s="71">
        <f t="shared" si="84"/>
        <v>0.11122244488977961</v>
      </c>
      <c r="AO38" s="71">
        <f t="shared" si="84"/>
        <v>-7.3375262054506951E-3</v>
      </c>
      <c r="AP38" s="23">
        <f t="shared" si="84"/>
        <v>-5.6134901264699333E-2</v>
      </c>
      <c r="AQ38" s="71">
        <f t="shared" si="84"/>
        <v>7.3452256033578189E-2</v>
      </c>
      <c r="AR38" s="71">
        <f t="shared" si="84"/>
        <v>-0.15180722891566267</v>
      </c>
      <c r="AS38" s="71">
        <f t="shared" si="84"/>
        <v>-6.131650135256983E-2</v>
      </c>
      <c r="AT38" s="71">
        <f t="shared" si="84"/>
        <v>-7.3917634635691787E-3</v>
      </c>
      <c r="AU38" s="23">
        <f t="shared" si="84"/>
        <v>-4.5604137282557633E-2</v>
      </c>
      <c r="AV38" s="71">
        <f t="shared" si="84"/>
        <v>-2.8347996089931549E-2</v>
      </c>
      <c r="AW38" s="71">
        <f t="shared" si="84"/>
        <v>-5.5871212121212155E-2</v>
      </c>
      <c r="AX38" s="71">
        <f t="shared" si="84"/>
        <v>-5.8597502401536938E-2</v>
      </c>
      <c r="AY38" s="71">
        <f t="shared" si="84"/>
        <v>-9.1489361702127625E-2</v>
      </c>
      <c r="AZ38" s="23">
        <v>-5.7881773399014791E-2</v>
      </c>
      <c r="BA38" s="71">
        <v>-7.0422535211267512E-3</v>
      </c>
      <c r="BB38" s="71">
        <v>-8.9267803410230662E-2</v>
      </c>
      <c r="BC38" s="71">
        <v>-4.0816326530612734E-3</v>
      </c>
      <c r="BD38" s="83" t="s">
        <v>39</v>
      </c>
      <c r="BE38" s="23">
        <v>-0.5709803921568628</v>
      </c>
      <c r="BF38" s="71">
        <v>-1.0131712259371817E-2</v>
      </c>
      <c r="BG38" s="71">
        <v>-0.5770925110132159</v>
      </c>
      <c r="BH38" s="71">
        <v>-3.688524590163933E-2</v>
      </c>
      <c r="BI38" s="83" t="s">
        <v>39</v>
      </c>
      <c r="BJ38" s="23">
        <v>0.76782449725776969</v>
      </c>
      <c r="BK38" s="71">
        <v>-6.0388945752302914E-2</v>
      </c>
    </row>
    <row r="39" spans="1:63" ht="24">
      <c r="A39" s="87" t="s">
        <v>262</v>
      </c>
      <c r="B39" s="174">
        <f>B36+B18</f>
        <v>3869</v>
      </c>
      <c r="C39" s="71"/>
      <c r="D39" s="71"/>
      <c r="E39" s="71"/>
      <c r="F39" s="71"/>
      <c r="G39" s="174">
        <f>G36+G18</f>
        <v>4194</v>
      </c>
      <c r="H39" s="75"/>
      <c r="I39" s="75"/>
      <c r="J39" s="75"/>
      <c r="K39" s="182"/>
      <c r="L39" s="174">
        <f>L36+L18</f>
        <v>4658</v>
      </c>
      <c r="M39" s="75">
        <f t="shared" ref="M39:O39" si="85">M36+M18</f>
        <v>1192</v>
      </c>
      <c r="N39" s="75">
        <f t="shared" si="85"/>
        <v>1268</v>
      </c>
      <c r="O39" s="75">
        <f t="shared" si="85"/>
        <v>1270</v>
      </c>
      <c r="P39" s="182">
        <f>Q39-O39-N39-M39</f>
        <v>1207</v>
      </c>
      <c r="Q39" s="174">
        <f>Q36+Q18</f>
        <v>4937</v>
      </c>
      <c r="R39" s="75">
        <f t="shared" ref="R39:T39" si="86">R36+R18</f>
        <v>1250</v>
      </c>
      <c r="S39" s="75">
        <f t="shared" si="86"/>
        <v>1221</v>
      </c>
      <c r="T39" s="75">
        <f t="shared" si="86"/>
        <v>1195</v>
      </c>
      <c r="U39" s="182">
        <f>V39-T39-S39-R39</f>
        <v>1123</v>
      </c>
      <c r="V39" s="174">
        <f>V36+V18</f>
        <v>4789</v>
      </c>
      <c r="W39" s="75">
        <f t="shared" ref="W39:Y39" si="87">W36+W18</f>
        <v>1185</v>
      </c>
      <c r="X39" s="75">
        <f t="shared" si="87"/>
        <v>1121</v>
      </c>
      <c r="Y39" s="75">
        <f t="shared" si="87"/>
        <v>1020</v>
      </c>
      <c r="Z39" s="182">
        <f>AA39-Y39-X39-W39</f>
        <v>1137</v>
      </c>
      <c r="AA39" s="174">
        <f>AA36+AA18</f>
        <v>4463</v>
      </c>
      <c r="AB39" s="75">
        <f t="shared" ref="AB39:AD39" si="88">AB36+AB18</f>
        <v>1017</v>
      </c>
      <c r="AC39" s="75">
        <f t="shared" si="88"/>
        <v>1052</v>
      </c>
      <c r="AD39" s="75">
        <f t="shared" si="88"/>
        <v>1044</v>
      </c>
      <c r="AE39" s="182">
        <f>AF39-AD39-AC39-AB39</f>
        <v>1002</v>
      </c>
      <c r="AF39" s="174">
        <f>AF36+AF18</f>
        <v>4115</v>
      </c>
      <c r="AG39" s="75">
        <f t="shared" ref="AG39:AI39" si="89">AG36+AG18</f>
        <v>994</v>
      </c>
      <c r="AH39" s="75">
        <f t="shared" si="89"/>
        <v>985</v>
      </c>
      <c r="AI39" s="75">
        <f t="shared" si="89"/>
        <v>973</v>
      </c>
      <c r="AJ39" s="182">
        <f>AK39-AI39-AH39-AG39</f>
        <v>969</v>
      </c>
      <c r="AK39" s="174">
        <f>AK36+AK18</f>
        <v>3921</v>
      </c>
      <c r="AL39" s="75">
        <f t="shared" ref="AL39:AN39" si="90">AL36+AL18</f>
        <v>936</v>
      </c>
      <c r="AM39" s="75">
        <f t="shared" si="90"/>
        <v>1104</v>
      </c>
      <c r="AN39" s="75">
        <f t="shared" si="90"/>
        <v>1096</v>
      </c>
      <c r="AO39" s="182">
        <f>AP39-AN39-AM39-AL39</f>
        <v>1023</v>
      </c>
      <c r="AP39" s="174">
        <f>AP36+AP18</f>
        <v>4159</v>
      </c>
      <c r="AQ39" s="75">
        <f t="shared" ref="AQ39:AS39" si="91">AQ36+AQ18</f>
        <v>1028</v>
      </c>
      <c r="AR39" s="75">
        <f t="shared" si="91"/>
        <v>1044</v>
      </c>
      <c r="AS39" s="75">
        <f t="shared" si="91"/>
        <v>1015</v>
      </c>
      <c r="AT39" s="182">
        <f>AU39-AS39-AR39-AQ39</f>
        <v>973</v>
      </c>
      <c r="AU39" s="174">
        <f>AU36+AU18</f>
        <v>4060</v>
      </c>
      <c r="AV39" s="75">
        <f t="shared" ref="AV39:AX39" si="92">AV36+AV18</f>
        <v>990</v>
      </c>
      <c r="AW39" s="75">
        <f t="shared" si="92"/>
        <v>996</v>
      </c>
      <c r="AX39" s="75">
        <f t="shared" si="92"/>
        <v>957</v>
      </c>
      <c r="AY39" s="182">
        <f>AZ39-AX39-AW39-AV39</f>
        <v>950</v>
      </c>
      <c r="AZ39" s="174">
        <v>3893</v>
      </c>
      <c r="BA39" s="75">
        <v>1010</v>
      </c>
      <c r="BB39" s="75">
        <v>992</v>
      </c>
      <c r="BC39" s="75">
        <v>992</v>
      </c>
      <c r="BD39" s="182">
        <v>956</v>
      </c>
      <c r="BE39" s="174">
        <v>3950</v>
      </c>
      <c r="BF39" s="75">
        <v>952</v>
      </c>
      <c r="BG39" s="75">
        <v>921</v>
      </c>
      <c r="BH39" s="75">
        <v>979</v>
      </c>
      <c r="BI39" s="182">
        <v>881</v>
      </c>
      <c r="BJ39" s="174">
        <v>3733</v>
      </c>
      <c r="BK39" s="75">
        <v>915</v>
      </c>
    </row>
    <row r="40" spans="1:63" ht="10.9" customHeight="1">
      <c r="A40" s="69" t="s">
        <v>7</v>
      </c>
      <c r="B40" s="23"/>
      <c r="C40" s="71"/>
      <c r="D40" s="71"/>
      <c r="E40" s="71"/>
      <c r="F40" s="71"/>
      <c r="G40" s="23"/>
      <c r="H40" s="71"/>
      <c r="I40" s="71"/>
      <c r="J40" s="71"/>
      <c r="K40" s="71"/>
      <c r="L40" s="23"/>
      <c r="M40" s="71"/>
      <c r="N40" s="71"/>
      <c r="O40" s="71"/>
      <c r="P40" s="71"/>
      <c r="Q40" s="23"/>
      <c r="R40" s="71"/>
      <c r="S40" s="71"/>
      <c r="T40" s="71"/>
      <c r="U40" s="71"/>
      <c r="V40" s="23"/>
      <c r="W40" s="71"/>
      <c r="X40" s="71"/>
      <c r="Y40" s="71"/>
      <c r="Z40" s="71"/>
      <c r="AA40" s="23"/>
      <c r="AB40" s="71"/>
      <c r="AC40" s="71"/>
      <c r="AD40" s="71"/>
      <c r="AE40" s="71"/>
      <c r="AF40" s="23"/>
      <c r="AG40" s="70">
        <f>AG39/AE39-1</f>
        <v>-7.9840319361277334E-3</v>
      </c>
      <c r="AH40" s="70">
        <f>AH39/AG39-1</f>
        <v>-9.0543259557344102E-3</v>
      </c>
      <c r="AI40" s="70">
        <f>AI39/AH39-1</f>
        <v>-1.2182741116751217E-2</v>
      </c>
      <c r="AJ40" s="70">
        <f>AJ39/AI39-1</f>
        <v>-4.1109969167523186E-3</v>
      </c>
      <c r="AK40" s="23"/>
      <c r="AL40" s="70">
        <f>AL39/AJ39-1</f>
        <v>-3.4055727554179516E-2</v>
      </c>
      <c r="AM40" s="70">
        <f>AM39/AL39-1</f>
        <v>0.17948717948717952</v>
      </c>
      <c r="AN40" s="70">
        <f>AN39/AM39-1</f>
        <v>-7.2463768115942351E-3</v>
      </c>
      <c r="AO40" s="70">
        <f>AO39/AN39-1</f>
        <v>-6.6605839416058354E-2</v>
      </c>
      <c r="AP40" s="23"/>
      <c r="AQ40" s="70">
        <f>AQ39/AO39-1</f>
        <v>4.8875855327468187E-3</v>
      </c>
      <c r="AR40" s="70">
        <f>AR39/AQ39-1</f>
        <v>1.5564202334630295E-2</v>
      </c>
      <c r="AS40" s="70">
        <f>AS39/AR39-1</f>
        <v>-2.777777777777779E-2</v>
      </c>
      <c r="AT40" s="70">
        <f>AT39/AS39-1</f>
        <v>-4.1379310344827558E-2</v>
      </c>
      <c r="AU40" s="23"/>
      <c r="AV40" s="70">
        <f>AV39/AT39-1</f>
        <v>1.747173689619741E-2</v>
      </c>
      <c r="AW40" s="70">
        <f>AW39/AV39-1</f>
        <v>6.0606060606060996E-3</v>
      </c>
      <c r="AX40" s="70">
        <f>AX39/AW39-1</f>
        <v>-3.9156626506024139E-2</v>
      </c>
      <c r="AY40" s="70">
        <f>AY39/AX39-1</f>
        <v>-7.3145245559038674E-3</v>
      </c>
      <c r="AZ40" s="23"/>
      <c r="BA40" s="70">
        <v>6.315789473684208E-2</v>
      </c>
      <c r="BB40" s="70">
        <v>-1.7821782178217838E-2</v>
      </c>
      <c r="BC40" s="70">
        <v>0</v>
      </c>
      <c r="BD40" s="83" t="s">
        <v>39</v>
      </c>
      <c r="BE40" s="23"/>
      <c r="BF40" s="70">
        <v>-4.1841004184099972E-3</v>
      </c>
      <c r="BG40" s="70">
        <v>-3.2563025210084029E-2</v>
      </c>
      <c r="BH40" s="70">
        <v>6.297502714440828E-2</v>
      </c>
      <c r="BI40" s="70">
        <v>-0.10010214504596526</v>
      </c>
      <c r="BJ40" s="23"/>
      <c r="BK40" s="70">
        <v>3.8592508513053403E-2</v>
      </c>
    </row>
    <row r="41" spans="1:63" ht="10.9" customHeight="1">
      <c r="A41" s="69" t="s">
        <v>8</v>
      </c>
      <c r="B41" s="23"/>
      <c r="C41" s="71"/>
      <c r="D41" s="71"/>
      <c r="E41" s="71"/>
      <c r="F41" s="71"/>
      <c r="G41" s="23"/>
      <c r="H41" s="71"/>
      <c r="I41" s="71"/>
      <c r="J41" s="71"/>
      <c r="K41" s="71"/>
      <c r="L41" s="23"/>
      <c r="M41" s="71"/>
      <c r="N41" s="71"/>
      <c r="O41" s="71"/>
      <c r="P41" s="71"/>
      <c r="Q41" s="23"/>
      <c r="R41" s="71"/>
      <c r="S41" s="71"/>
      <c r="T41" s="71"/>
      <c r="U41" s="71"/>
      <c r="V41" s="23"/>
      <c r="W41" s="71"/>
      <c r="X41" s="71"/>
      <c r="Y41" s="71"/>
      <c r="Z41" s="71"/>
      <c r="AA41" s="23"/>
      <c r="AB41" s="71"/>
      <c r="AC41" s="71"/>
      <c r="AD41" s="71"/>
      <c r="AE41" s="71"/>
      <c r="AF41" s="23">
        <f t="shared" ref="AF41:AY41" si="93">AF39/AA39-1</f>
        <v>-7.7974456643513324E-2</v>
      </c>
      <c r="AG41" s="71">
        <f t="shared" si="93"/>
        <v>-2.2615535889872196E-2</v>
      </c>
      <c r="AH41" s="71">
        <f t="shared" si="93"/>
        <v>-6.3688212927756616E-2</v>
      </c>
      <c r="AI41" s="71">
        <f t="shared" si="93"/>
        <v>-6.8007662835249061E-2</v>
      </c>
      <c r="AJ41" s="71">
        <f t="shared" si="93"/>
        <v>-3.2934131736526928E-2</v>
      </c>
      <c r="AK41" s="23">
        <f t="shared" si="93"/>
        <v>-4.7144592952612419E-2</v>
      </c>
      <c r="AL41" s="71">
        <f t="shared" si="93"/>
        <v>-5.835010060362178E-2</v>
      </c>
      <c r="AM41" s="71">
        <f t="shared" si="93"/>
        <v>0.12081218274111682</v>
      </c>
      <c r="AN41" s="71">
        <f t="shared" si="93"/>
        <v>0.12641315519013352</v>
      </c>
      <c r="AO41" s="71">
        <f t="shared" si="93"/>
        <v>5.5727554179566541E-2</v>
      </c>
      <c r="AP41" s="23">
        <f t="shared" si="93"/>
        <v>6.0698801326192209E-2</v>
      </c>
      <c r="AQ41" s="71">
        <f t="shared" si="93"/>
        <v>9.8290598290598385E-2</v>
      </c>
      <c r="AR41" s="71">
        <f t="shared" si="93"/>
        <v>-5.4347826086956541E-2</v>
      </c>
      <c r="AS41" s="71">
        <f t="shared" si="93"/>
        <v>-7.3905109489051046E-2</v>
      </c>
      <c r="AT41" s="71">
        <f t="shared" si="93"/>
        <v>-4.8875855327468187E-2</v>
      </c>
      <c r="AU41" s="23">
        <f t="shared" si="93"/>
        <v>-2.3803798990141845E-2</v>
      </c>
      <c r="AV41" s="71">
        <f t="shared" si="93"/>
        <v>-3.6964980544747061E-2</v>
      </c>
      <c r="AW41" s="71">
        <f t="shared" si="93"/>
        <v>-4.5977011494252928E-2</v>
      </c>
      <c r="AX41" s="71">
        <f t="shared" si="93"/>
        <v>-5.7142857142857162E-2</v>
      </c>
      <c r="AY41" s="71">
        <f t="shared" si="93"/>
        <v>-2.3638232271325776E-2</v>
      </c>
      <c r="AZ41" s="23">
        <v>-4.1133004926108385E-2</v>
      </c>
      <c r="BA41" s="71">
        <v>2.020202020202011E-2</v>
      </c>
      <c r="BB41" s="71">
        <v>-4.0160642570281624E-3</v>
      </c>
      <c r="BC41" s="71">
        <v>3.6572622779519337E-2</v>
      </c>
      <c r="BD41" s="83" t="s">
        <v>39</v>
      </c>
      <c r="BE41" s="23">
        <v>1.4641664526072518E-2</v>
      </c>
      <c r="BF41" s="71">
        <v>-5.7425742574257477E-2</v>
      </c>
      <c r="BG41" s="71">
        <v>-7.1572580645161255E-2</v>
      </c>
      <c r="BH41" s="71">
        <v>-1.310483870967738E-2</v>
      </c>
      <c r="BI41" s="71">
        <v>-7.8451882845188337E-2</v>
      </c>
      <c r="BJ41" s="23">
        <v>-5.493670886075952E-2</v>
      </c>
      <c r="BK41" s="71">
        <v>-3.8865546218487368E-2</v>
      </c>
    </row>
    <row r="42" spans="1:63" hidden="1">
      <c r="A42" s="67" t="s">
        <v>29</v>
      </c>
      <c r="B42" s="62">
        <v>0.51</v>
      </c>
      <c r="C42" s="72">
        <v>0.15</v>
      </c>
      <c r="D42" s="72">
        <v>0.17</v>
      </c>
      <c r="E42" s="72">
        <v>0.18</v>
      </c>
      <c r="F42" s="73">
        <f>G42-E42-D42-C42</f>
        <v>0.12000000000000002</v>
      </c>
      <c r="G42" s="62">
        <v>0.62</v>
      </c>
      <c r="H42" s="72">
        <v>0.23</v>
      </c>
      <c r="I42" s="72">
        <v>0.21</v>
      </c>
      <c r="J42" s="72">
        <v>0.79</v>
      </c>
      <c r="K42" s="73">
        <f>L42-J42-I42-H42</f>
        <v>0.13701858018376797</v>
      </c>
      <c r="L42" s="62">
        <f>3602772/2635496</f>
        <v>1.367018580183768</v>
      </c>
      <c r="M42" s="72">
        <f>641531016/2663427674</f>
        <v>0.24086669304465597</v>
      </c>
      <c r="N42" s="72">
        <v>0.24</v>
      </c>
      <c r="O42" s="73">
        <v>0.22</v>
      </c>
      <c r="P42" s="72">
        <v>0.21</v>
      </c>
      <c r="Q42" s="62">
        <v>0.91</v>
      </c>
      <c r="R42" s="72">
        <v>0.15</v>
      </c>
      <c r="S42" s="72">
        <v>0.22</v>
      </c>
      <c r="T42" s="73">
        <v>0.2</v>
      </c>
      <c r="U42" s="73">
        <f>V42-T42-S42-R42</f>
        <v>0.20000000000000009</v>
      </c>
      <c r="V42" s="62">
        <v>0.77</v>
      </c>
      <c r="W42" s="72">
        <v>0.21</v>
      </c>
      <c r="X42" s="72">
        <v>0.15</v>
      </c>
      <c r="Y42" s="72">
        <v>0.13</v>
      </c>
      <c r="Z42" s="73">
        <f>AA42-Y42-X42-W42</f>
        <v>0.19000000000000003</v>
      </c>
      <c r="AA42" s="62">
        <v>0.68</v>
      </c>
      <c r="AB42" s="72">
        <v>0.18</v>
      </c>
      <c r="AC42" s="72">
        <v>0.17</v>
      </c>
      <c r="AD42" s="72">
        <v>0.16</v>
      </c>
      <c r="AE42" s="73">
        <v>0.13</v>
      </c>
      <c r="AF42" s="62">
        <v>0.65</v>
      </c>
      <c r="AG42" s="72">
        <v>0.17</v>
      </c>
      <c r="AH42" s="72">
        <v>0.3</v>
      </c>
      <c r="AI42" s="72">
        <v>0.16</v>
      </c>
      <c r="AJ42" s="73">
        <v>0.15</v>
      </c>
      <c r="AK42" s="62">
        <v>0.77</v>
      </c>
      <c r="AL42" s="72">
        <v>0.17</v>
      </c>
      <c r="AM42" s="72">
        <v>0.18</v>
      </c>
      <c r="AN42" s="72">
        <v>0.15</v>
      </c>
      <c r="AO42" s="73">
        <f>AP42-AN42-AM42-AL42</f>
        <v>0.12999999999999998</v>
      </c>
      <c r="AP42" s="62">
        <v>0.63</v>
      </c>
      <c r="AQ42" s="72">
        <v>0.1</v>
      </c>
      <c r="AR42" s="72">
        <v>0.14000000000000001</v>
      </c>
      <c r="AS42" s="72">
        <v>0.14000000000000001</v>
      </c>
      <c r="AT42" s="73">
        <f>AU42-AS42-AR42-AQ42</f>
        <v>6.9999999999999979E-2</v>
      </c>
      <c r="AU42" s="62">
        <v>0.45</v>
      </c>
      <c r="AV42" s="72"/>
      <c r="AW42" s="72"/>
      <c r="AX42" s="72"/>
      <c r="AY42" s="73"/>
      <c r="AZ42" s="62"/>
      <c r="BA42" s="72"/>
      <c r="BB42" s="72"/>
      <c r="BC42" s="72"/>
      <c r="BD42" s="73"/>
      <c r="BE42" s="62"/>
      <c r="BF42" s="72"/>
      <c r="BG42" s="72"/>
      <c r="BH42" s="72"/>
      <c r="BI42" s="73"/>
      <c r="BJ42" s="62"/>
      <c r="BK42" s="72"/>
    </row>
    <row r="43" spans="1:63" hidden="1">
      <c r="A43" s="67" t="s">
        <v>248</v>
      </c>
      <c r="B43" s="62"/>
      <c r="C43" s="72"/>
      <c r="D43" s="72"/>
      <c r="E43" s="72"/>
      <c r="F43" s="73"/>
      <c r="G43" s="62"/>
      <c r="H43" s="72"/>
      <c r="I43" s="72"/>
      <c r="J43" s="72"/>
      <c r="K43" s="73"/>
      <c r="L43" s="62"/>
      <c r="M43" s="72"/>
      <c r="N43" s="72"/>
      <c r="O43" s="73"/>
      <c r="P43" s="72"/>
      <c r="Q43" s="62"/>
      <c r="R43" s="72"/>
      <c r="S43" s="72"/>
      <c r="T43" s="73"/>
      <c r="U43" s="73"/>
      <c r="V43" s="62"/>
      <c r="W43" s="72"/>
      <c r="X43" s="72"/>
      <c r="Y43" s="72"/>
      <c r="Z43" s="73"/>
      <c r="AA43" s="62"/>
      <c r="AB43" s="72"/>
      <c r="AC43" s="72"/>
      <c r="AD43" s="72"/>
      <c r="AE43" s="73"/>
      <c r="AF43" s="62"/>
      <c r="AG43" s="72"/>
      <c r="AH43" s="72"/>
      <c r="AI43" s="72"/>
      <c r="AJ43" s="73"/>
      <c r="AK43" s="62"/>
      <c r="AL43" s="72"/>
      <c r="AM43" s="72"/>
      <c r="AN43" s="72"/>
      <c r="AO43" s="73"/>
      <c r="AP43" s="62"/>
      <c r="AQ43" s="72"/>
      <c r="AR43" s="72"/>
      <c r="AS43" s="72"/>
      <c r="AT43" s="73"/>
      <c r="AU43" s="62"/>
      <c r="AV43" s="72"/>
      <c r="AW43" s="72"/>
      <c r="AX43" s="72"/>
      <c r="AY43" s="73"/>
      <c r="AZ43" s="62"/>
      <c r="BA43" s="75">
        <v>885</v>
      </c>
      <c r="BB43" s="75">
        <v>806</v>
      </c>
      <c r="BC43" s="75">
        <v>871</v>
      </c>
      <c r="BD43" s="182">
        <v>-1333</v>
      </c>
      <c r="BE43" s="63">
        <v>1229</v>
      </c>
      <c r="BF43" s="75"/>
      <c r="BG43" s="75"/>
      <c r="BH43" s="75"/>
      <c r="BI43" s="182">
        <v>2489</v>
      </c>
      <c r="BJ43" s="63">
        <v>2489</v>
      </c>
      <c r="BK43" s="75"/>
    </row>
    <row r="44" spans="1:63" ht="9.6" hidden="1" customHeight="1">
      <c r="A44" s="67"/>
      <c r="B44" s="62"/>
      <c r="C44" s="72"/>
      <c r="D44" s="72"/>
      <c r="E44" s="72"/>
      <c r="F44" s="73"/>
      <c r="G44" s="62"/>
      <c r="H44" s="72"/>
      <c r="I44" s="72"/>
      <c r="J44" s="72"/>
      <c r="K44" s="73"/>
      <c r="L44" s="62"/>
      <c r="M44" s="72"/>
      <c r="N44" s="72"/>
      <c r="O44" s="73"/>
      <c r="P44" s="72"/>
      <c r="Q44" s="62"/>
      <c r="R44" s="72"/>
      <c r="S44" s="72"/>
      <c r="T44" s="73"/>
      <c r="U44" s="73"/>
      <c r="V44" s="62"/>
      <c r="W44" s="72"/>
      <c r="X44" s="72"/>
      <c r="Y44" s="72"/>
      <c r="Z44" s="73"/>
      <c r="AA44" s="62"/>
      <c r="AB44" s="72"/>
      <c r="AC44" s="72"/>
      <c r="AD44" s="72"/>
      <c r="AE44" s="73"/>
      <c r="AF44" s="62"/>
      <c r="AG44" s="72"/>
      <c r="AH44" s="72"/>
      <c r="AI44" s="72"/>
      <c r="AJ44" s="73"/>
      <c r="AK44" s="62"/>
      <c r="AL44" s="72"/>
      <c r="AM44" s="72"/>
      <c r="AN44" s="72"/>
      <c r="AO44" s="73"/>
      <c r="AP44" s="62"/>
      <c r="AQ44" s="72"/>
      <c r="AR44" s="72"/>
      <c r="AS44" s="72"/>
      <c r="AT44" s="73"/>
      <c r="AU44" s="62"/>
      <c r="AV44" s="72"/>
      <c r="AW44" s="72"/>
      <c r="AX44" s="72"/>
      <c r="AY44" s="73"/>
      <c r="AZ44" s="62"/>
      <c r="BA44" s="75"/>
      <c r="BB44" s="72"/>
      <c r="BC44" s="72"/>
      <c r="BD44" s="73"/>
      <c r="BE44" s="62"/>
      <c r="BF44" s="75"/>
      <c r="BG44" s="75"/>
      <c r="BH44" s="75"/>
      <c r="BI44" s="73"/>
      <c r="BJ44" s="62"/>
      <c r="BK44" s="75"/>
    </row>
    <row r="45" spans="1:63" ht="25.5" hidden="1">
      <c r="A45" s="87" t="s">
        <v>259</v>
      </c>
      <c r="B45" s="63">
        <f>B36+B18</f>
        <v>3869</v>
      </c>
      <c r="C45" s="78" t="s">
        <v>48</v>
      </c>
      <c r="D45" s="78" t="s">
        <v>48</v>
      </c>
      <c r="E45" s="78" t="s">
        <v>48</v>
      </c>
      <c r="F45" s="78" t="s">
        <v>48</v>
      </c>
      <c r="G45" s="63">
        <f>G36+G18</f>
        <v>4194</v>
      </c>
      <c r="H45" s="78" t="s">
        <v>48</v>
      </c>
      <c r="I45" s="78" t="s">
        <v>48</v>
      </c>
      <c r="J45" s="78" t="s">
        <v>48</v>
      </c>
      <c r="K45" s="78" t="s">
        <v>48</v>
      </c>
      <c r="L45" s="63">
        <f>L36+L18</f>
        <v>4658</v>
      </c>
      <c r="M45" s="68">
        <f>M36+M18</f>
        <v>1192</v>
      </c>
      <c r="N45" s="68">
        <f>N36+N18</f>
        <v>1268</v>
      </c>
      <c r="O45" s="68">
        <f>O36+O18</f>
        <v>1270</v>
      </c>
      <c r="P45" s="68">
        <f>Q45-O45-N45-M45</f>
        <v>1207</v>
      </c>
      <c r="Q45" s="63">
        <f>Q36+Q18</f>
        <v>4937</v>
      </c>
      <c r="R45" s="68">
        <f>R36+R18</f>
        <v>1250</v>
      </c>
      <c r="S45" s="68">
        <f>S36+S18</f>
        <v>1221</v>
      </c>
      <c r="T45" s="68">
        <f>T36+T18</f>
        <v>1195</v>
      </c>
      <c r="U45" s="68">
        <f>V45-T45-S45-R45</f>
        <v>1123</v>
      </c>
      <c r="V45" s="63">
        <f>V36+V18</f>
        <v>4789</v>
      </c>
      <c r="W45" s="68">
        <f>W36+W18</f>
        <v>1185</v>
      </c>
      <c r="X45" s="68">
        <f>X36+X18</f>
        <v>1121</v>
      </c>
      <c r="Y45" s="68">
        <f>Y36+Y18</f>
        <v>1020</v>
      </c>
      <c r="Z45" s="68">
        <f>AA45-Y45-X45-W45</f>
        <v>1137</v>
      </c>
      <c r="AA45" s="63">
        <f>AA36+AA18</f>
        <v>4463</v>
      </c>
      <c r="AB45" s="68">
        <f>AB36+AB18</f>
        <v>1017</v>
      </c>
      <c r="AC45" s="68">
        <f>AC36+AC18</f>
        <v>1052</v>
      </c>
      <c r="AD45" s="68">
        <f>AD36+AD18</f>
        <v>1044</v>
      </c>
      <c r="AE45" s="68">
        <f>AF45-AD45-AC45-AB45</f>
        <v>1002</v>
      </c>
      <c r="AF45" s="63">
        <f>AF36+AF18</f>
        <v>4115</v>
      </c>
      <c r="AG45" s="68">
        <f>AG36+AG18</f>
        <v>994</v>
      </c>
      <c r="AH45" s="68">
        <f>AH36+AH18</f>
        <v>985</v>
      </c>
      <c r="AI45" s="68">
        <f>AI36+AI18</f>
        <v>973</v>
      </c>
      <c r="AJ45" s="68">
        <f>AK45-AI45-AH45-AG45</f>
        <v>969</v>
      </c>
      <c r="AK45" s="63">
        <f>AK36+AK18</f>
        <v>3921</v>
      </c>
      <c r="AL45" s="68">
        <f>AL36+AL18</f>
        <v>936</v>
      </c>
      <c r="AM45" s="68">
        <f>AM36+AM18</f>
        <v>1104</v>
      </c>
      <c r="AN45" s="68">
        <f>AN36+AN18</f>
        <v>1096</v>
      </c>
      <c r="AO45" s="68">
        <f>AP45-AN45-AM45-AL45</f>
        <v>1023</v>
      </c>
      <c r="AP45" s="63">
        <f>AP36+AP18</f>
        <v>4159</v>
      </c>
      <c r="AQ45" s="68">
        <f>AQ36+AQ18</f>
        <v>1028</v>
      </c>
      <c r="AR45" s="68">
        <f>AR36+AR18</f>
        <v>1044</v>
      </c>
      <c r="AS45" s="68">
        <f>AS36+AS18</f>
        <v>1015</v>
      </c>
      <c r="AT45" s="68">
        <f>AU45-AS45-AR45-AQ45</f>
        <v>973</v>
      </c>
      <c r="AU45" s="63">
        <f>AU36+AU18</f>
        <v>4060</v>
      </c>
      <c r="AV45" s="68">
        <f>AV36+AV18</f>
        <v>990</v>
      </c>
      <c r="AW45" s="68">
        <f>AW36+AW18</f>
        <v>996</v>
      </c>
      <c r="AX45" s="68">
        <f>AX36+AX18</f>
        <v>957</v>
      </c>
      <c r="AY45" s="68">
        <f>AZ45-AX45-AW45-AV45</f>
        <v>950</v>
      </c>
      <c r="AZ45" s="63">
        <v>3893</v>
      </c>
      <c r="BA45" s="68">
        <v>908</v>
      </c>
      <c r="BB45" s="68">
        <v>890</v>
      </c>
      <c r="BC45" s="68">
        <v>877</v>
      </c>
      <c r="BD45" s="182">
        <v>863</v>
      </c>
      <c r="BE45" s="63">
        <v>3538</v>
      </c>
      <c r="BF45" s="68"/>
      <c r="BG45" s="68"/>
      <c r="BH45" s="68"/>
      <c r="BI45" s="182">
        <v>3321</v>
      </c>
      <c r="BJ45" s="63">
        <v>3321</v>
      </c>
      <c r="BK45" s="68"/>
    </row>
    <row r="46" spans="1:63" hidden="1">
      <c r="A46" s="69" t="s">
        <v>7</v>
      </c>
      <c r="B46" s="23"/>
      <c r="C46" s="70"/>
      <c r="D46" s="70"/>
      <c r="E46" s="70"/>
      <c r="F46" s="70"/>
      <c r="G46" s="23"/>
      <c r="H46" s="70"/>
      <c r="I46" s="70"/>
      <c r="J46" s="70"/>
      <c r="K46" s="70"/>
      <c r="L46" s="23"/>
      <c r="M46" s="70"/>
      <c r="N46" s="70">
        <f>N45/M45-1</f>
        <v>6.3758389261745041E-2</v>
      </c>
      <c r="O46" s="70">
        <f>O45/N45-1</f>
        <v>1.577287066246047E-3</v>
      </c>
      <c r="P46" s="70">
        <f>P45/O45-1</f>
        <v>-4.9606299212598404E-2</v>
      </c>
      <c r="Q46" s="23"/>
      <c r="R46" s="70">
        <f>R45/P45-1</f>
        <v>3.5625517812758911E-2</v>
      </c>
      <c r="S46" s="70">
        <f>S45/R45-1</f>
        <v>-2.3199999999999998E-2</v>
      </c>
      <c r="T46" s="70">
        <f>T45/S45-1</f>
        <v>-2.1294021294021248E-2</v>
      </c>
      <c r="U46" s="70">
        <f>U45/T45-1</f>
        <v>-6.025104602510456E-2</v>
      </c>
      <c r="V46" s="23"/>
      <c r="W46" s="70">
        <f>W45/U45-1</f>
        <v>5.5209260908281488E-2</v>
      </c>
      <c r="X46" s="70">
        <f>X45/W45-1</f>
        <v>-5.400843881856543E-2</v>
      </c>
      <c r="Y46" s="70">
        <f>Y45/X45-1</f>
        <v>-9.0098126672613743E-2</v>
      </c>
      <c r="Z46" s="70">
        <f>Z45/Y45-1</f>
        <v>0.11470588235294121</v>
      </c>
      <c r="AA46" s="23"/>
      <c r="AB46" s="70">
        <f>AB45/Z45-1</f>
        <v>-0.10554089709762537</v>
      </c>
      <c r="AC46" s="70">
        <f>AC45/AB45-1</f>
        <v>3.4414945919370776E-2</v>
      </c>
      <c r="AD46" s="70">
        <f>AD45/AC45-1</f>
        <v>-7.6045627376425395E-3</v>
      </c>
      <c r="AE46" s="70">
        <f>AE45/AD45-1</f>
        <v>-4.0229885057471271E-2</v>
      </c>
      <c r="AF46" s="23"/>
      <c r="AG46" s="70">
        <f>AG45/AE45-1</f>
        <v>-7.9840319361277334E-3</v>
      </c>
      <c r="AH46" s="70">
        <f>AH45/AG45-1</f>
        <v>-9.0543259557344102E-3</v>
      </c>
      <c r="AI46" s="70">
        <f>AI45/AH45-1</f>
        <v>-1.2182741116751217E-2</v>
      </c>
      <c r="AJ46" s="70">
        <f>AJ45/AI45-1</f>
        <v>-4.1109969167523186E-3</v>
      </c>
      <c r="AK46" s="23"/>
      <c r="AL46" s="70">
        <f>AL45/AJ45-1</f>
        <v>-3.4055727554179516E-2</v>
      </c>
      <c r="AM46" s="70">
        <f>AM45/AL45-1</f>
        <v>0.17948717948717952</v>
      </c>
      <c r="AN46" s="70">
        <f>AN45/AM45-1</f>
        <v>-7.2463768115942351E-3</v>
      </c>
      <c r="AO46" s="70">
        <f>AO45/AN45-1</f>
        <v>-6.6605839416058354E-2</v>
      </c>
      <c r="AP46" s="23"/>
      <c r="AQ46" s="70">
        <f>AQ45/AO45-1</f>
        <v>4.8875855327468187E-3</v>
      </c>
      <c r="AR46" s="70">
        <f>AR45/AQ45-1</f>
        <v>1.5564202334630295E-2</v>
      </c>
      <c r="AS46" s="70">
        <f>AS45/AR45-1</f>
        <v>-2.777777777777779E-2</v>
      </c>
      <c r="AT46" s="70">
        <f>AT45/AS45-1</f>
        <v>-4.1379310344827558E-2</v>
      </c>
      <c r="AU46" s="23"/>
      <c r="AV46" s="70">
        <f>AV45/AT45-1</f>
        <v>1.747173689619741E-2</v>
      </c>
      <c r="AW46" s="70">
        <f>AW45/AV45-1</f>
        <v>6.0606060606060996E-3</v>
      </c>
      <c r="AX46" s="70">
        <f>AX45/AW45-1</f>
        <v>-3.9156626506024139E-2</v>
      </c>
      <c r="AY46" s="70">
        <f>AY45/AX45-1</f>
        <v>-7.3145245559038674E-3</v>
      </c>
      <c r="AZ46" s="23"/>
      <c r="BA46" s="70">
        <v>-4.4210526315789478E-2</v>
      </c>
      <c r="BB46" s="70">
        <v>-1.982378854625555E-2</v>
      </c>
      <c r="BC46" s="70">
        <v>-1.4606741573033655E-2</v>
      </c>
      <c r="BD46" s="70">
        <v>-1.5963511972634015E-2</v>
      </c>
      <c r="BE46" s="23"/>
      <c r="BF46" s="70"/>
      <c r="BG46" s="70"/>
      <c r="BH46" s="70"/>
      <c r="BI46" s="70" t="e">
        <v>#DIV/0!</v>
      </c>
      <c r="BJ46" s="23"/>
      <c r="BK46" s="70"/>
    </row>
    <row r="47" spans="1:63" hidden="1">
      <c r="A47" s="69" t="s">
        <v>8</v>
      </c>
      <c r="B47" s="23"/>
      <c r="C47" s="71"/>
      <c r="D47" s="71"/>
      <c r="E47" s="71"/>
      <c r="F47" s="71"/>
      <c r="G47" s="23">
        <f t="shared" ref="G47" si="94">G45/B45-1</f>
        <v>8.400103385887836E-2</v>
      </c>
      <c r="H47" s="71"/>
      <c r="I47" s="71"/>
      <c r="J47" s="71"/>
      <c r="K47" s="71"/>
      <c r="L47" s="23">
        <f t="shared" ref="L47" si="95">L45/G45-1</f>
        <v>0.11063423938960426</v>
      </c>
      <c r="M47" s="71"/>
      <c r="N47" s="71"/>
      <c r="O47" s="71"/>
      <c r="P47" s="71"/>
      <c r="Q47" s="23">
        <f t="shared" ref="Q47" si="96">Q45/L45-1</f>
        <v>5.9896951481322347E-2</v>
      </c>
      <c r="R47" s="71">
        <f t="shared" ref="R47" si="97">R45/M45-1</f>
        <v>4.8657718120805438E-2</v>
      </c>
      <c r="S47" s="71">
        <f t="shared" ref="S47" si="98">S45/N45-1</f>
        <v>-3.7066246056782326E-2</v>
      </c>
      <c r="T47" s="71">
        <f t="shared" ref="T47" si="99">T45/O45-1</f>
        <v>-5.9055118110236227E-2</v>
      </c>
      <c r="U47" s="71">
        <f t="shared" ref="U47:V47" si="100">U45/P45-1</f>
        <v>-6.9594034797017423E-2</v>
      </c>
      <c r="V47" s="23">
        <f t="shared" si="100"/>
        <v>-2.9977719262710201E-2</v>
      </c>
      <c r="W47" s="71">
        <f t="shared" ref="W47" si="101">W45/R45-1</f>
        <v>-5.2000000000000046E-2</v>
      </c>
      <c r="X47" s="71">
        <f t="shared" ref="X47" si="102">X45/S45-1</f>
        <v>-8.1900081900081911E-2</v>
      </c>
      <c r="Y47" s="71">
        <f t="shared" ref="Y47" si="103">Y45/T45-1</f>
        <v>-0.14644351464435146</v>
      </c>
      <c r="Z47" s="71">
        <f t="shared" ref="Z47:AA47" si="104">Z45/U45-1</f>
        <v>1.2466607301869992E-2</v>
      </c>
      <c r="AA47" s="23">
        <f t="shared" si="104"/>
        <v>-6.8072666527458803E-2</v>
      </c>
      <c r="AB47" s="71">
        <f t="shared" ref="AB47" si="105">AB45/W45-1</f>
        <v>-0.14177215189873416</v>
      </c>
      <c r="AC47" s="71">
        <f t="shared" ref="AC47" si="106">AC45/X45-1</f>
        <v>-6.15521855486173E-2</v>
      </c>
      <c r="AD47" s="71">
        <f t="shared" ref="AD47" si="107">AD45/Y45-1</f>
        <v>2.3529411764705799E-2</v>
      </c>
      <c r="AE47" s="71">
        <f t="shared" ref="AE47:AF47" si="108">AE45/Z45-1</f>
        <v>-0.1187335092348285</v>
      </c>
      <c r="AF47" s="23">
        <f t="shared" si="108"/>
        <v>-7.7974456643513324E-2</v>
      </c>
      <c r="AG47" s="71">
        <f t="shared" ref="AG47" si="109">AG45/AB45-1</f>
        <v>-2.2615535889872196E-2</v>
      </c>
      <c r="AH47" s="71">
        <f t="shared" ref="AH47" si="110">AH45/AC45-1</f>
        <v>-6.3688212927756616E-2</v>
      </c>
      <c r="AI47" s="71">
        <f t="shared" ref="AI47" si="111">AI45/AD45-1</f>
        <v>-6.8007662835249061E-2</v>
      </c>
      <c r="AJ47" s="71">
        <f t="shared" ref="AJ47:AK47" si="112">AJ45/AE45-1</f>
        <v>-3.2934131736526928E-2</v>
      </c>
      <c r="AK47" s="23">
        <f t="shared" si="112"/>
        <v>-4.7144592952612419E-2</v>
      </c>
      <c r="AL47" s="71">
        <f t="shared" ref="AL47" si="113">AL45/AG45-1</f>
        <v>-5.835010060362178E-2</v>
      </c>
      <c r="AM47" s="71">
        <f t="shared" ref="AM47" si="114">AM45/AH45-1</f>
        <v>0.12081218274111682</v>
      </c>
      <c r="AN47" s="71">
        <f t="shared" ref="AN47:AP47" si="115">AN45/AI45-1</f>
        <v>0.12641315519013352</v>
      </c>
      <c r="AO47" s="71">
        <f t="shared" si="115"/>
        <v>5.5727554179566541E-2</v>
      </c>
      <c r="AP47" s="23">
        <f t="shared" si="115"/>
        <v>6.0698801326192209E-2</v>
      </c>
      <c r="AQ47" s="71">
        <f t="shared" ref="AQ47" si="116">AQ45/AL45-1</f>
        <v>9.8290598290598385E-2</v>
      </c>
      <c r="AR47" s="71">
        <f t="shared" ref="AR47" si="117">AR45/AM45-1</f>
        <v>-5.4347826086956541E-2</v>
      </c>
      <c r="AS47" s="71">
        <f t="shared" ref="AS47" si="118">AS45/AN45-1</f>
        <v>-7.3905109489051046E-2</v>
      </c>
      <c r="AT47" s="71">
        <f t="shared" ref="AT47" si="119">AT45/AO45-1</f>
        <v>-4.8875855327468187E-2</v>
      </c>
      <c r="AU47" s="23">
        <f t="shared" ref="AU47:AX47" si="120">AU45/AP45-1</f>
        <v>-2.3803798990141845E-2</v>
      </c>
      <c r="AV47" s="71">
        <f t="shared" si="120"/>
        <v>-3.6964980544747061E-2</v>
      </c>
      <c r="AW47" s="71">
        <f t="shared" si="120"/>
        <v>-4.5977011494252928E-2</v>
      </c>
      <c r="AX47" s="71">
        <f t="shared" si="120"/>
        <v>-5.7142857142857162E-2</v>
      </c>
      <c r="AY47" s="71">
        <f t="shared" ref="AY47" si="121">AY45/AT45-1</f>
        <v>-2.3638232271325776E-2</v>
      </c>
      <c r="AZ47" s="23">
        <v>-4.1133004926108385E-2</v>
      </c>
      <c r="BA47" s="71">
        <v>-8.2828282828282807E-2</v>
      </c>
      <c r="BB47" s="71">
        <v>-0.10642570281124497</v>
      </c>
      <c r="BC47" s="71">
        <v>-8.3594566353187072E-2</v>
      </c>
      <c r="BD47" s="71">
        <v>-9.1578947368421093E-2</v>
      </c>
      <c r="BE47" s="23">
        <v>-9.1189314153609091E-2</v>
      </c>
      <c r="BF47" s="71"/>
      <c r="BG47" s="71"/>
      <c r="BH47" s="71"/>
      <c r="BI47" s="71">
        <v>2.8482039397450754</v>
      </c>
      <c r="BJ47" s="23">
        <v>-6.1334087054833231E-2</v>
      </c>
      <c r="BK47" s="71"/>
    </row>
    <row r="48" spans="1:63" ht="12.6" customHeight="1">
      <c r="A48" s="67" t="s">
        <v>30</v>
      </c>
      <c r="B48" s="62">
        <v>0.5</v>
      </c>
      <c r="C48" s="72">
        <v>0.15</v>
      </c>
      <c r="D48" s="72">
        <v>0.17</v>
      </c>
      <c r="E48" s="72">
        <v>0.17</v>
      </c>
      <c r="F48" s="73">
        <f>G48-E48-D48-C48</f>
        <v>0.11999999999999991</v>
      </c>
      <c r="G48" s="62">
        <v>0.61</v>
      </c>
      <c r="H48" s="72">
        <v>0.23</v>
      </c>
      <c r="I48" s="72">
        <v>0.2</v>
      </c>
      <c r="J48" s="72">
        <v>0.79</v>
      </c>
      <c r="K48" s="73">
        <f>L48-J48-I48-H48</f>
        <v>0.12209418646577999</v>
      </c>
      <c r="L48" s="62">
        <f>3603029/2684632</f>
        <v>1.34209418646578</v>
      </c>
      <c r="M48" s="72">
        <f>648428321/2709646450</f>
        <v>0.23930366302954395</v>
      </c>
      <c r="N48" s="72">
        <v>0.24</v>
      </c>
      <c r="O48" s="72">
        <v>0.22</v>
      </c>
      <c r="P48" s="72">
        <v>0.21</v>
      </c>
      <c r="Q48" s="62">
        <v>0.9</v>
      </c>
      <c r="R48" s="72">
        <v>0.15</v>
      </c>
      <c r="S48" s="72">
        <v>0.21</v>
      </c>
      <c r="T48" s="72">
        <v>0.2</v>
      </c>
      <c r="U48" s="73">
        <v>0.19</v>
      </c>
      <c r="V48" s="62">
        <v>0.76</v>
      </c>
      <c r="W48" s="72">
        <v>0.21</v>
      </c>
      <c r="X48" s="72">
        <v>0.15</v>
      </c>
      <c r="Y48" s="72">
        <v>0.13</v>
      </c>
      <c r="Z48" s="73">
        <f>AA48-Y48-X48-W48</f>
        <v>0.19000000000000003</v>
      </c>
      <c r="AA48" s="62">
        <v>0.68</v>
      </c>
      <c r="AB48" s="72">
        <v>0.18</v>
      </c>
      <c r="AC48" s="72">
        <v>0.17</v>
      </c>
      <c r="AD48" s="72">
        <v>0.16</v>
      </c>
      <c r="AE48" s="73">
        <v>0.13</v>
      </c>
      <c r="AF48" s="62">
        <v>0.65</v>
      </c>
      <c r="AG48" s="72">
        <v>0.17</v>
      </c>
      <c r="AH48" s="72">
        <v>0.28999999999999998</v>
      </c>
      <c r="AI48" s="72">
        <v>0.16</v>
      </c>
      <c r="AJ48" s="73">
        <f>AK48-AI48-AH48-AG48</f>
        <v>0.15</v>
      </c>
      <c r="AK48" s="62">
        <v>0.77</v>
      </c>
      <c r="AL48" s="72">
        <v>0.17</v>
      </c>
      <c r="AM48" s="72">
        <v>0.17</v>
      </c>
      <c r="AN48" s="72">
        <v>0.15</v>
      </c>
      <c r="AO48" s="73">
        <f>AP48-AN48-AM48-AL48</f>
        <v>0.12999999999999992</v>
      </c>
      <c r="AP48" s="62">
        <v>0.62</v>
      </c>
      <c r="AQ48" s="72">
        <v>0.1</v>
      </c>
      <c r="AR48" s="72">
        <v>0.14000000000000001</v>
      </c>
      <c r="AS48" s="72">
        <v>0.14000000000000001</v>
      </c>
      <c r="AT48" s="73">
        <f>AU48-AS48-AR48-AQ48</f>
        <v>6.9999999999999979E-2</v>
      </c>
      <c r="AU48" s="62">
        <v>0.45</v>
      </c>
      <c r="AV48" s="72">
        <v>0.13</v>
      </c>
      <c r="AW48" s="72">
        <v>0.13</v>
      </c>
      <c r="AX48" s="72">
        <v>0.12</v>
      </c>
      <c r="AY48" s="73">
        <f>AZ48-AX48-AW48-AV48</f>
        <v>7.0000000000000007E-2</v>
      </c>
      <c r="AZ48" s="62">
        <v>0.45</v>
      </c>
      <c r="BA48" s="72">
        <v>0.09</v>
      </c>
      <c r="BB48" s="72">
        <v>7.0000000000000007E-2</v>
      </c>
      <c r="BC48" s="72">
        <v>0.08</v>
      </c>
      <c r="BD48" s="222">
        <v>-0.63</v>
      </c>
      <c r="BE48" s="223">
        <v>-0.39</v>
      </c>
      <c r="BF48" s="72">
        <v>0.11</v>
      </c>
      <c r="BG48" s="222">
        <v>-0.56999999999999995</v>
      </c>
      <c r="BH48" s="222">
        <v>7.0000000000000007E-2</v>
      </c>
      <c r="BI48" s="222">
        <v>0</v>
      </c>
      <c r="BJ48" s="223">
        <v>-0.39</v>
      </c>
      <c r="BK48" s="72">
        <v>0.12</v>
      </c>
    </row>
    <row r="49" spans="1:63" hidden="1">
      <c r="A49" s="67" t="s">
        <v>32</v>
      </c>
      <c r="B49" s="63">
        <v>2605</v>
      </c>
      <c r="C49" s="74">
        <v>2605</v>
      </c>
      <c r="D49" s="74">
        <v>2605</v>
      </c>
      <c r="E49" s="74">
        <v>2605</v>
      </c>
      <c r="F49" s="74">
        <v>2605</v>
      </c>
      <c r="G49" s="63">
        <v>2605</v>
      </c>
      <c r="H49" s="74">
        <v>2605.6669999999999</v>
      </c>
      <c r="I49" s="74">
        <v>2616.77</v>
      </c>
      <c r="J49" s="74">
        <v>2628</v>
      </c>
      <c r="K49" s="74">
        <v>2657</v>
      </c>
      <c r="L49" s="63">
        <v>2635.4960000000001</v>
      </c>
      <c r="M49" s="74">
        <v>2663.427674</v>
      </c>
      <c r="N49" s="74">
        <v>2675.2443619999999</v>
      </c>
      <c r="O49" s="74">
        <v>2676.893313</v>
      </c>
      <c r="P49" s="74">
        <v>2682</v>
      </c>
      <c r="Q49" s="63">
        <v>2675</v>
      </c>
      <c r="R49" s="74">
        <v>2688.2785669999998</v>
      </c>
      <c r="S49" s="74">
        <v>2699</v>
      </c>
      <c r="T49" s="74">
        <v>2706</v>
      </c>
      <c r="U49" s="74">
        <v>2711</v>
      </c>
      <c r="V49" s="63">
        <v>2713.6277439999999</v>
      </c>
      <c r="W49" s="74">
        <v>2715</v>
      </c>
      <c r="X49" s="74">
        <v>2718</v>
      </c>
      <c r="Y49" s="74">
        <v>2721</v>
      </c>
      <c r="Z49" s="74">
        <v>2725</v>
      </c>
      <c r="AA49" s="63">
        <v>2720</v>
      </c>
      <c r="AB49" s="74">
        <v>2725</v>
      </c>
      <c r="AC49" s="74">
        <v>2725</v>
      </c>
      <c r="AD49" s="74">
        <v>2726</v>
      </c>
      <c r="AE49" s="74">
        <v>2729</v>
      </c>
      <c r="AF49" s="63">
        <v>2726</v>
      </c>
      <c r="AG49" s="74">
        <v>2731</v>
      </c>
      <c r="AH49" s="74">
        <v>2734</v>
      </c>
      <c r="AI49" s="74">
        <v>2737</v>
      </c>
      <c r="AJ49" s="74">
        <v>2741</v>
      </c>
      <c r="AK49" s="63">
        <v>2736</v>
      </c>
      <c r="AL49" s="74">
        <v>2744</v>
      </c>
      <c r="AM49" s="74">
        <v>2746</v>
      </c>
      <c r="AN49" s="74">
        <v>2750</v>
      </c>
      <c r="AO49" s="74">
        <v>2758</v>
      </c>
      <c r="AP49" s="63">
        <v>2750</v>
      </c>
      <c r="AQ49" s="74">
        <v>2765</v>
      </c>
      <c r="AR49" s="74">
        <v>2765</v>
      </c>
      <c r="AS49" s="74">
        <v>2765</v>
      </c>
      <c r="AT49" s="74">
        <v>2765</v>
      </c>
      <c r="AU49" s="63">
        <v>2765</v>
      </c>
      <c r="AV49" s="74">
        <v>2765</v>
      </c>
      <c r="AW49" s="74">
        <v>2765</v>
      </c>
      <c r="AX49" s="74">
        <v>2765</v>
      </c>
      <c r="AY49" s="74">
        <v>2765</v>
      </c>
      <c r="AZ49" s="63"/>
      <c r="BA49" s="74"/>
      <c r="BB49" s="74"/>
      <c r="BC49" s="74"/>
      <c r="BD49" s="74"/>
      <c r="BE49" s="63"/>
      <c r="BF49" s="74"/>
      <c r="BG49" s="74"/>
      <c r="BH49" s="74"/>
      <c r="BI49" s="74"/>
      <c r="BJ49" s="63"/>
      <c r="BK49" s="74"/>
    </row>
    <row r="50" spans="1:63">
      <c r="A50" s="67" t="s">
        <v>31</v>
      </c>
      <c r="B50" s="63">
        <v>2641</v>
      </c>
      <c r="C50" s="74">
        <v>2649</v>
      </c>
      <c r="D50" s="74">
        <v>2648</v>
      </c>
      <c r="E50" s="74">
        <v>2648</v>
      </c>
      <c r="F50" s="74">
        <v>2649</v>
      </c>
      <c r="G50" s="63">
        <v>2649</v>
      </c>
      <c r="H50" s="74">
        <v>2646.8939999999998</v>
      </c>
      <c r="I50" s="74">
        <v>2666.6060000000002</v>
      </c>
      <c r="J50" s="74">
        <v>2677</v>
      </c>
      <c r="K50" s="74">
        <v>2702</v>
      </c>
      <c r="L50" s="63">
        <v>2684.6320000000001</v>
      </c>
      <c r="M50" s="74">
        <v>2709.6464500000002</v>
      </c>
      <c r="N50" s="74">
        <v>2712.6721739999998</v>
      </c>
      <c r="O50" s="74">
        <v>2714.7899040000002</v>
      </c>
      <c r="P50" s="74">
        <v>2720</v>
      </c>
      <c r="Q50" s="63">
        <v>2717</v>
      </c>
      <c r="R50" s="74">
        <v>2722.1732790000001</v>
      </c>
      <c r="S50" s="74">
        <v>2724</v>
      </c>
      <c r="T50" s="74">
        <v>2724</v>
      </c>
      <c r="U50" s="74">
        <v>2725</v>
      </c>
      <c r="V50" s="63">
        <v>2725</v>
      </c>
      <c r="W50" s="74">
        <v>2727</v>
      </c>
      <c r="X50" s="74">
        <v>2724</v>
      </c>
      <c r="Y50" s="74">
        <v>2725</v>
      </c>
      <c r="Z50" s="74">
        <v>2726</v>
      </c>
      <c r="AA50" s="63">
        <v>2726</v>
      </c>
      <c r="AB50" s="74">
        <v>2726</v>
      </c>
      <c r="AC50" s="74">
        <v>2729</v>
      </c>
      <c r="AD50" s="74">
        <v>2743</v>
      </c>
      <c r="AE50" s="74">
        <v>2749</v>
      </c>
      <c r="AF50" s="63">
        <v>2741</v>
      </c>
      <c r="AG50" s="74">
        <v>2749</v>
      </c>
      <c r="AH50" s="74">
        <v>2752</v>
      </c>
      <c r="AI50" s="74">
        <v>2755</v>
      </c>
      <c r="AJ50" s="74">
        <v>2761</v>
      </c>
      <c r="AK50" s="63">
        <v>2755</v>
      </c>
      <c r="AL50" s="74">
        <v>2759</v>
      </c>
      <c r="AM50" s="74">
        <v>2759</v>
      </c>
      <c r="AN50" s="74">
        <v>2762</v>
      </c>
      <c r="AO50" s="74">
        <v>2764</v>
      </c>
      <c r="AP50" s="63">
        <v>2763</v>
      </c>
      <c r="AQ50" s="74">
        <v>2765</v>
      </c>
      <c r="AR50" s="74">
        <v>2765</v>
      </c>
      <c r="AS50" s="74">
        <v>2765</v>
      </c>
      <c r="AT50" s="74">
        <v>2765</v>
      </c>
      <c r="AU50" s="63">
        <v>2765</v>
      </c>
      <c r="AV50" s="74">
        <v>2765</v>
      </c>
      <c r="AW50" s="74">
        <v>2765</v>
      </c>
      <c r="AX50" s="74">
        <v>2765</v>
      </c>
      <c r="AY50" s="74">
        <v>2765</v>
      </c>
      <c r="AZ50" s="63">
        <v>2765</v>
      </c>
      <c r="BA50" s="74">
        <v>2765</v>
      </c>
      <c r="BB50" s="74">
        <v>2765</v>
      </c>
      <c r="BC50" s="74">
        <v>2765</v>
      </c>
      <c r="BD50" s="74">
        <v>2765</v>
      </c>
      <c r="BE50" s="63">
        <v>2765</v>
      </c>
      <c r="BF50" s="74">
        <v>2765</v>
      </c>
      <c r="BG50" s="74">
        <v>2765</v>
      </c>
      <c r="BH50" s="74">
        <v>2765</v>
      </c>
      <c r="BI50" s="74">
        <v>2765</v>
      </c>
      <c r="BJ50" s="63">
        <v>2765</v>
      </c>
      <c r="BK50" s="74">
        <v>2765</v>
      </c>
    </row>
    <row r="51" spans="1:63" ht="13.5" customHeight="1">
      <c r="A51" s="39" t="s">
        <v>129</v>
      </c>
      <c r="B51" s="39"/>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row>
    <row r="52" spans="1:63" ht="13.5" customHeight="1">
      <c r="A52" s="67" t="s">
        <v>273</v>
      </c>
      <c r="B52" s="63">
        <v>5075</v>
      </c>
      <c r="C52" s="78" t="s">
        <v>48</v>
      </c>
      <c r="D52" s="78" t="s">
        <v>48</v>
      </c>
      <c r="E52" s="78" t="s">
        <v>48</v>
      </c>
      <c r="F52" s="78" t="s">
        <v>48</v>
      </c>
      <c r="G52" s="63">
        <v>4660</v>
      </c>
      <c r="H52" s="116" t="s">
        <v>40</v>
      </c>
      <c r="I52" s="116" t="s">
        <v>40</v>
      </c>
      <c r="J52" s="116" t="s">
        <v>40</v>
      </c>
      <c r="K52" s="116" t="s">
        <v>40</v>
      </c>
      <c r="L52" s="63">
        <f>L55+L58+L61+L64+L67+L70+L73+ L76</f>
        <v>4871</v>
      </c>
      <c r="M52" s="68">
        <v>1218</v>
      </c>
      <c r="N52" s="68">
        <v>1224</v>
      </c>
      <c r="O52" s="68">
        <v>1271</v>
      </c>
      <c r="P52" s="68">
        <f>Q52-O52-N52-M52</f>
        <v>1313</v>
      </c>
      <c r="Q52" s="63">
        <f>Q55+Q58+Q61+Q64+Q67+Q70+Q73+ Q76</f>
        <v>5026</v>
      </c>
      <c r="R52" s="68">
        <v>1218</v>
      </c>
      <c r="S52" s="68">
        <v>1224</v>
      </c>
      <c r="T52" s="68">
        <v>1271</v>
      </c>
      <c r="U52" s="68">
        <f>V52-T52-S52-R52</f>
        <v>781</v>
      </c>
      <c r="V52" s="63">
        <f>V55+V58+V61+V64+V67+V70+V73+ V76</f>
        <v>4494</v>
      </c>
      <c r="W52" s="68">
        <v>1218</v>
      </c>
      <c r="X52" s="68">
        <v>1224</v>
      </c>
      <c r="Y52" s="68">
        <v>1271</v>
      </c>
      <c r="Z52" s="68">
        <f>AA52-Y52-X52-W52</f>
        <v>240</v>
      </c>
      <c r="AA52" s="63">
        <f>AA55+AA58+AA61+AA64+AA67+AA70+AA73+ AA76</f>
        <v>3953</v>
      </c>
      <c r="AB52" s="68">
        <v>1218</v>
      </c>
      <c r="AC52" s="68">
        <v>1224</v>
      </c>
      <c r="AD52" s="68">
        <v>1271</v>
      </c>
      <c r="AE52" s="68">
        <f>AF52-AD52-AC52-AB52</f>
        <v>-137</v>
      </c>
      <c r="AF52" s="63">
        <f>AF55+AF58+AF61+AF64+AF67+AF70+AF73+ AF76</f>
        <v>3576</v>
      </c>
      <c r="AG52" s="68">
        <v>1218</v>
      </c>
      <c r="AH52" s="68">
        <v>1224</v>
      </c>
      <c r="AI52" s="68">
        <v>1271</v>
      </c>
      <c r="AJ52" s="68">
        <f>AK52-AI52-AH52-AG52</f>
        <v>-347</v>
      </c>
      <c r="AK52" s="63">
        <f>AK55+AK58+AK61+AK64+AK67+AK70+AK73+ AK76</f>
        <v>3366</v>
      </c>
      <c r="AL52" s="68">
        <f>AL55+AL58+AL61+AL64+AL67+AL70+AL73</f>
        <v>799</v>
      </c>
      <c r="AM52" s="68">
        <f>AM55+AM58+AM61+AM64+AM67+AM70+AM73</f>
        <v>1002</v>
      </c>
      <c r="AN52" s="68">
        <f>AN55+AN58+AN61+AN64+AN67+AN70+AN73</f>
        <v>1000</v>
      </c>
      <c r="AO52" s="68">
        <f>AP52-AN52-AM52-AL52</f>
        <v>1068</v>
      </c>
      <c r="AP52" s="63">
        <f>AP55+AP58+AP61+AP64+AP67+AP70+AP73</f>
        <v>3869</v>
      </c>
      <c r="AQ52" s="68">
        <f>AQ55+AQ58+AQ61+AQ64+AQ67+AQ70+AQ73</f>
        <v>1018</v>
      </c>
      <c r="AR52" s="68">
        <f>AR55+AR58+AR61+AR64+AR67+AR70+AR73</f>
        <v>972</v>
      </c>
      <c r="AS52" s="68">
        <f>AS55+AS58+AS61+AS64+AS67+AS70+AS73</f>
        <v>994</v>
      </c>
      <c r="AT52" s="68">
        <f>AU52-AS52-AR52-AQ52</f>
        <v>1028</v>
      </c>
      <c r="AU52" s="63">
        <f>AU55+AU58+AU61+AU64+AU67+AU70+AU73</f>
        <v>4012</v>
      </c>
      <c r="AV52" s="68">
        <f>AV55+AV58+AV61+AV64+AV67+AV70+AV73</f>
        <v>959</v>
      </c>
      <c r="AW52" s="68">
        <f>AW55+AW58+AW61+AW64+AW67+AW70+AW73</f>
        <v>973</v>
      </c>
      <c r="AX52" s="68">
        <f>AX55+AX58+AX61+AX64+AX67+AX70+AX73</f>
        <v>956</v>
      </c>
      <c r="AY52" s="68">
        <f>AZ52-AX52-AW52-AV52</f>
        <v>1003</v>
      </c>
      <c r="AZ52" s="63">
        <v>3891</v>
      </c>
      <c r="BA52" s="68">
        <v>841</v>
      </c>
      <c r="BB52" s="68">
        <v>838</v>
      </c>
      <c r="BC52" s="68">
        <v>815</v>
      </c>
      <c r="BD52" s="68">
        <v>885</v>
      </c>
      <c r="BE52" s="63">
        <v>3379</v>
      </c>
      <c r="BF52" s="68">
        <v>812</v>
      </c>
      <c r="BG52" s="68">
        <v>814</v>
      </c>
      <c r="BH52" s="68">
        <v>794</v>
      </c>
      <c r="BI52" s="68">
        <v>843</v>
      </c>
      <c r="BJ52" s="63">
        <v>3263</v>
      </c>
      <c r="BK52" s="68">
        <v>793</v>
      </c>
    </row>
    <row r="53" spans="1:63" ht="10.5" customHeight="1">
      <c r="A53" s="69" t="s">
        <v>7</v>
      </c>
      <c r="B53" s="23"/>
      <c r="C53" s="71"/>
      <c r="D53" s="71"/>
      <c r="E53" s="71"/>
      <c r="F53" s="71"/>
      <c r="G53" s="23"/>
      <c r="H53" s="71"/>
      <c r="I53" s="71"/>
      <c r="J53" s="71"/>
      <c r="K53" s="71"/>
      <c r="L53" s="23"/>
      <c r="M53" s="71"/>
      <c r="N53" s="70">
        <f>N52/M52-1</f>
        <v>4.9261083743843415E-3</v>
      </c>
      <c r="O53" s="70">
        <f>O52/N52-1</f>
        <v>3.8398692810457602E-2</v>
      </c>
      <c r="P53" s="70">
        <f>P52/O52-1</f>
        <v>3.3044846577497955E-2</v>
      </c>
      <c r="Q53" s="23"/>
      <c r="R53" s="70">
        <f>R52/P52-1</f>
        <v>-7.2353389185072392E-2</v>
      </c>
      <c r="S53" s="70">
        <f>S52/R52-1</f>
        <v>4.9261083743843415E-3</v>
      </c>
      <c r="T53" s="70">
        <f>T52/S52-1</f>
        <v>3.8398692810457602E-2</v>
      </c>
      <c r="U53" s="70">
        <f>U52/T52-1</f>
        <v>-0.38552321007081036</v>
      </c>
      <c r="V53" s="23"/>
      <c r="W53" s="70">
        <f>W52/U52-1</f>
        <v>0.55953905249679892</v>
      </c>
      <c r="X53" s="70">
        <f>X52/W52-1</f>
        <v>4.9261083743843415E-3</v>
      </c>
      <c r="Y53" s="70">
        <f>Y52/X52-1</f>
        <v>3.8398692810457602E-2</v>
      </c>
      <c r="Z53" s="70">
        <f>Z52/Y52-1</f>
        <v>-0.8111723052714398</v>
      </c>
      <c r="AA53" s="23"/>
      <c r="AB53" s="70">
        <f>AB52/Z52-1</f>
        <v>4.0750000000000002</v>
      </c>
      <c r="AC53" s="70">
        <f>AC52/AB52-1</f>
        <v>4.9261083743843415E-3</v>
      </c>
      <c r="AD53" s="70">
        <f>AD52/AC52-1</f>
        <v>3.8398692810457602E-2</v>
      </c>
      <c r="AE53" s="70">
        <f>AE52/AD52-1</f>
        <v>-1.1077891424075532</v>
      </c>
      <c r="AF53" s="23"/>
      <c r="AG53" s="70">
        <f>AG52/AE52-1</f>
        <v>-9.89051094890511</v>
      </c>
      <c r="AH53" s="70">
        <f>AH52/AG52-1</f>
        <v>4.9261083743843415E-3</v>
      </c>
      <c r="AI53" s="70">
        <f>AI52/AH52-1</f>
        <v>3.8398692810457602E-2</v>
      </c>
      <c r="AJ53" s="70">
        <f>AJ52/AI52-1</f>
        <v>-1.2730133752950432</v>
      </c>
      <c r="AK53" s="23"/>
      <c r="AL53" s="70">
        <f>AL52/AJ52-1</f>
        <v>-3.3025936599423633</v>
      </c>
      <c r="AM53" s="70">
        <f>AM52/AL52-1</f>
        <v>0.25406758448060085</v>
      </c>
      <c r="AN53" s="70">
        <f>AN52/AM52-1</f>
        <v>-1.9960079840319889E-3</v>
      </c>
      <c r="AO53" s="70">
        <f>AO52/AN52-1</f>
        <v>6.800000000000006E-2</v>
      </c>
      <c r="AP53" s="23"/>
      <c r="AQ53" s="70">
        <f>AQ52/AO52-1</f>
        <v>-4.6816479400749067E-2</v>
      </c>
      <c r="AR53" s="70">
        <f>AR52/AQ52-1</f>
        <v>-4.5186640471512773E-2</v>
      </c>
      <c r="AS53" s="70">
        <f>AS52/AR52-1</f>
        <v>2.2633744855967031E-2</v>
      </c>
      <c r="AT53" s="70">
        <f>AT52/AS52-1</f>
        <v>3.4205231388329871E-2</v>
      </c>
      <c r="AU53" s="23"/>
      <c r="AV53" s="70">
        <f>AV52/AT52-1</f>
        <v>-6.7120622568093369E-2</v>
      </c>
      <c r="AW53" s="70">
        <f>AW52/AV52-1</f>
        <v>1.4598540145985384E-2</v>
      </c>
      <c r="AX53" s="70">
        <f>AX52/AW52-1</f>
        <v>-1.7471736896197299E-2</v>
      </c>
      <c r="AY53" s="70">
        <f>AY52/AX52-1</f>
        <v>4.9163179916317912E-2</v>
      </c>
      <c r="AZ53" s="23"/>
      <c r="BA53" s="70">
        <v>-0.16151545363908271</v>
      </c>
      <c r="BB53" s="70">
        <v>-3.5671819262782511E-3</v>
      </c>
      <c r="BC53" s="70">
        <v>-2.7446300715990413E-2</v>
      </c>
      <c r="BD53" s="70">
        <v>8.5889570552147187E-2</v>
      </c>
      <c r="BE53" s="23"/>
      <c r="BF53" s="70">
        <v>-8.2485875706214684E-2</v>
      </c>
      <c r="BG53" s="70">
        <v>2.4630541871921707E-3</v>
      </c>
      <c r="BH53" s="70">
        <v>-2.4570024570024551E-2</v>
      </c>
      <c r="BI53" s="70">
        <v>6.1712846347607098E-2</v>
      </c>
      <c r="BJ53" s="23"/>
      <c r="BK53" s="70">
        <v>-5.9311981020166105E-2</v>
      </c>
    </row>
    <row r="54" spans="1:63" ht="13.5" customHeight="1">
      <c r="A54" s="69" t="s">
        <v>8</v>
      </c>
      <c r="B54" s="23"/>
      <c r="C54" s="71"/>
      <c r="D54" s="71"/>
      <c r="E54" s="71"/>
      <c r="F54" s="71"/>
      <c r="G54" s="23">
        <f>G52/B52-1</f>
        <v>-8.1773399014778314E-2</v>
      </c>
      <c r="H54" s="71"/>
      <c r="I54" s="71"/>
      <c r="J54" s="71"/>
      <c r="K54" s="71"/>
      <c r="L54" s="23">
        <f>L52/G52-1</f>
        <v>4.5278969957081472E-2</v>
      </c>
      <c r="M54" s="71"/>
      <c r="N54" s="71"/>
      <c r="O54" s="71"/>
      <c r="P54" s="71"/>
      <c r="Q54" s="23">
        <f t="shared" ref="Q54:AA54" si="122">Q52/L52-1</f>
        <v>3.1820981318004593E-2</v>
      </c>
      <c r="R54" s="71">
        <f t="shared" si="122"/>
        <v>0</v>
      </c>
      <c r="S54" s="71">
        <f t="shared" si="122"/>
        <v>0</v>
      </c>
      <c r="T54" s="71">
        <f t="shared" si="122"/>
        <v>0</v>
      </c>
      <c r="U54" s="71">
        <f t="shared" si="122"/>
        <v>-0.40517897943640513</v>
      </c>
      <c r="V54" s="23">
        <f t="shared" si="122"/>
        <v>-0.10584958217270191</v>
      </c>
      <c r="W54" s="71">
        <f t="shared" si="122"/>
        <v>0</v>
      </c>
      <c r="X54" s="71">
        <f t="shared" si="122"/>
        <v>0</v>
      </c>
      <c r="Y54" s="71">
        <f t="shared" si="122"/>
        <v>0</v>
      </c>
      <c r="Z54" s="71">
        <f t="shared" si="122"/>
        <v>-0.69270166453265047</v>
      </c>
      <c r="AA54" s="23">
        <f t="shared" si="122"/>
        <v>-0.12038273253226528</v>
      </c>
      <c r="AB54" s="71">
        <f>AB52/R52-1</f>
        <v>0</v>
      </c>
      <c r="AC54" s="71">
        <f t="shared" ref="AC54:AI54" si="123">AC52/X52-1</f>
        <v>0</v>
      </c>
      <c r="AD54" s="71">
        <f t="shared" si="123"/>
        <v>0</v>
      </c>
      <c r="AE54" s="71">
        <f t="shared" si="123"/>
        <v>-1.5708333333333333</v>
      </c>
      <c r="AF54" s="23">
        <f t="shared" si="123"/>
        <v>-9.5370604604098186E-2</v>
      </c>
      <c r="AG54" s="71">
        <f t="shared" si="123"/>
        <v>0</v>
      </c>
      <c r="AH54" s="71">
        <f t="shared" si="123"/>
        <v>0</v>
      </c>
      <c r="AI54" s="71">
        <f t="shared" si="123"/>
        <v>0</v>
      </c>
      <c r="AJ54" s="71">
        <f t="shared" ref="AJ54:AS54" si="124">AJ52/AE52-1</f>
        <v>1.5328467153284673</v>
      </c>
      <c r="AK54" s="23">
        <f t="shared" si="124"/>
        <v>-5.8724832214765099E-2</v>
      </c>
      <c r="AL54" s="71">
        <f t="shared" si="124"/>
        <v>-0.34400656814449915</v>
      </c>
      <c r="AM54" s="71">
        <f t="shared" si="124"/>
        <v>-0.18137254901960786</v>
      </c>
      <c r="AN54" s="71">
        <f t="shared" si="124"/>
        <v>-0.21321793863099925</v>
      </c>
      <c r="AO54" s="71">
        <f t="shared" si="124"/>
        <v>-4.0778097982708932</v>
      </c>
      <c r="AP54" s="23">
        <f t="shared" si="124"/>
        <v>0.14943553178847302</v>
      </c>
      <c r="AQ54" s="71">
        <f t="shared" si="124"/>
        <v>0.27409261576971211</v>
      </c>
      <c r="AR54" s="71">
        <f t="shared" si="124"/>
        <v>-2.9940119760479056E-2</v>
      </c>
      <c r="AS54" s="71">
        <f t="shared" si="124"/>
        <v>-6.0000000000000053E-3</v>
      </c>
      <c r="AT54" s="71">
        <f t="shared" ref="AT54" si="125">AT52/AO52-1</f>
        <v>-3.7453183520599231E-2</v>
      </c>
      <c r="AU54" s="23">
        <f t="shared" ref="AU54:AX54" si="126">AU52/AP52-1</f>
        <v>3.6960454897906336E-2</v>
      </c>
      <c r="AV54" s="71">
        <f t="shared" si="126"/>
        <v>-5.7956777996070685E-2</v>
      </c>
      <c r="AW54" s="71">
        <f t="shared" si="126"/>
        <v>1.0288065843622185E-3</v>
      </c>
      <c r="AX54" s="71">
        <f t="shared" si="126"/>
        <v>-3.82293762575453E-2</v>
      </c>
      <c r="AY54" s="71">
        <f t="shared" ref="AY54" si="127">AY52/AT52-1</f>
        <v>-2.4319066147859947E-2</v>
      </c>
      <c r="AZ54" s="23">
        <v>-3.0159521435692893E-2</v>
      </c>
      <c r="BA54" s="71">
        <v>-0.12304483837330549</v>
      </c>
      <c r="BB54" s="71">
        <v>-0.13874614594039059</v>
      </c>
      <c r="BC54" s="71">
        <v>-0.14748953974895396</v>
      </c>
      <c r="BD54" s="71">
        <v>-0.11764705882352944</v>
      </c>
      <c r="BE54" s="23">
        <v>-0.13158571061423796</v>
      </c>
      <c r="BF54" s="71">
        <v>-3.4482758620689613E-2</v>
      </c>
      <c r="BG54" s="71">
        <v>-2.863961813842486E-2</v>
      </c>
      <c r="BH54" s="71">
        <v>-2.5766871165644134E-2</v>
      </c>
      <c r="BI54" s="71">
        <v>-4.7457627118644097E-2</v>
      </c>
      <c r="BJ54" s="23">
        <v>-3.4329683338265804E-2</v>
      </c>
      <c r="BK54" s="71">
        <v>-2.3399014778325178E-2</v>
      </c>
    </row>
    <row r="55" spans="1:63" ht="13.5" customHeight="1">
      <c r="A55" s="67" t="s">
        <v>84</v>
      </c>
      <c r="B55" s="119" t="s">
        <v>40</v>
      </c>
      <c r="C55" s="78" t="s">
        <v>48</v>
      </c>
      <c r="D55" s="78" t="s">
        <v>48</v>
      </c>
      <c r="E55" s="78" t="s">
        <v>48</v>
      </c>
      <c r="F55" s="78" t="s">
        <v>48</v>
      </c>
      <c r="G55" s="119" t="s">
        <v>40</v>
      </c>
      <c r="H55" s="78" t="s">
        <v>48</v>
      </c>
      <c r="I55" s="78" t="s">
        <v>48</v>
      </c>
      <c r="J55" s="78" t="s">
        <v>48</v>
      </c>
      <c r="K55" s="78" t="s">
        <v>48</v>
      </c>
      <c r="L55" s="63">
        <v>1163</v>
      </c>
      <c r="M55" s="78" t="s">
        <v>48</v>
      </c>
      <c r="N55" s="78" t="s">
        <v>48</v>
      </c>
      <c r="O55" s="78" t="s">
        <v>48</v>
      </c>
      <c r="P55" s="78" t="s">
        <v>48</v>
      </c>
      <c r="Q55" s="63">
        <v>1225</v>
      </c>
      <c r="R55" s="68">
        <v>430</v>
      </c>
      <c r="S55" s="68">
        <v>443</v>
      </c>
      <c r="T55" s="68">
        <v>454</v>
      </c>
      <c r="U55" s="68">
        <f>V55-T55-S55-R55</f>
        <v>366</v>
      </c>
      <c r="V55" s="63">
        <v>1693</v>
      </c>
      <c r="W55" s="68">
        <v>379</v>
      </c>
      <c r="X55" s="68">
        <v>293</v>
      </c>
      <c r="Y55" s="68">
        <v>285</v>
      </c>
      <c r="Z55" s="68">
        <f>AA55-Y55-X55-W55</f>
        <v>306</v>
      </c>
      <c r="AA55" s="63">
        <v>1263</v>
      </c>
      <c r="AB55" s="68">
        <v>258</v>
      </c>
      <c r="AC55" s="68">
        <v>247</v>
      </c>
      <c r="AD55" s="68">
        <v>264</v>
      </c>
      <c r="AE55" s="68">
        <f>AF55-AD55-AC55-AB55</f>
        <v>302</v>
      </c>
      <c r="AF55" s="63">
        <v>1071</v>
      </c>
      <c r="AG55" s="68">
        <v>262</v>
      </c>
      <c r="AH55" s="68">
        <v>212</v>
      </c>
      <c r="AI55" s="68">
        <v>200</v>
      </c>
      <c r="AJ55" s="68">
        <f>AK55-AI55-AH55-AG55</f>
        <v>254</v>
      </c>
      <c r="AK55" s="63">
        <v>928</v>
      </c>
      <c r="AL55" s="68">
        <v>226</v>
      </c>
      <c r="AM55" s="68">
        <v>205</v>
      </c>
      <c r="AN55" s="68">
        <v>193</v>
      </c>
      <c r="AO55" s="68">
        <f>AP55-AN55-AM55-AL55</f>
        <v>256</v>
      </c>
      <c r="AP55" s="63">
        <v>880</v>
      </c>
      <c r="AQ55" s="68">
        <v>216</v>
      </c>
      <c r="AR55" s="68">
        <v>201</v>
      </c>
      <c r="AS55" s="68">
        <v>177</v>
      </c>
      <c r="AT55" s="68">
        <f>AU55-AS55-AR55-AQ55</f>
        <v>237</v>
      </c>
      <c r="AU55" s="63">
        <v>831</v>
      </c>
      <c r="AV55" s="68">
        <v>202</v>
      </c>
      <c r="AW55" s="68">
        <v>230</v>
      </c>
      <c r="AX55" s="68">
        <v>181</v>
      </c>
      <c r="AY55" s="68">
        <f>AZ55-AX55-AW55-AV55</f>
        <v>242</v>
      </c>
      <c r="AZ55" s="63">
        <v>855</v>
      </c>
      <c r="BA55" s="68">
        <v>189</v>
      </c>
      <c r="BB55" s="68">
        <v>171</v>
      </c>
      <c r="BC55" s="68">
        <v>167</v>
      </c>
      <c r="BD55" s="68">
        <v>210</v>
      </c>
      <c r="BE55" s="63">
        <v>737</v>
      </c>
      <c r="BF55" s="68">
        <v>184</v>
      </c>
      <c r="BG55" s="68">
        <v>173</v>
      </c>
      <c r="BH55" s="68">
        <v>183</v>
      </c>
      <c r="BI55" s="68">
        <v>221</v>
      </c>
      <c r="BJ55" s="63">
        <v>761</v>
      </c>
      <c r="BK55" s="68">
        <v>180</v>
      </c>
    </row>
    <row r="56" spans="1:63" ht="10.15" customHeight="1">
      <c r="A56" s="69" t="s">
        <v>7</v>
      </c>
      <c r="B56" s="23"/>
      <c r="C56" s="92"/>
      <c r="D56" s="92"/>
      <c r="E56" s="92"/>
      <c r="F56" s="92"/>
      <c r="G56" s="23"/>
      <c r="H56" s="92"/>
      <c r="I56" s="92"/>
      <c r="J56" s="92"/>
      <c r="K56" s="92"/>
      <c r="L56" s="23"/>
      <c r="M56" s="92"/>
      <c r="N56" s="92"/>
      <c r="O56" s="92"/>
      <c r="P56" s="92"/>
      <c r="Q56" s="23"/>
      <c r="R56" s="70"/>
      <c r="S56" s="70">
        <f>S55/R55-1</f>
        <v>3.0232558139534849E-2</v>
      </c>
      <c r="T56" s="70">
        <f>T55/S55-1</f>
        <v>2.483069977426644E-2</v>
      </c>
      <c r="U56" s="70">
        <f>U55/T55-1</f>
        <v>-0.19383259911894268</v>
      </c>
      <c r="V56" s="23"/>
      <c r="W56" s="70">
        <f>W55/U55-1</f>
        <v>3.5519125683060038E-2</v>
      </c>
      <c r="X56" s="70">
        <f>X55/W55-1</f>
        <v>-0.22691292875989444</v>
      </c>
      <c r="Y56" s="70">
        <f>Y55/X55-1</f>
        <v>-2.7303754266211566E-2</v>
      </c>
      <c r="Z56" s="70">
        <f>Z55/Y55-1</f>
        <v>7.3684210526315796E-2</v>
      </c>
      <c r="AA56" s="23"/>
      <c r="AB56" s="70">
        <f>AB55/Z55-1</f>
        <v>-0.15686274509803921</v>
      </c>
      <c r="AC56" s="70">
        <f>AC55/AB55-1</f>
        <v>-4.2635658914728647E-2</v>
      </c>
      <c r="AD56" s="70">
        <f>AD55/AC55-1</f>
        <v>6.8825910931174183E-2</v>
      </c>
      <c r="AE56" s="70">
        <f>AE55/AD55-1</f>
        <v>0.14393939393939403</v>
      </c>
      <c r="AF56" s="23"/>
      <c r="AG56" s="70">
        <f>AG55/AE55-1</f>
        <v>-0.13245033112582782</v>
      </c>
      <c r="AH56" s="70">
        <f>AH55/AG55-1</f>
        <v>-0.19083969465648853</v>
      </c>
      <c r="AI56" s="70">
        <f>AI55/AH55-1</f>
        <v>-5.6603773584905648E-2</v>
      </c>
      <c r="AJ56" s="70">
        <f>AJ55/AI55-1</f>
        <v>0.27</v>
      </c>
      <c r="AK56" s="23"/>
      <c r="AL56" s="70">
        <f>AL55/AJ55-1</f>
        <v>-0.11023622047244097</v>
      </c>
      <c r="AM56" s="70">
        <f>AM55/AL55-1</f>
        <v>-9.2920353982300918E-2</v>
      </c>
      <c r="AN56" s="70">
        <f>AN55/AM55-1</f>
        <v>-5.8536585365853711E-2</v>
      </c>
      <c r="AO56" s="70">
        <f>AO55/AN55-1</f>
        <v>0.32642487046632129</v>
      </c>
      <c r="AP56" s="23"/>
      <c r="AQ56" s="70">
        <f>AQ55/AO55-1</f>
        <v>-0.15625</v>
      </c>
      <c r="AR56" s="70">
        <f>AR55/AQ55-1</f>
        <v>-6.944444444444442E-2</v>
      </c>
      <c r="AS56" s="70">
        <f>AS55/AR55-1</f>
        <v>-0.11940298507462688</v>
      </c>
      <c r="AT56" s="70">
        <f>AT55/AS55-1</f>
        <v>0.33898305084745761</v>
      </c>
      <c r="AU56" s="23"/>
      <c r="AV56" s="70">
        <f>AV55/AT55-1</f>
        <v>-0.14767932489451474</v>
      </c>
      <c r="AW56" s="70">
        <f>AW55/AV55-1</f>
        <v>0.13861386138613851</v>
      </c>
      <c r="AX56" s="70">
        <f>AX55/AW55-1</f>
        <v>-0.21304347826086956</v>
      </c>
      <c r="AY56" s="70">
        <f>AY55/AX55-1</f>
        <v>0.33701657458563528</v>
      </c>
      <c r="AZ56" s="23"/>
      <c r="BA56" s="70">
        <v>-0.21900826446280997</v>
      </c>
      <c r="BB56" s="70">
        <v>-9.5238095238095233E-2</v>
      </c>
      <c r="BC56" s="70">
        <v>-2.3391812865497075E-2</v>
      </c>
      <c r="BD56" s="70">
        <v>0.25748502994011968</v>
      </c>
      <c r="BE56" s="23"/>
      <c r="BF56" s="70">
        <v>-0.12380952380952381</v>
      </c>
      <c r="BG56" s="70">
        <v>-5.9782608695652217E-2</v>
      </c>
      <c r="BH56" s="70">
        <v>5.7803468208092568E-2</v>
      </c>
      <c r="BI56" s="70">
        <v>0.20765027322404372</v>
      </c>
      <c r="BJ56" s="23"/>
      <c r="BK56" s="70">
        <v>-0.18552036199095023</v>
      </c>
    </row>
    <row r="57" spans="1:63" ht="14.45" customHeight="1">
      <c r="A57" s="69" t="s">
        <v>8</v>
      </c>
      <c r="B57" s="23"/>
      <c r="C57" s="92"/>
      <c r="D57" s="92"/>
      <c r="E57" s="92"/>
      <c r="F57" s="92"/>
      <c r="G57" s="23"/>
      <c r="H57" s="92"/>
      <c r="I57" s="92"/>
      <c r="J57" s="92"/>
      <c r="K57" s="92"/>
      <c r="L57" s="23"/>
      <c r="M57" s="92"/>
      <c r="N57" s="92"/>
      <c r="O57" s="92"/>
      <c r="P57" s="92"/>
      <c r="Q57" s="23">
        <f>Q55/L55-1</f>
        <v>5.3310404127257183E-2</v>
      </c>
      <c r="R57" s="71"/>
      <c r="S57" s="71"/>
      <c r="T57" s="71"/>
      <c r="U57" s="71"/>
      <c r="V57" s="23">
        <f t="shared" ref="V57:AD57" si="128">V55/Q55-1</f>
        <v>0.38204081632653053</v>
      </c>
      <c r="W57" s="71">
        <f t="shared" si="128"/>
        <v>-0.11860465116279073</v>
      </c>
      <c r="X57" s="71">
        <f t="shared" si="128"/>
        <v>-0.33860045146726858</v>
      </c>
      <c r="Y57" s="71">
        <f t="shared" si="128"/>
        <v>-0.3722466960352423</v>
      </c>
      <c r="Z57" s="71">
        <f t="shared" si="128"/>
        <v>-0.16393442622950816</v>
      </c>
      <c r="AA57" s="23">
        <f t="shared" si="128"/>
        <v>-0.25398700531600704</v>
      </c>
      <c r="AB57" s="71">
        <f t="shared" si="128"/>
        <v>-0.31926121372031657</v>
      </c>
      <c r="AC57" s="71">
        <f t="shared" si="128"/>
        <v>-0.15699658703071673</v>
      </c>
      <c r="AD57" s="71">
        <f t="shared" si="128"/>
        <v>-7.3684210526315796E-2</v>
      </c>
      <c r="AE57" s="71">
        <f t="shared" ref="AE57:AN57" si="129">AE55/Z55-1</f>
        <v>-1.3071895424836555E-2</v>
      </c>
      <c r="AF57" s="23">
        <f t="shared" si="129"/>
        <v>-0.15201900237529686</v>
      </c>
      <c r="AG57" s="71">
        <f t="shared" si="129"/>
        <v>1.5503875968992276E-2</v>
      </c>
      <c r="AH57" s="71">
        <f t="shared" si="129"/>
        <v>-0.1417004048582996</v>
      </c>
      <c r="AI57" s="71">
        <f t="shared" si="129"/>
        <v>-0.24242424242424243</v>
      </c>
      <c r="AJ57" s="71">
        <f t="shared" si="129"/>
        <v>-0.15894039735099341</v>
      </c>
      <c r="AK57" s="23">
        <f t="shared" si="129"/>
        <v>-0.13352007469654525</v>
      </c>
      <c r="AL57" s="71">
        <f t="shared" si="129"/>
        <v>-0.13740458015267176</v>
      </c>
      <c r="AM57" s="71">
        <f t="shared" si="129"/>
        <v>-3.301886792452835E-2</v>
      </c>
      <c r="AN57" s="71">
        <f t="shared" si="129"/>
        <v>-3.5000000000000031E-2</v>
      </c>
      <c r="AO57" s="71">
        <f>AO55/AJ55-1</f>
        <v>7.8740157480314821E-3</v>
      </c>
      <c r="AP57" s="23">
        <f>AP55/AK55-1</f>
        <v>-5.1724137931034475E-2</v>
      </c>
      <c r="AQ57" s="71">
        <f t="shared" ref="AQ57:AS57" si="130">AQ55/AL55-1</f>
        <v>-4.4247787610619427E-2</v>
      </c>
      <c r="AR57" s="71">
        <f t="shared" si="130"/>
        <v>-1.9512195121951237E-2</v>
      </c>
      <c r="AS57" s="71">
        <f t="shared" si="130"/>
        <v>-8.2901554404145039E-2</v>
      </c>
      <c r="AT57" s="71">
        <f>AT55/AO55-1</f>
        <v>-7.421875E-2</v>
      </c>
      <c r="AU57" s="23">
        <f>AU55/AP55-1</f>
        <v>-5.5681818181818166E-2</v>
      </c>
      <c r="AV57" s="71">
        <f t="shared" ref="AV57:AX57" si="131">AV55/AQ55-1</f>
        <v>-6.481481481481477E-2</v>
      </c>
      <c r="AW57" s="71">
        <f t="shared" si="131"/>
        <v>0.14427860696517403</v>
      </c>
      <c r="AX57" s="71">
        <f t="shared" si="131"/>
        <v>2.2598870056497189E-2</v>
      </c>
      <c r="AY57" s="71">
        <f>AY55/AT55-1</f>
        <v>2.1097046413502074E-2</v>
      </c>
      <c r="AZ57" s="23">
        <v>2.8880866425992746E-2</v>
      </c>
      <c r="BA57" s="71">
        <v>-6.4356435643564303E-2</v>
      </c>
      <c r="BB57" s="71">
        <v>-0.25652173913043474</v>
      </c>
      <c r="BC57" s="71">
        <v>-7.7348066298342566E-2</v>
      </c>
      <c r="BD57" s="71">
        <v>-0.13223140495867769</v>
      </c>
      <c r="BE57" s="23">
        <v>-0.1380116959064327</v>
      </c>
      <c r="BF57" s="71">
        <v>-2.6455026455026509E-2</v>
      </c>
      <c r="BG57" s="71">
        <v>1.1695906432748648E-2</v>
      </c>
      <c r="BH57" s="71">
        <v>9.5808383233533023E-2</v>
      </c>
      <c r="BI57" s="71">
        <v>5.2380952380952417E-2</v>
      </c>
      <c r="BJ57" s="23">
        <v>3.256445047489831E-2</v>
      </c>
      <c r="BK57" s="71">
        <v>-2.1739130434782594E-2</v>
      </c>
    </row>
    <row r="58" spans="1:63" ht="13.5" customHeight="1">
      <c r="A58" s="67" t="s">
        <v>83</v>
      </c>
      <c r="B58" s="119" t="s">
        <v>40</v>
      </c>
      <c r="C58" s="78" t="s">
        <v>48</v>
      </c>
      <c r="D58" s="78" t="s">
        <v>48</v>
      </c>
      <c r="E58" s="78" t="s">
        <v>48</v>
      </c>
      <c r="F58" s="78" t="s">
        <v>48</v>
      </c>
      <c r="G58" s="119" t="s">
        <v>40</v>
      </c>
      <c r="H58" s="78" t="s">
        <v>48</v>
      </c>
      <c r="I58" s="78" t="s">
        <v>48</v>
      </c>
      <c r="J58" s="78" t="s">
        <v>48</v>
      </c>
      <c r="K58" s="78" t="s">
        <v>48</v>
      </c>
      <c r="L58" s="63">
        <v>1762</v>
      </c>
      <c r="M58" s="78" t="s">
        <v>48</v>
      </c>
      <c r="N58" s="78" t="s">
        <v>48</v>
      </c>
      <c r="O58" s="78" t="s">
        <v>48</v>
      </c>
      <c r="P58" s="78" t="s">
        <v>48</v>
      </c>
      <c r="Q58" s="63">
        <v>1876</v>
      </c>
      <c r="R58" s="68">
        <v>222</v>
      </c>
      <c r="S58" s="68">
        <v>224</v>
      </c>
      <c r="T58" s="68">
        <v>242</v>
      </c>
      <c r="U58" s="68">
        <f>V58-T58-S58-R58</f>
        <v>222</v>
      </c>
      <c r="V58" s="63">
        <v>910</v>
      </c>
      <c r="W58" s="68">
        <v>224</v>
      </c>
      <c r="X58" s="68">
        <v>222</v>
      </c>
      <c r="Y58" s="68">
        <v>229</v>
      </c>
      <c r="Z58" s="68">
        <f>AA58-Y58-X58-W58</f>
        <v>225</v>
      </c>
      <c r="AA58" s="63">
        <v>900</v>
      </c>
      <c r="AB58" s="68">
        <v>224</v>
      </c>
      <c r="AC58" s="68">
        <v>228</v>
      </c>
      <c r="AD58" s="68">
        <v>232</v>
      </c>
      <c r="AE58" s="68">
        <f>AF58-AD58-AC58-AB58</f>
        <v>221</v>
      </c>
      <c r="AF58" s="63">
        <v>905</v>
      </c>
      <c r="AG58" s="68">
        <v>206</v>
      </c>
      <c r="AH58" s="68">
        <v>208</v>
      </c>
      <c r="AI58" s="68">
        <v>219</v>
      </c>
      <c r="AJ58" s="68">
        <f>AK58-AI58-AH58-AG58</f>
        <v>214</v>
      </c>
      <c r="AK58" s="63">
        <v>847</v>
      </c>
      <c r="AL58" s="68">
        <v>212</v>
      </c>
      <c r="AM58" s="68">
        <v>241</v>
      </c>
      <c r="AN58" s="68">
        <v>236</v>
      </c>
      <c r="AO58" s="68">
        <f>AP58-AN58-AM58-AL58</f>
        <v>220</v>
      </c>
      <c r="AP58" s="63">
        <v>909</v>
      </c>
      <c r="AQ58" s="68">
        <v>212</v>
      </c>
      <c r="AR58" s="68">
        <v>211</v>
      </c>
      <c r="AS58" s="68">
        <v>211</v>
      </c>
      <c r="AT58" s="68">
        <f>AU58-AS58-AR58-AQ58</f>
        <v>191</v>
      </c>
      <c r="AU58" s="63">
        <v>825</v>
      </c>
      <c r="AV58" s="68">
        <v>196</v>
      </c>
      <c r="AW58" s="68">
        <v>206</v>
      </c>
      <c r="AX58" s="68">
        <v>201</v>
      </c>
      <c r="AY58" s="68">
        <f>AZ58-AX58-AW58-AV58</f>
        <v>202</v>
      </c>
      <c r="AZ58" s="63">
        <v>805</v>
      </c>
      <c r="BA58" s="68">
        <v>192</v>
      </c>
      <c r="BB58" s="68">
        <v>196</v>
      </c>
      <c r="BC58" s="68">
        <v>197</v>
      </c>
      <c r="BD58" s="68">
        <v>204</v>
      </c>
      <c r="BE58" s="63">
        <v>789</v>
      </c>
      <c r="BF58" s="68">
        <v>189</v>
      </c>
      <c r="BG58" s="68">
        <v>194</v>
      </c>
      <c r="BH58" s="68">
        <v>193</v>
      </c>
      <c r="BI58" s="68">
        <v>181</v>
      </c>
      <c r="BJ58" s="63">
        <v>757</v>
      </c>
      <c r="BK58" s="68">
        <v>185</v>
      </c>
    </row>
    <row r="59" spans="1:63" ht="10.15" customHeight="1">
      <c r="A59" s="69" t="s">
        <v>7</v>
      </c>
      <c r="B59" s="23"/>
      <c r="C59" s="92"/>
      <c r="D59" s="92"/>
      <c r="E59" s="92"/>
      <c r="F59" s="92"/>
      <c r="G59" s="23"/>
      <c r="H59" s="92"/>
      <c r="I59" s="92"/>
      <c r="J59" s="92"/>
      <c r="K59" s="92"/>
      <c r="L59" s="23"/>
      <c r="M59" s="92"/>
      <c r="N59" s="92"/>
      <c r="O59" s="92"/>
      <c r="P59" s="92"/>
      <c r="Q59" s="23"/>
      <c r="R59" s="70"/>
      <c r="S59" s="70">
        <f>S58/R58-1</f>
        <v>9.009009009008917E-3</v>
      </c>
      <c r="T59" s="70">
        <f>T58/S58-1</f>
        <v>8.0357142857142794E-2</v>
      </c>
      <c r="U59" s="70">
        <f>U58/T58-1</f>
        <v>-8.2644628099173501E-2</v>
      </c>
      <c r="V59" s="23"/>
      <c r="W59" s="70">
        <f>W58/U58-1</f>
        <v>9.009009009008917E-3</v>
      </c>
      <c r="X59" s="70">
        <f>X58/W58-1</f>
        <v>-8.9285714285713969E-3</v>
      </c>
      <c r="Y59" s="70">
        <f>Y58/X58-1</f>
        <v>3.1531531531531432E-2</v>
      </c>
      <c r="Z59" s="70">
        <f>Z58/Y58-1</f>
        <v>-1.7467248908296984E-2</v>
      </c>
      <c r="AA59" s="23"/>
      <c r="AB59" s="70">
        <f>AB58/Z58-1</f>
        <v>-4.4444444444444731E-3</v>
      </c>
      <c r="AC59" s="70">
        <f>AC58/AB58-1</f>
        <v>1.7857142857142794E-2</v>
      </c>
      <c r="AD59" s="70">
        <f>AD58/AC58-1</f>
        <v>1.7543859649122862E-2</v>
      </c>
      <c r="AE59" s="70">
        <f>AE58/AD58-1</f>
        <v>-4.7413793103448287E-2</v>
      </c>
      <c r="AF59" s="23"/>
      <c r="AG59" s="70">
        <f>AG58/AE58-1</f>
        <v>-6.7873303167420795E-2</v>
      </c>
      <c r="AH59" s="70">
        <f>AH58/AG58-1</f>
        <v>9.7087378640776656E-3</v>
      </c>
      <c r="AI59" s="70">
        <f>AI58/AH58-1</f>
        <v>5.2884615384615419E-2</v>
      </c>
      <c r="AJ59" s="70">
        <f>AJ58/AI58-1</f>
        <v>-2.2831050228310557E-2</v>
      </c>
      <c r="AK59" s="23"/>
      <c r="AL59" s="70">
        <f>AL58/AJ58-1</f>
        <v>-9.3457943925233655E-3</v>
      </c>
      <c r="AM59" s="70">
        <f>AM58/AL58-1</f>
        <v>0.1367924528301887</v>
      </c>
      <c r="AN59" s="70">
        <f>AN58/AM58-1</f>
        <v>-2.0746887966805017E-2</v>
      </c>
      <c r="AO59" s="70">
        <f>AO58/AN58-1</f>
        <v>-6.7796610169491567E-2</v>
      </c>
      <c r="AP59" s="23"/>
      <c r="AQ59" s="70">
        <f>AQ58/AO58-1</f>
        <v>-3.6363636363636376E-2</v>
      </c>
      <c r="AR59" s="70">
        <f>AR58/AQ58-1</f>
        <v>-4.7169811320755262E-3</v>
      </c>
      <c r="AS59" s="70">
        <f>AS58/AR58-1</f>
        <v>0</v>
      </c>
      <c r="AT59" s="70">
        <f>AT58/AS58-1</f>
        <v>-9.4786729857819885E-2</v>
      </c>
      <c r="AU59" s="23"/>
      <c r="AV59" s="70">
        <f>AV58/AT58-1</f>
        <v>2.6178010471204161E-2</v>
      </c>
      <c r="AW59" s="70">
        <f>AW58/AV58-1</f>
        <v>5.1020408163265252E-2</v>
      </c>
      <c r="AX59" s="70">
        <f>AX58/AW58-1</f>
        <v>-2.4271844660194164E-2</v>
      </c>
      <c r="AY59" s="70">
        <f>AY58/AX58-1</f>
        <v>4.9751243781095411E-3</v>
      </c>
      <c r="AZ59" s="23"/>
      <c r="BA59" s="70">
        <v>-4.9504950495049549E-2</v>
      </c>
      <c r="BB59" s="70">
        <v>2.0833333333333259E-2</v>
      </c>
      <c r="BC59" s="70">
        <v>5.1020408163264808E-3</v>
      </c>
      <c r="BD59" s="70">
        <v>3.5532994923857864E-2</v>
      </c>
      <c r="BE59" s="23"/>
      <c r="BF59" s="70">
        <v>-7.3529411764705843E-2</v>
      </c>
      <c r="BG59" s="70">
        <v>2.6455026455026509E-2</v>
      </c>
      <c r="BH59" s="70">
        <v>-5.1546391752577136E-3</v>
      </c>
      <c r="BI59" s="70">
        <v>-6.2176165803108807E-2</v>
      </c>
      <c r="BJ59" s="23"/>
      <c r="BK59" s="70">
        <v>2.2099447513812098E-2</v>
      </c>
    </row>
    <row r="60" spans="1:63" ht="12.6" customHeight="1">
      <c r="A60" s="69" t="s">
        <v>8</v>
      </c>
      <c r="B60" s="23"/>
      <c r="C60" s="92"/>
      <c r="D60" s="92"/>
      <c r="E60" s="92"/>
      <c r="F60" s="92"/>
      <c r="G60" s="23"/>
      <c r="H60" s="92"/>
      <c r="I60" s="92"/>
      <c r="J60" s="92"/>
      <c r="K60" s="92"/>
      <c r="L60" s="23"/>
      <c r="M60" s="92"/>
      <c r="N60" s="92"/>
      <c r="O60" s="92"/>
      <c r="P60" s="92"/>
      <c r="Q60" s="23">
        <f>Q58/L58-1</f>
        <v>6.4699205448354169E-2</v>
      </c>
      <c r="R60" s="71"/>
      <c r="S60" s="71"/>
      <c r="T60" s="71"/>
      <c r="U60" s="71"/>
      <c r="V60" s="23">
        <f t="shared" ref="V60:AD60" si="132">V58/Q58-1</f>
        <v>-0.5149253731343284</v>
      </c>
      <c r="W60" s="71">
        <f t="shared" si="132"/>
        <v>9.009009009008917E-3</v>
      </c>
      <c r="X60" s="71">
        <f t="shared" si="132"/>
        <v>-8.9285714285713969E-3</v>
      </c>
      <c r="Y60" s="71">
        <f t="shared" si="132"/>
        <v>-5.3719008264462853E-2</v>
      </c>
      <c r="Z60" s="71">
        <f t="shared" si="132"/>
        <v>1.3513513513513598E-2</v>
      </c>
      <c r="AA60" s="23">
        <f t="shared" si="132"/>
        <v>-1.098901098901095E-2</v>
      </c>
      <c r="AB60" s="71">
        <f t="shared" si="132"/>
        <v>0</v>
      </c>
      <c r="AC60" s="71">
        <f t="shared" si="132"/>
        <v>2.7027027027026973E-2</v>
      </c>
      <c r="AD60" s="71">
        <f t="shared" si="132"/>
        <v>1.3100436681222627E-2</v>
      </c>
      <c r="AE60" s="71">
        <f t="shared" ref="AE60:AN60" si="133">AE58/Z58-1</f>
        <v>-1.7777777777777781E-2</v>
      </c>
      <c r="AF60" s="23">
        <f t="shared" si="133"/>
        <v>5.5555555555555358E-3</v>
      </c>
      <c r="AG60" s="71">
        <f t="shared" si="133"/>
        <v>-8.0357142857142905E-2</v>
      </c>
      <c r="AH60" s="71">
        <f t="shared" si="133"/>
        <v>-8.7719298245614086E-2</v>
      </c>
      <c r="AI60" s="71">
        <f t="shared" si="133"/>
        <v>-5.6034482758620663E-2</v>
      </c>
      <c r="AJ60" s="71">
        <f t="shared" si="133"/>
        <v>-3.1674208144796379E-2</v>
      </c>
      <c r="AK60" s="23">
        <f t="shared" si="133"/>
        <v>-6.4088397790055263E-2</v>
      </c>
      <c r="AL60" s="71">
        <f t="shared" si="133"/>
        <v>2.9126213592232997E-2</v>
      </c>
      <c r="AM60" s="71">
        <f t="shared" si="133"/>
        <v>0.15865384615384626</v>
      </c>
      <c r="AN60" s="71">
        <f t="shared" si="133"/>
        <v>7.7625570776255648E-2</v>
      </c>
      <c r="AO60" s="71">
        <f>AO58/AJ58-1</f>
        <v>2.8037383177569986E-2</v>
      </c>
      <c r="AP60" s="23">
        <f>AP58/AK58-1</f>
        <v>7.3199527744982396E-2</v>
      </c>
      <c r="AQ60" s="71">
        <f t="shared" ref="AQ60:AS60" si="134">AQ58/AL58-1</f>
        <v>0</v>
      </c>
      <c r="AR60" s="71">
        <f t="shared" si="134"/>
        <v>-0.12448132780082988</v>
      </c>
      <c r="AS60" s="71">
        <f t="shared" si="134"/>
        <v>-0.10593220338983056</v>
      </c>
      <c r="AT60" s="71">
        <f>AT58/AO58-1</f>
        <v>-0.13181818181818183</v>
      </c>
      <c r="AU60" s="23">
        <f>AU58/AP58-1</f>
        <v>-9.2409240924092417E-2</v>
      </c>
      <c r="AV60" s="71">
        <f t="shared" ref="AV60:AX60" si="135">AV58/AQ58-1</f>
        <v>-7.547169811320753E-2</v>
      </c>
      <c r="AW60" s="71">
        <f t="shared" si="135"/>
        <v>-2.3696682464454999E-2</v>
      </c>
      <c r="AX60" s="71">
        <f t="shared" si="135"/>
        <v>-4.7393364928909998E-2</v>
      </c>
      <c r="AY60" s="71">
        <f>AY58/AT58-1</f>
        <v>5.7591623036649109E-2</v>
      </c>
      <c r="AZ60" s="23">
        <v>-2.4242424242424288E-2</v>
      </c>
      <c r="BA60" s="71">
        <v>-2.0408163265306145E-2</v>
      </c>
      <c r="BB60" s="71">
        <v>-4.8543689320388328E-2</v>
      </c>
      <c r="BC60" s="71">
        <v>-1.9900497512437831E-2</v>
      </c>
      <c r="BD60" s="71">
        <v>9.9009900990099098E-3</v>
      </c>
      <c r="BE60" s="23">
        <v>-1.9875776397515477E-2</v>
      </c>
      <c r="BF60" s="71">
        <v>-1.5625E-2</v>
      </c>
      <c r="BG60" s="71">
        <v>-1.0204081632653073E-2</v>
      </c>
      <c r="BH60" s="71">
        <v>-2.0304568527918732E-2</v>
      </c>
      <c r="BI60" s="71">
        <v>-0.11274509803921573</v>
      </c>
      <c r="BJ60" s="23">
        <v>-4.0557667934093766E-2</v>
      </c>
      <c r="BK60" s="71">
        <v>-2.1164021164021163E-2</v>
      </c>
    </row>
    <row r="61" spans="1:63" ht="13.5" customHeight="1">
      <c r="A61" s="67" t="s">
        <v>85</v>
      </c>
      <c r="B61" s="119" t="s">
        <v>40</v>
      </c>
      <c r="C61" s="78" t="s">
        <v>48</v>
      </c>
      <c r="D61" s="78" t="s">
        <v>48</v>
      </c>
      <c r="E61" s="78" t="s">
        <v>48</v>
      </c>
      <c r="F61" s="78" t="s">
        <v>48</v>
      </c>
      <c r="G61" s="119" t="s">
        <v>40</v>
      </c>
      <c r="H61" s="78" t="s">
        <v>48</v>
      </c>
      <c r="I61" s="78" t="s">
        <v>48</v>
      </c>
      <c r="J61" s="78" t="s">
        <v>48</v>
      </c>
      <c r="K61" s="78" t="s">
        <v>48</v>
      </c>
      <c r="L61" s="63">
        <v>647</v>
      </c>
      <c r="M61" s="78" t="s">
        <v>48</v>
      </c>
      <c r="N61" s="78" t="s">
        <v>48</v>
      </c>
      <c r="O61" s="78" t="s">
        <v>48</v>
      </c>
      <c r="P61" s="78" t="s">
        <v>48</v>
      </c>
      <c r="Q61" s="63">
        <v>640</v>
      </c>
      <c r="R61" s="68">
        <v>161</v>
      </c>
      <c r="S61" s="68">
        <v>159</v>
      </c>
      <c r="T61" s="68">
        <v>160</v>
      </c>
      <c r="U61" s="68">
        <f>V61-T61-S61-R61</f>
        <v>161</v>
      </c>
      <c r="V61" s="63">
        <v>641</v>
      </c>
      <c r="W61" s="68">
        <v>162</v>
      </c>
      <c r="X61" s="68">
        <v>158</v>
      </c>
      <c r="Y61" s="68">
        <v>169</v>
      </c>
      <c r="Z61" s="68">
        <f>AA61-Y61-X61-W61</f>
        <v>174</v>
      </c>
      <c r="AA61" s="63">
        <v>663</v>
      </c>
      <c r="AB61" s="68">
        <v>161</v>
      </c>
      <c r="AC61" s="68">
        <v>127</v>
      </c>
      <c r="AD61" s="68">
        <v>168</v>
      </c>
      <c r="AE61" s="68">
        <f>AF61-AD61-AC61-AB61</f>
        <v>151</v>
      </c>
      <c r="AF61" s="63">
        <v>607</v>
      </c>
      <c r="AG61" s="68">
        <v>156</v>
      </c>
      <c r="AH61" s="68">
        <v>156</v>
      </c>
      <c r="AI61" s="68">
        <v>163</v>
      </c>
      <c r="AJ61" s="68">
        <f>AK61-AI61-AH61-AG61</f>
        <v>164</v>
      </c>
      <c r="AK61" s="63">
        <v>639</v>
      </c>
      <c r="AL61" s="68">
        <v>150</v>
      </c>
      <c r="AM61" s="68">
        <v>156</v>
      </c>
      <c r="AN61" s="68">
        <v>161</v>
      </c>
      <c r="AO61" s="68">
        <f>AP61-AN61-AM61-AL61</f>
        <v>149</v>
      </c>
      <c r="AP61" s="63">
        <v>616</v>
      </c>
      <c r="AQ61" s="68">
        <v>154</v>
      </c>
      <c r="AR61" s="68">
        <v>145</v>
      </c>
      <c r="AS61" s="68">
        <v>151</v>
      </c>
      <c r="AT61" s="68">
        <f>AU61-AS61-AR61-AQ61</f>
        <v>155</v>
      </c>
      <c r="AU61" s="63">
        <v>605</v>
      </c>
      <c r="AV61" s="68">
        <v>147</v>
      </c>
      <c r="AW61" s="68">
        <v>138</v>
      </c>
      <c r="AX61" s="68">
        <v>152</v>
      </c>
      <c r="AY61" s="68">
        <f>AZ61-AX61-AW61-AV61</f>
        <v>147</v>
      </c>
      <c r="AZ61" s="63">
        <v>584</v>
      </c>
      <c r="BA61" s="68">
        <v>71</v>
      </c>
      <c r="BB61" s="68">
        <v>68</v>
      </c>
      <c r="BC61" s="68">
        <v>74</v>
      </c>
      <c r="BD61" s="68">
        <v>73</v>
      </c>
      <c r="BE61" s="63">
        <v>286</v>
      </c>
      <c r="BF61" s="68">
        <v>68</v>
      </c>
      <c r="BG61" s="68">
        <v>65</v>
      </c>
      <c r="BH61" s="68">
        <v>70</v>
      </c>
      <c r="BI61" s="68">
        <v>68</v>
      </c>
      <c r="BJ61" s="63">
        <v>271</v>
      </c>
      <c r="BK61" s="68">
        <v>65</v>
      </c>
    </row>
    <row r="62" spans="1:63" ht="10.5" customHeight="1">
      <c r="A62" s="69" t="s">
        <v>7</v>
      </c>
      <c r="B62" s="23"/>
      <c r="C62" s="92"/>
      <c r="D62" s="92"/>
      <c r="E62" s="92"/>
      <c r="F62" s="92"/>
      <c r="G62" s="23"/>
      <c r="H62" s="92"/>
      <c r="I62" s="92"/>
      <c r="J62" s="92"/>
      <c r="K62" s="92"/>
      <c r="L62" s="23"/>
      <c r="M62" s="92"/>
      <c r="N62" s="92"/>
      <c r="O62" s="92"/>
      <c r="P62" s="92"/>
      <c r="Q62" s="23"/>
      <c r="R62" s="70"/>
      <c r="S62" s="70">
        <f>S61/R61-1</f>
        <v>-1.2422360248447228E-2</v>
      </c>
      <c r="T62" s="70">
        <f>T61/S61-1</f>
        <v>6.2893081761006275E-3</v>
      </c>
      <c r="U62" s="70">
        <f>U61/T61-1</f>
        <v>6.2500000000000888E-3</v>
      </c>
      <c r="V62" s="23"/>
      <c r="W62" s="70">
        <f>W61/U61-1</f>
        <v>6.2111801242235032E-3</v>
      </c>
      <c r="X62" s="70">
        <f>X61/W61-1</f>
        <v>-2.4691358024691357E-2</v>
      </c>
      <c r="Y62" s="70">
        <f>Y61/X61-1</f>
        <v>6.9620253164556889E-2</v>
      </c>
      <c r="Z62" s="70">
        <f>Z61/Y61-1</f>
        <v>2.9585798816567976E-2</v>
      </c>
      <c r="AA62" s="23"/>
      <c r="AB62" s="70">
        <f>AB61/Z61-1</f>
        <v>-7.4712643678160884E-2</v>
      </c>
      <c r="AC62" s="70">
        <f>AC61/AB61-1</f>
        <v>-0.21118012422360244</v>
      </c>
      <c r="AD62" s="70">
        <f>AD61/AC61-1</f>
        <v>0.32283464566929143</v>
      </c>
      <c r="AE62" s="70">
        <f>AE61/AD61-1</f>
        <v>-0.10119047619047616</v>
      </c>
      <c r="AF62" s="23"/>
      <c r="AG62" s="70">
        <f>AG61/AE61-1</f>
        <v>3.3112582781456901E-2</v>
      </c>
      <c r="AH62" s="70">
        <f>AH61/AG61-1</f>
        <v>0</v>
      </c>
      <c r="AI62" s="70">
        <f>AI61/AH61-1</f>
        <v>4.4871794871794934E-2</v>
      </c>
      <c r="AJ62" s="70">
        <f>AJ61/AI61-1</f>
        <v>6.1349693251533388E-3</v>
      </c>
      <c r="AK62" s="23"/>
      <c r="AL62" s="70">
        <f>AL61/AJ61-1</f>
        <v>-8.536585365853655E-2</v>
      </c>
      <c r="AM62" s="70">
        <f>AM61/AL61-1</f>
        <v>4.0000000000000036E-2</v>
      </c>
      <c r="AN62" s="70">
        <f>AN61/AM61-1</f>
        <v>3.2051282051282159E-2</v>
      </c>
      <c r="AO62" s="70">
        <f>AO61/AN61-1</f>
        <v>-7.4534161490683259E-2</v>
      </c>
      <c r="AP62" s="23"/>
      <c r="AQ62" s="70">
        <f>AQ61/AO61-1</f>
        <v>3.3557046979865834E-2</v>
      </c>
      <c r="AR62" s="70">
        <f>AR61/AQ61-1</f>
        <v>-5.8441558441558406E-2</v>
      </c>
      <c r="AS62" s="70">
        <f>AS61/AR61-1</f>
        <v>4.1379310344827669E-2</v>
      </c>
      <c r="AT62" s="70">
        <f>AT61/AS61-1</f>
        <v>2.6490066225165476E-2</v>
      </c>
      <c r="AU62" s="23"/>
      <c r="AV62" s="70">
        <f>AV61/AT61-1</f>
        <v>-5.1612903225806472E-2</v>
      </c>
      <c r="AW62" s="70">
        <f>AW61/AV61-1</f>
        <v>-6.1224489795918324E-2</v>
      </c>
      <c r="AX62" s="70">
        <f>AX61/AW61-1</f>
        <v>0.10144927536231885</v>
      </c>
      <c r="AY62" s="70">
        <f>AY61/AX61-1</f>
        <v>-3.289473684210531E-2</v>
      </c>
      <c r="AZ62" s="23"/>
      <c r="BA62" s="70">
        <v>-0.51700680272108845</v>
      </c>
      <c r="BB62" s="70">
        <v>-4.2253521126760618E-2</v>
      </c>
      <c r="BC62" s="70">
        <v>8.8235294117646967E-2</v>
      </c>
      <c r="BD62" s="70">
        <v>-1.3513513513513487E-2</v>
      </c>
      <c r="BE62" s="23"/>
      <c r="BF62" s="70">
        <v>-6.8493150684931559E-2</v>
      </c>
      <c r="BG62" s="70">
        <v>-4.4117647058823484E-2</v>
      </c>
      <c r="BH62" s="70">
        <v>7.6923076923076872E-2</v>
      </c>
      <c r="BI62" s="70">
        <v>-2.8571428571428581E-2</v>
      </c>
      <c r="BJ62" s="23"/>
      <c r="BK62" s="70">
        <v>-4.4117647058823484E-2</v>
      </c>
    </row>
    <row r="63" spans="1:63" ht="9" customHeight="1">
      <c r="A63" s="69" t="s">
        <v>8</v>
      </c>
      <c r="B63" s="23"/>
      <c r="C63" s="92"/>
      <c r="D63" s="92"/>
      <c r="E63" s="92"/>
      <c r="F63" s="92"/>
      <c r="G63" s="23"/>
      <c r="H63" s="92"/>
      <c r="I63" s="92"/>
      <c r="J63" s="92"/>
      <c r="K63" s="92"/>
      <c r="L63" s="23"/>
      <c r="M63" s="92"/>
      <c r="N63" s="92"/>
      <c r="O63" s="92"/>
      <c r="P63" s="92"/>
      <c r="Q63" s="23">
        <f>Q61/L61-1</f>
        <v>-1.0819165378670781E-2</v>
      </c>
      <c r="R63" s="71"/>
      <c r="S63" s="71"/>
      <c r="T63" s="71"/>
      <c r="U63" s="71"/>
      <c r="V63" s="23">
        <f t="shared" ref="V63:AD63" si="136">V61/Q61-1</f>
        <v>1.5624999999999112E-3</v>
      </c>
      <c r="W63" s="71">
        <f t="shared" si="136"/>
        <v>6.2111801242235032E-3</v>
      </c>
      <c r="X63" s="71">
        <f t="shared" si="136"/>
        <v>-6.2893081761006275E-3</v>
      </c>
      <c r="Y63" s="71">
        <f t="shared" si="136"/>
        <v>5.6249999999999911E-2</v>
      </c>
      <c r="Z63" s="71">
        <f t="shared" si="136"/>
        <v>8.0745341614906874E-2</v>
      </c>
      <c r="AA63" s="23">
        <f t="shared" si="136"/>
        <v>3.4321372854914101E-2</v>
      </c>
      <c r="AB63" s="71">
        <f t="shared" si="136"/>
        <v>-6.1728395061728669E-3</v>
      </c>
      <c r="AC63" s="71">
        <f t="shared" si="136"/>
        <v>-0.19620253164556967</v>
      </c>
      <c r="AD63" s="71">
        <f t="shared" si="136"/>
        <v>-5.9171597633136397E-3</v>
      </c>
      <c r="AE63" s="71">
        <f t="shared" ref="AE63:AN63" si="137">AE61/Z61-1</f>
        <v>-0.13218390804597702</v>
      </c>
      <c r="AF63" s="23">
        <f t="shared" si="137"/>
        <v>-8.446455505279038E-2</v>
      </c>
      <c r="AG63" s="71">
        <f t="shared" si="137"/>
        <v>-3.105590062111796E-2</v>
      </c>
      <c r="AH63" s="71">
        <f t="shared" si="137"/>
        <v>0.22834645669291342</v>
      </c>
      <c r="AI63" s="71">
        <f t="shared" si="137"/>
        <v>-2.9761904761904767E-2</v>
      </c>
      <c r="AJ63" s="71">
        <f t="shared" si="137"/>
        <v>8.6092715231788075E-2</v>
      </c>
      <c r="AK63" s="23">
        <f t="shared" si="137"/>
        <v>5.2718286655683677E-2</v>
      </c>
      <c r="AL63" s="71">
        <f t="shared" si="137"/>
        <v>-3.8461538461538436E-2</v>
      </c>
      <c r="AM63" s="71">
        <f t="shared" si="137"/>
        <v>0</v>
      </c>
      <c r="AN63" s="71">
        <f t="shared" si="137"/>
        <v>-1.2269938650306789E-2</v>
      </c>
      <c r="AO63" s="71">
        <f>AO61/AJ61-1</f>
        <v>-9.1463414634146312E-2</v>
      </c>
      <c r="AP63" s="23">
        <f>AP61/AK61-1</f>
        <v>-3.5993740219092296E-2</v>
      </c>
      <c r="AQ63" s="71">
        <f t="shared" ref="AQ63:AS63" si="138">AQ61/AL61-1</f>
        <v>2.6666666666666616E-2</v>
      </c>
      <c r="AR63" s="71">
        <f t="shared" si="138"/>
        <v>-7.0512820512820484E-2</v>
      </c>
      <c r="AS63" s="71">
        <f t="shared" si="138"/>
        <v>-6.2111801242236031E-2</v>
      </c>
      <c r="AT63" s="71">
        <f>AT61/AO61-1</f>
        <v>4.0268456375838868E-2</v>
      </c>
      <c r="AU63" s="23">
        <f>AU61/AP61-1</f>
        <v>-1.7857142857142905E-2</v>
      </c>
      <c r="AV63" s="71">
        <f t="shared" ref="AV63:AX63" si="139">AV61/AQ61-1</f>
        <v>-4.5454545454545414E-2</v>
      </c>
      <c r="AW63" s="71">
        <f t="shared" si="139"/>
        <v>-4.8275862068965503E-2</v>
      </c>
      <c r="AX63" s="71">
        <f t="shared" si="139"/>
        <v>6.6225165562914245E-3</v>
      </c>
      <c r="AY63" s="71">
        <f>AY61/AT61-1</f>
        <v>-5.1612903225806472E-2</v>
      </c>
      <c r="AZ63" s="23">
        <v>-3.4710743801652844E-2</v>
      </c>
      <c r="BA63" s="71">
        <v>-0.51700680272108845</v>
      </c>
      <c r="BB63" s="71">
        <v>-0.50724637681159424</v>
      </c>
      <c r="BC63" s="71">
        <v>-0.51315789473684204</v>
      </c>
      <c r="BD63" s="71">
        <v>-0.50340136054421769</v>
      </c>
      <c r="BE63" s="23">
        <v>-0.51027397260273966</v>
      </c>
      <c r="BF63" s="71">
        <v>-4.2253521126760618E-2</v>
      </c>
      <c r="BG63" s="71">
        <v>-4.4117647058823484E-2</v>
      </c>
      <c r="BH63" s="71">
        <v>-5.4054054054054057E-2</v>
      </c>
      <c r="BI63" s="71">
        <v>-6.8493150684931559E-2</v>
      </c>
      <c r="BJ63" s="23">
        <v>-5.2447552447552392E-2</v>
      </c>
      <c r="BK63" s="71">
        <v>-4.4117647058823484E-2</v>
      </c>
    </row>
    <row r="64" spans="1:63" ht="13.5" customHeight="1">
      <c r="A64" s="67" t="s">
        <v>94</v>
      </c>
      <c r="B64" s="119" t="s">
        <v>40</v>
      </c>
      <c r="C64" s="78" t="s">
        <v>48</v>
      </c>
      <c r="D64" s="78" t="s">
        <v>48</v>
      </c>
      <c r="E64" s="78" t="s">
        <v>48</v>
      </c>
      <c r="F64" s="78" t="s">
        <v>48</v>
      </c>
      <c r="G64" s="119" t="s">
        <v>40</v>
      </c>
      <c r="H64" s="78" t="s">
        <v>48</v>
      </c>
      <c r="I64" s="78" t="s">
        <v>48</v>
      </c>
      <c r="J64" s="78" t="s">
        <v>48</v>
      </c>
      <c r="K64" s="78" t="s">
        <v>48</v>
      </c>
      <c r="L64" s="63">
        <v>626</v>
      </c>
      <c r="M64" s="78" t="s">
        <v>48</v>
      </c>
      <c r="N64" s="78" t="s">
        <v>48</v>
      </c>
      <c r="O64" s="78" t="s">
        <v>48</v>
      </c>
      <c r="P64" s="78" t="s">
        <v>48</v>
      </c>
      <c r="Q64" s="63">
        <v>622</v>
      </c>
      <c r="R64" s="68">
        <v>156</v>
      </c>
      <c r="S64" s="68">
        <v>158</v>
      </c>
      <c r="T64" s="68">
        <v>177</v>
      </c>
      <c r="U64" s="68">
        <f>V64-T64-S64-R64</f>
        <v>164</v>
      </c>
      <c r="V64" s="63">
        <v>655</v>
      </c>
      <c r="W64" s="68">
        <v>122</v>
      </c>
      <c r="X64" s="68">
        <v>152</v>
      </c>
      <c r="Y64" s="68">
        <v>156</v>
      </c>
      <c r="Z64" s="68">
        <f>AA64-Y64-X64-W64</f>
        <v>126</v>
      </c>
      <c r="AA64" s="63">
        <v>556</v>
      </c>
      <c r="AB64" s="68">
        <v>140</v>
      </c>
      <c r="AC64" s="68">
        <v>126</v>
      </c>
      <c r="AD64" s="68">
        <v>126</v>
      </c>
      <c r="AE64" s="68">
        <f>AF64-AD64-AC64-AB64</f>
        <v>171</v>
      </c>
      <c r="AF64" s="63">
        <v>563</v>
      </c>
      <c r="AG64" s="68">
        <v>153</v>
      </c>
      <c r="AH64" s="68">
        <v>153</v>
      </c>
      <c r="AI64" s="68">
        <v>152</v>
      </c>
      <c r="AJ64" s="68">
        <f>AK64-AI64-AH64-AG64</f>
        <v>145</v>
      </c>
      <c r="AK64" s="63">
        <v>603</v>
      </c>
      <c r="AL64" s="68">
        <v>129</v>
      </c>
      <c r="AM64" s="68">
        <v>160</v>
      </c>
      <c r="AN64" s="68">
        <v>164</v>
      </c>
      <c r="AO64" s="68">
        <f>AP64-AN64-AM64-AL64</f>
        <v>187</v>
      </c>
      <c r="AP64" s="63">
        <v>640</v>
      </c>
      <c r="AQ64" s="68">
        <v>177</v>
      </c>
      <c r="AR64" s="68">
        <v>168</v>
      </c>
      <c r="AS64" s="68">
        <v>180</v>
      </c>
      <c r="AT64" s="68">
        <f>AU64-AS64-AR64-AQ64</f>
        <v>172</v>
      </c>
      <c r="AU64" s="63">
        <v>697</v>
      </c>
      <c r="AV64" s="68">
        <v>144</v>
      </c>
      <c r="AW64" s="68">
        <v>134</v>
      </c>
      <c r="AX64" s="68">
        <v>159</v>
      </c>
      <c r="AY64" s="68">
        <f>AZ64-AX64-AW64-AV64</f>
        <v>158</v>
      </c>
      <c r="AZ64" s="63">
        <v>595</v>
      </c>
      <c r="BA64" s="68">
        <v>145</v>
      </c>
      <c r="BB64" s="68">
        <v>146</v>
      </c>
      <c r="BC64" s="68">
        <v>135</v>
      </c>
      <c r="BD64" s="68">
        <v>129</v>
      </c>
      <c r="BE64" s="63">
        <v>555</v>
      </c>
      <c r="BF64" s="68">
        <v>123</v>
      </c>
      <c r="BG64" s="68">
        <v>118</v>
      </c>
      <c r="BH64" s="68">
        <v>120</v>
      </c>
      <c r="BI64" s="68">
        <v>128</v>
      </c>
      <c r="BJ64" s="63">
        <v>489</v>
      </c>
      <c r="BK64" s="68">
        <v>117</v>
      </c>
    </row>
    <row r="65" spans="1:63" ht="9.75" customHeight="1">
      <c r="A65" s="69" t="s">
        <v>7</v>
      </c>
      <c r="B65" s="23"/>
      <c r="C65" s="92"/>
      <c r="D65" s="92"/>
      <c r="E65" s="92"/>
      <c r="F65" s="92"/>
      <c r="G65" s="23"/>
      <c r="H65" s="92"/>
      <c r="I65" s="92"/>
      <c r="J65" s="92"/>
      <c r="K65" s="92"/>
      <c r="L65" s="23"/>
      <c r="M65" s="92"/>
      <c r="N65" s="92"/>
      <c r="O65" s="92"/>
      <c r="P65" s="92"/>
      <c r="Q65" s="23"/>
      <c r="R65" s="70"/>
      <c r="S65" s="70">
        <f>S64/R64-1</f>
        <v>1.2820512820512775E-2</v>
      </c>
      <c r="T65" s="70">
        <f>T64/S64-1</f>
        <v>0.120253164556962</v>
      </c>
      <c r="U65" s="70">
        <f>U64/T64-1</f>
        <v>-7.3446327683615809E-2</v>
      </c>
      <c r="V65" s="23"/>
      <c r="W65" s="70">
        <f>W64/U64-1</f>
        <v>-0.25609756097560976</v>
      </c>
      <c r="X65" s="70">
        <f>X64/W64-1</f>
        <v>0.24590163934426235</v>
      </c>
      <c r="Y65" s="70">
        <f>Y64/X64-1</f>
        <v>2.6315789473684292E-2</v>
      </c>
      <c r="Z65" s="70">
        <f>Z64/Y64-1</f>
        <v>-0.19230769230769229</v>
      </c>
      <c r="AA65" s="23"/>
      <c r="AB65" s="70">
        <f>AB64/Z64-1</f>
        <v>0.11111111111111116</v>
      </c>
      <c r="AC65" s="70">
        <f>AC64/AB64-1</f>
        <v>-9.9999999999999978E-2</v>
      </c>
      <c r="AD65" s="70">
        <f>AD64/AC64-1</f>
        <v>0</v>
      </c>
      <c r="AE65" s="70">
        <f>AE64/AD64-1</f>
        <v>0.35714285714285721</v>
      </c>
      <c r="AF65" s="23"/>
      <c r="AG65" s="70">
        <f>AG64/AE64-1</f>
        <v>-0.10526315789473684</v>
      </c>
      <c r="AH65" s="70">
        <f>AH64/AG64-1</f>
        <v>0</v>
      </c>
      <c r="AI65" s="70">
        <f>AI64/AH64-1</f>
        <v>-6.5359477124182774E-3</v>
      </c>
      <c r="AJ65" s="70">
        <f>AJ64/AI64-1</f>
        <v>-4.6052631578947345E-2</v>
      </c>
      <c r="AK65" s="23"/>
      <c r="AL65" s="70">
        <f>AL64/AJ64-1</f>
        <v>-0.1103448275862069</v>
      </c>
      <c r="AM65" s="70">
        <f>AM64/AL64-1</f>
        <v>0.24031007751937983</v>
      </c>
      <c r="AN65" s="70">
        <f>AN64/AM64-1</f>
        <v>2.4999999999999911E-2</v>
      </c>
      <c r="AO65" s="70">
        <f>AO64/AN64-1</f>
        <v>0.14024390243902429</v>
      </c>
      <c r="AP65" s="23"/>
      <c r="AQ65" s="70">
        <f>AQ64/AO64-1</f>
        <v>-5.3475935828876997E-2</v>
      </c>
      <c r="AR65" s="70">
        <f>AR64/AQ64-1</f>
        <v>-5.084745762711862E-2</v>
      </c>
      <c r="AS65" s="70">
        <f>AS64/AR64-1</f>
        <v>7.1428571428571397E-2</v>
      </c>
      <c r="AT65" s="70">
        <f>AT64/AS64-1</f>
        <v>-4.4444444444444398E-2</v>
      </c>
      <c r="AU65" s="23"/>
      <c r="AV65" s="70">
        <f>AV64/AT64-1</f>
        <v>-0.16279069767441856</v>
      </c>
      <c r="AW65" s="70">
        <f>AW64/AV64-1</f>
        <v>-6.944444444444442E-2</v>
      </c>
      <c r="AX65" s="70">
        <f>AX64/AW64-1</f>
        <v>0.18656716417910446</v>
      </c>
      <c r="AY65" s="70">
        <f>AY64/AX64-1</f>
        <v>-6.2893081761006275E-3</v>
      </c>
      <c r="AZ65" s="23"/>
      <c r="BA65" s="70">
        <v>-8.2278481012658222E-2</v>
      </c>
      <c r="BB65" s="70">
        <v>6.8965517241379448E-3</v>
      </c>
      <c r="BC65" s="70">
        <v>-7.5342465753424626E-2</v>
      </c>
      <c r="BD65" s="70">
        <v>-4.4444444444444398E-2</v>
      </c>
      <c r="BE65" s="23"/>
      <c r="BF65" s="70">
        <v>-4.6511627906976716E-2</v>
      </c>
      <c r="BG65" s="70">
        <v>-4.065040650406504E-2</v>
      </c>
      <c r="BH65" s="70">
        <v>1.6949152542372836E-2</v>
      </c>
      <c r="BI65" s="70">
        <v>6.6666666666666652E-2</v>
      </c>
      <c r="BJ65" s="23"/>
      <c r="BK65" s="70">
        <v>-8.59375E-2</v>
      </c>
    </row>
    <row r="66" spans="1:63" ht="9.6" customHeight="1">
      <c r="A66" s="69" t="s">
        <v>8</v>
      </c>
      <c r="B66" s="23"/>
      <c r="C66" s="92"/>
      <c r="D66" s="92"/>
      <c r="E66" s="92"/>
      <c r="F66" s="92"/>
      <c r="G66" s="23"/>
      <c r="H66" s="92"/>
      <c r="I66" s="92"/>
      <c r="J66" s="92"/>
      <c r="K66" s="92"/>
      <c r="L66" s="23"/>
      <c r="M66" s="92"/>
      <c r="N66" s="92"/>
      <c r="O66" s="92"/>
      <c r="P66" s="92"/>
      <c r="Q66" s="23">
        <f>Q64/L64-1</f>
        <v>-6.389776357827448E-3</v>
      </c>
      <c r="R66" s="71"/>
      <c r="S66" s="71"/>
      <c r="T66" s="71"/>
      <c r="U66" s="71"/>
      <c r="V66" s="23">
        <f t="shared" ref="V66:AD66" si="140">V64/Q64-1</f>
        <v>5.3054662379421247E-2</v>
      </c>
      <c r="W66" s="71">
        <f t="shared" si="140"/>
        <v>-0.21794871794871795</v>
      </c>
      <c r="X66" s="71">
        <f t="shared" si="140"/>
        <v>-3.7974683544303778E-2</v>
      </c>
      <c r="Y66" s="71">
        <f t="shared" si="140"/>
        <v>-0.11864406779661019</v>
      </c>
      <c r="Z66" s="71">
        <f t="shared" si="140"/>
        <v>-0.23170731707317072</v>
      </c>
      <c r="AA66" s="23">
        <f t="shared" si="140"/>
        <v>-0.15114503816793889</v>
      </c>
      <c r="AB66" s="71">
        <f t="shared" si="140"/>
        <v>0.14754098360655732</v>
      </c>
      <c r="AC66" s="71">
        <f t="shared" si="140"/>
        <v>-0.17105263157894735</v>
      </c>
      <c r="AD66" s="71">
        <f t="shared" si="140"/>
        <v>-0.19230769230769229</v>
      </c>
      <c r="AE66" s="71">
        <f t="shared" ref="AE66:AN66" si="141">AE64/Z64-1</f>
        <v>0.35714285714285721</v>
      </c>
      <c r="AF66" s="23">
        <f t="shared" si="141"/>
        <v>1.2589928057553879E-2</v>
      </c>
      <c r="AG66" s="71">
        <f t="shared" si="141"/>
        <v>9.2857142857142749E-2</v>
      </c>
      <c r="AH66" s="71">
        <f t="shared" si="141"/>
        <v>0.21428571428571419</v>
      </c>
      <c r="AI66" s="71">
        <f t="shared" si="141"/>
        <v>0.20634920634920628</v>
      </c>
      <c r="AJ66" s="71">
        <f t="shared" si="141"/>
        <v>-0.15204678362573099</v>
      </c>
      <c r="AK66" s="23">
        <f t="shared" si="141"/>
        <v>7.104795737122549E-2</v>
      </c>
      <c r="AL66" s="71">
        <f t="shared" si="141"/>
        <v>-0.15686274509803921</v>
      </c>
      <c r="AM66" s="71">
        <f t="shared" si="141"/>
        <v>4.5751633986928164E-2</v>
      </c>
      <c r="AN66" s="71">
        <f t="shared" si="141"/>
        <v>7.8947368421052655E-2</v>
      </c>
      <c r="AO66" s="71">
        <f>AO64/AJ64-1</f>
        <v>0.28965517241379302</v>
      </c>
      <c r="AP66" s="23">
        <f>AP64/AK64-1</f>
        <v>6.1359867330016638E-2</v>
      </c>
      <c r="AQ66" s="71">
        <f t="shared" ref="AQ66:AS66" si="142">AQ64/AL64-1</f>
        <v>0.37209302325581395</v>
      </c>
      <c r="AR66" s="71">
        <f t="shared" si="142"/>
        <v>5.0000000000000044E-2</v>
      </c>
      <c r="AS66" s="71">
        <f t="shared" si="142"/>
        <v>9.7560975609756184E-2</v>
      </c>
      <c r="AT66" s="71">
        <f>AT64/AO64-1</f>
        <v>-8.0213903743315496E-2</v>
      </c>
      <c r="AU66" s="23">
        <f>AU64/AP64-1</f>
        <v>8.9062500000000044E-2</v>
      </c>
      <c r="AV66" s="71">
        <f t="shared" ref="AV66:AX66" si="143">AV64/AQ64-1</f>
        <v>-0.18644067796610164</v>
      </c>
      <c r="AW66" s="71">
        <f t="shared" si="143"/>
        <v>-0.20238095238095233</v>
      </c>
      <c r="AX66" s="71">
        <f t="shared" si="143"/>
        <v>-0.1166666666666667</v>
      </c>
      <c r="AY66" s="71">
        <f>AY64/AT64-1</f>
        <v>-8.1395348837209336E-2</v>
      </c>
      <c r="AZ66" s="23">
        <v>-0.14634146341463417</v>
      </c>
      <c r="BA66" s="71">
        <v>6.9444444444444198E-3</v>
      </c>
      <c r="BB66" s="71">
        <v>8.9552238805970186E-2</v>
      </c>
      <c r="BC66" s="71">
        <v>-0.15094339622641506</v>
      </c>
      <c r="BD66" s="71">
        <v>-0.18354430379746833</v>
      </c>
      <c r="BE66" s="23">
        <v>-6.7226890756302504E-2</v>
      </c>
      <c r="BF66" s="71">
        <v>-0.15172413793103445</v>
      </c>
      <c r="BG66" s="71">
        <v>-0.19178082191780821</v>
      </c>
      <c r="BH66" s="71">
        <v>-0.11111111111111116</v>
      </c>
      <c r="BI66" s="71">
        <v>-7.7519379844961378E-3</v>
      </c>
      <c r="BJ66" s="23">
        <v>-0.11891891891891893</v>
      </c>
      <c r="BK66" s="71">
        <v>-4.8780487804878092E-2</v>
      </c>
    </row>
    <row r="67" spans="1:63" ht="13.5" customHeight="1">
      <c r="A67" s="67" t="s">
        <v>86</v>
      </c>
      <c r="B67" s="119" t="s">
        <v>40</v>
      </c>
      <c r="C67" s="78" t="s">
        <v>48</v>
      </c>
      <c r="D67" s="78" t="s">
        <v>48</v>
      </c>
      <c r="E67" s="78" t="s">
        <v>48</v>
      </c>
      <c r="F67" s="78" t="s">
        <v>48</v>
      </c>
      <c r="G67" s="119" t="s">
        <v>40</v>
      </c>
      <c r="H67" s="78" t="s">
        <v>48</v>
      </c>
      <c r="I67" s="78" t="s">
        <v>48</v>
      </c>
      <c r="J67" s="78" t="s">
        <v>48</v>
      </c>
      <c r="K67" s="78" t="s">
        <v>48</v>
      </c>
      <c r="L67" s="63">
        <v>218</v>
      </c>
      <c r="M67" s="78" t="s">
        <v>48</v>
      </c>
      <c r="N67" s="78" t="s">
        <v>48</v>
      </c>
      <c r="O67" s="78" t="s">
        <v>48</v>
      </c>
      <c r="P67" s="78" t="s">
        <v>48</v>
      </c>
      <c r="Q67" s="63">
        <v>189</v>
      </c>
      <c r="R67" s="68">
        <v>46</v>
      </c>
      <c r="S67" s="68">
        <v>43</v>
      </c>
      <c r="T67" s="68">
        <v>42</v>
      </c>
      <c r="U67" s="68">
        <f>V67-T67-S67-R67</f>
        <v>39</v>
      </c>
      <c r="V67" s="63">
        <v>170</v>
      </c>
      <c r="W67" s="68">
        <v>43</v>
      </c>
      <c r="X67" s="68">
        <v>34</v>
      </c>
      <c r="Y67" s="68">
        <v>35</v>
      </c>
      <c r="Z67" s="68">
        <f>AA67-Y67-X67-W67</f>
        <v>46</v>
      </c>
      <c r="AA67" s="63">
        <v>158</v>
      </c>
      <c r="AB67" s="68">
        <v>38</v>
      </c>
      <c r="AC67" s="68">
        <v>36</v>
      </c>
      <c r="AD67" s="68">
        <v>33</v>
      </c>
      <c r="AE67" s="68">
        <f>AF67-AD67-AC67-AB67</f>
        <v>55</v>
      </c>
      <c r="AF67" s="63">
        <v>162</v>
      </c>
      <c r="AG67" s="68">
        <v>40</v>
      </c>
      <c r="AH67" s="68">
        <v>38</v>
      </c>
      <c r="AI67" s="68">
        <v>35</v>
      </c>
      <c r="AJ67" s="68">
        <f>AK67-AI67-AH67-AG67</f>
        <v>24</v>
      </c>
      <c r="AK67" s="63">
        <v>137</v>
      </c>
      <c r="AL67" s="68">
        <v>34</v>
      </c>
      <c r="AM67" s="68">
        <v>55</v>
      </c>
      <c r="AN67" s="68">
        <v>52</v>
      </c>
      <c r="AO67" s="68">
        <f>AP67-AN67-AM67-AL67</f>
        <v>58</v>
      </c>
      <c r="AP67" s="63">
        <v>199</v>
      </c>
      <c r="AQ67" s="68">
        <v>63</v>
      </c>
      <c r="AR67" s="68">
        <v>61</v>
      </c>
      <c r="AS67" s="68">
        <v>68</v>
      </c>
      <c r="AT67" s="68">
        <f>AU67-AS67-AR67-AQ67</f>
        <v>69</v>
      </c>
      <c r="AU67" s="63">
        <v>261</v>
      </c>
      <c r="AV67" s="68">
        <v>67</v>
      </c>
      <c r="AW67" s="68">
        <v>64</v>
      </c>
      <c r="AX67" s="68">
        <v>67</v>
      </c>
      <c r="AY67" s="68">
        <f>AZ67-AX67-AW67-AV67</f>
        <v>62</v>
      </c>
      <c r="AZ67" s="63">
        <v>260</v>
      </c>
      <c r="BA67" s="68">
        <v>71</v>
      </c>
      <c r="BB67" s="68">
        <v>68</v>
      </c>
      <c r="BC67" s="68">
        <v>68</v>
      </c>
      <c r="BD67" s="68">
        <v>70</v>
      </c>
      <c r="BE67" s="63">
        <v>277</v>
      </c>
      <c r="BF67" s="68">
        <v>70</v>
      </c>
      <c r="BG67" s="68">
        <v>68</v>
      </c>
      <c r="BH67" s="68">
        <v>63</v>
      </c>
      <c r="BI67" s="68">
        <v>69</v>
      </c>
      <c r="BJ67" s="63">
        <v>270</v>
      </c>
      <c r="BK67" s="68">
        <v>68</v>
      </c>
    </row>
    <row r="68" spans="1:63" ht="9.75" customHeight="1">
      <c r="A68" s="69" t="s">
        <v>7</v>
      </c>
      <c r="B68" s="23"/>
      <c r="C68" s="92"/>
      <c r="D68" s="92"/>
      <c r="E68" s="92"/>
      <c r="F68" s="92"/>
      <c r="G68" s="23"/>
      <c r="H68" s="92"/>
      <c r="I68" s="92"/>
      <c r="J68" s="92"/>
      <c r="K68" s="92"/>
      <c r="L68" s="23"/>
      <c r="M68" s="92"/>
      <c r="N68" s="92"/>
      <c r="O68" s="92"/>
      <c r="P68" s="92"/>
      <c r="Q68" s="23"/>
      <c r="R68" s="70"/>
      <c r="S68" s="70">
        <f>S67/R67-1</f>
        <v>-6.5217391304347783E-2</v>
      </c>
      <c r="T68" s="70">
        <f>T67/S67-1</f>
        <v>-2.3255813953488413E-2</v>
      </c>
      <c r="U68" s="70">
        <f>U67/T67-1</f>
        <v>-7.1428571428571397E-2</v>
      </c>
      <c r="V68" s="23"/>
      <c r="W68" s="70">
        <f>W67/U67-1</f>
        <v>0.10256410256410264</v>
      </c>
      <c r="X68" s="70">
        <f>X67/W67-1</f>
        <v>-0.20930232558139539</v>
      </c>
      <c r="Y68" s="70">
        <f>Y67/X67-1</f>
        <v>2.9411764705882248E-2</v>
      </c>
      <c r="Z68" s="70">
        <f>Z67/Y67-1</f>
        <v>0.31428571428571428</v>
      </c>
      <c r="AA68" s="23"/>
      <c r="AB68" s="70">
        <f>AB67/Z67-1</f>
        <v>-0.17391304347826086</v>
      </c>
      <c r="AC68" s="70">
        <f>AC67/AB67-1</f>
        <v>-5.2631578947368474E-2</v>
      </c>
      <c r="AD68" s="70">
        <f>AD67/AC67-1</f>
        <v>-8.333333333333337E-2</v>
      </c>
      <c r="AE68" s="70">
        <f>AE67/AD67-1</f>
        <v>0.66666666666666674</v>
      </c>
      <c r="AF68" s="23"/>
      <c r="AG68" s="70">
        <f>AG67/AE67-1</f>
        <v>-0.27272727272727271</v>
      </c>
      <c r="AH68" s="70">
        <f>AH67/AG67-1</f>
        <v>-5.0000000000000044E-2</v>
      </c>
      <c r="AI68" s="70">
        <f>AI67/AH67-1</f>
        <v>-7.8947368421052655E-2</v>
      </c>
      <c r="AJ68" s="70">
        <f>AJ67/AI67-1</f>
        <v>-0.31428571428571428</v>
      </c>
      <c r="AK68" s="23"/>
      <c r="AL68" s="70">
        <f>AL67/AJ67-1</f>
        <v>0.41666666666666674</v>
      </c>
      <c r="AM68" s="70">
        <f>AM67/AL67-1</f>
        <v>0.61764705882352944</v>
      </c>
      <c r="AN68" s="70">
        <f>AN67/AM67-1</f>
        <v>-5.4545454545454564E-2</v>
      </c>
      <c r="AO68" s="70">
        <f>AO67/AN67-1</f>
        <v>0.11538461538461542</v>
      </c>
      <c r="AP68" s="23"/>
      <c r="AQ68" s="70">
        <f>AQ67/AO67-1</f>
        <v>8.6206896551724199E-2</v>
      </c>
      <c r="AR68" s="70">
        <f>AR67/AQ67-1</f>
        <v>-3.1746031746031744E-2</v>
      </c>
      <c r="AS68" s="70">
        <f>AS67/AR67-1</f>
        <v>0.11475409836065564</v>
      </c>
      <c r="AT68" s="70">
        <f>AT67/AS67-1</f>
        <v>1.4705882352941124E-2</v>
      </c>
      <c r="AU68" s="23"/>
      <c r="AV68" s="70">
        <f>AV67/AT67-1</f>
        <v>-2.8985507246376829E-2</v>
      </c>
      <c r="AW68" s="70">
        <f>AW67/AV67-1</f>
        <v>-4.4776119402985093E-2</v>
      </c>
      <c r="AX68" s="70">
        <f>AX67/AW67-1</f>
        <v>4.6875E-2</v>
      </c>
      <c r="AY68" s="70">
        <f>AY67/AX67-1</f>
        <v>-7.4626865671641784E-2</v>
      </c>
      <c r="AZ68" s="23"/>
      <c r="BA68" s="70">
        <v>0.14516129032258074</v>
      </c>
      <c r="BB68" s="70">
        <v>-4.2253521126760618E-2</v>
      </c>
      <c r="BC68" s="70">
        <v>0</v>
      </c>
      <c r="BD68" s="70">
        <v>2.9411764705882248E-2</v>
      </c>
      <c r="BE68" s="23"/>
      <c r="BF68" s="70">
        <v>0</v>
      </c>
      <c r="BG68" s="70">
        <v>-2.8571428571428581E-2</v>
      </c>
      <c r="BH68" s="70">
        <v>-7.3529411764705843E-2</v>
      </c>
      <c r="BI68" s="70">
        <v>9.5238095238095344E-2</v>
      </c>
      <c r="BJ68" s="23"/>
      <c r="BK68" s="70">
        <v>-1.4492753623188359E-2</v>
      </c>
    </row>
    <row r="69" spans="1:63" ht="10.15" customHeight="1">
      <c r="A69" s="69" t="s">
        <v>8</v>
      </c>
      <c r="B69" s="23"/>
      <c r="C69" s="92"/>
      <c r="D69" s="92"/>
      <c r="E69" s="92"/>
      <c r="F69" s="92"/>
      <c r="G69" s="23"/>
      <c r="H69" s="92"/>
      <c r="I69" s="92"/>
      <c r="J69" s="92"/>
      <c r="K69" s="92"/>
      <c r="L69" s="23"/>
      <c r="M69" s="92"/>
      <c r="N69" s="92"/>
      <c r="O69" s="92"/>
      <c r="P69" s="92"/>
      <c r="Q69" s="23">
        <f>Q67/L67-1</f>
        <v>-0.1330275229357798</v>
      </c>
      <c r="R69" s="71"/>
      <c r="S69" s="71"/>
      <c r="T69" s="71"/>
      <c r="U69" s="71"/>
      <c r="V69" s="23">
        <f t="shared" ref="V69:AD69" si="144">V67/Q67-1</f>
        <v>-0.10052910052910058</v>
      </c>
      <c r="W69" s="71">
        <f t="shared" si="144"/>
        <v>-6.5217391304347783E-2</v>
      </c>
      <c r="X69" s="71">
        <f t="shared" si="144"/>
        <v>-0.20930232558139539</v>
      </c>
      <c r="Y69" s="71">
        <f t="shared" si="144"/>
        <v>-0.16666666666666663</v>
      </c>
      <c r="Z69" s="71">
        <f t="shared" si="144"/>
        <v>0.17948717948717952</v>
      </c>
      <c r="AA69" s="23">
        <f t="shared" si="144"/>
        <v>-7.0588235294117618E-2</v>
      </c>
      <c r="AB69" s="71">
        <f t="shared" si="144"/>
        <v>-0.11627906976744184</v>
      </c>
      <c r="AC69" s="71">
        <f t="shared" si="144"/>
        <v>5.8823529411764719E-2</v>
      </c>
      <c r="AD69" s="71">
        <f t="shared" si="144"/>
        <v>-5.7142857142857162E-2</v>
      </c>
      <c r="AE69" s="71">
        <f t="shared" ref="AE69:AN69" si="145">AE67/Z67-1</f>
        <v>0.19565217391304346</v>
      </c>
      <c r="AF69" s="23">
        <f t="shared" si="145"/>
        <v>2.5316455696202445E-2</v>
      </c>
      <c r="AG69" s="71">
        <f t="shared" si="145"/>
        <v>5.2631578947368363E-2</v>
      </c>
      <c r="AH69" s="71">
        <f t="shared" si="145"/>
        <v>5.555555555555558E-2</v>
      </c>
      <c r="AI69" s="71">
        <f t="shared" si="145"/>
        <v>6.0606060606060552E-2</v>
      </c>
      <c r="AJ69" s="71">
        <f t="shared" si="145"/>
        <v>-0.56363636363636371</v>
      </c>
      <c r="AK69" s="23">
        <f t="shared" si="145"/>
        <v>-0.15432098765432101</v>
      </c>
      <c r="AL69" s="71">
        <f t="shared" si="145"/>
        <v>-0.15000000000000002</v>
      </c>
      <c r="AM69" s="71">
        <f t="shared" si="145"/>
        <v>0.44736842105263164</v>
      </c>
      <c r="AN69" s="71">
        <f t="shared" si="145"/>
        <v>0.48571428571428577</v>
      </c>
      <c r="AO69" s="71">
        <f>AO67/AJ67-1</f>
        <v>1.4166666666666665</v>
      </c>
      <c r="AP69" s="23">
        <f>AP67/AK67-1</f>
        <v>0.45255474452554734</v>
      </c>
      <c r="AQ69" s="71">
        <f t="shared" ref="AQ69:AS69" si="146">AQ67/AL67-1</f>
        <v>0.85294117647058831</v>
      </c>
      <c r="AR69" s="71">
        <f t="shared" si="146"/>
        <v>0.10909090909090913</v>
      </c>
      <c r="AS69" s="71">
        <f t="shared" si="146"/>
        <v>0.30769230769230771</v>
      </c>
      <c r="AT69" s="71">
        <f>AT67/AO67-1</f>
        <v>0.18965517241379315</v>
      </c>
      <c r="AU69" s="23">
        <f>AU67/AP67-1</f>
        <v>0.31155778894472363</v>
      </c>
      <c r="AV69" s="71">
        <f t="shared" ref="AV69:AX69" si="147">AV67/AQ67-1</f>
        <v>6.3492063492063489E-2</v>
      </c>
      <c r="AW69" s="71">
        <f t="shared" si="147"/>
        <v>4.9180327868852514E-2</v>
      </c>
      <c r="AX69" s="71">
        <f t="shared" si="147"/>
        <v>-1.4705882352941124E-2</v>
      </c>
      <c r="AY69" s="71">
        <f>AY67/AT67-1</f>
        <v>-0.10144927536231885</v>
      </c>
      <c r="AZ69" s="23">
        <v>-3.8314176245211051E-3</v>
      </c>
      <c r="BA69" s="71">
        <v>5.9701492537313383E-2</v>
      </c>
      <c r="BB69" s="71">
        <v>6.25E-2</v>
      </c>
      <c r="BC69" s="71">
        <v>1.4925373134328401E-2</v>
      </c>
      <c r="BD69" s="71">
        <v>0.12903225806451624</v>
      </c>
      <c r="BE69" s="23">
        <v>6.5384615384615374E-2</v>
      </c>
      <c r="BF69" s="71">
        <v>-1.4084507042253502E-2</v>
      </c>
      <c r="BG69" s="71">
        <v>0</v>
      </c>
      <c r="BH69" s="71">
        <v>-7.3529411764705843E-2</v>
      </c>
      <c r="BI69" s="71">
        <v>-1.4285714285714235E-2</v>
      </c>
      <c r="BJ69" s="23">
        <v>-2.5270758122743708E-2</v>
      </c>
      <c r="BK69" s="71">
        <v>-2.8571428571428581E-2</v>
      </c>
    </row>
    <row r="70" spans="1:63" ht="11.25" customHeight="1">
      <c r="A70" s="67" t="s">
        <v>93</v>
      </c>
      <c r="B70" s="119" t="s">
        <v>40</v>
      </c>
      <c r="C70" s="78" t="s">
        <v>48</v>
      </c>
      <c r="D70" s="78" t="s">
        <v>48</v>
      </c>
      <c r="E70" s="78" t="s">
        <v>48</v>
      </c>
      <c r="F70" s="78" t="s">
        <v>48</v>
      </c>
      <c r="G70" s="119" t="s">
        <v>40</v>
      </c>
      <c r="H70" s="78" t="s">
        <v>48</v>
      </c>
      <c r="I70" s="78" t="s">
        <v>48</v>
      </c>
      <c r="J70" s="78" t="s">
        <v>48</v>
      </c>
      <c r="K70" s="78" t="s">
        <v>48</v>
      </c>
      <c r="L70" s="63">
        <v>177</v>
      </c>
      <c r="M70" s="78" t="s">
        <v>48</v>
      </c>
      <c r="N70" s="78" t="s">
        <v>48</v>
      </c>
      <c r="O70" s="78" t="s">
        <v>48</v>
      </c>
      <c r="P70" s="78" t="s">
        <v>48</v>
      </c>
      <c r="Q70" s="63">
        <v>188</v>
      </c>
      <c r="R70" s="68">
        <v>42</v>
      </c>
      <c r="S70" s="68">
        <v>33</v>
      </c>
      <c r="T70" s="68">
        <v>37</v>
      </c>
      <c r="U70" s="68">
        <f>V70-T70-S70-R70</f>
        <v>30</v>
      </c>
      <c r="V70" s="63">
        <v>142</v>
      </c>
      <c r="W70" s="68">
        <v>38</v>
      </c>
      <c r="X70" s="68">
        <v>39</v>
      </c>
      <c r="Y70" s="68">
        <v>44</v>
      </c>
      <c r="Z70" s="68">
        <f>AA70-Y70-X70-W70</f>
        <v>41</v>
      </c>
      <c r="AA70" s="63">
        <v>162</v>
      </c>
      <c r="AB70" s="68">
        <v>37</v>
      </c>
      <c r="AC70" s="68">
        <v>38</v>
      </c>
      <c r="AD70" s="68">
        <v>38</v>
      </c>
      <c r="AE70" s="68">
        <f>AF70-AD70-AC70-AB70</f>
        <v>39</v>
      </c>
      <c r="AF70" s="63">
        <v>152</v>
      </c>
      <c r="AG70" s="68">
        <v>37</v>
      </c>
      <c r="AH70" s="68">
        <v>40</v>
      </c>
      <c r="AI70" s="68">
        <v>38</v>
      </c>
      <c r="AJ70" s="68">
        <f>AK70-AI70-AH70-AG70</f>
        <v>39</v>
      </c>
      <c r="AK70" s="63">
        <v>154</v>
      </c>
      <c r="AL70" s="68">
        <v>35</v>
      </c>
      <c r="AM70" s="68">
        <v>41</v>
      </c>
      <c r="AN70" s="68">
        <v>47</v>
      </c>
      <c r="AO70" s="68">
        <f>AP70-AN70-AM70-AL70</f>
        <v>44</v>
      </c>
      <c r="AP70" s="63">
        <v>167</v>
      </c>
      <c r="AQ70" s="68">
        <v>42</v>
      </c>
      <c r="AR70" s="68">
        <v>39</v>
      </c>
      <c r="AS70" s="68">
        <v>42</v>
      </c>
      <c r="AT70" s="68">
        <f>AU70-AS70-AR70-AQ70</f>
        <v>41</v>
      </c>
      <c r="AU70" s="63">
        <v>164</v>
      </c>
      <c r="AV70" s="68">
        <v>42</v>
      </c>
      <c r="AW70" s="68">
        <v>39</v>
      </c>
      <c r="AX70" s="68">
        <v>38</v>
      </c>
      <c r="AY70" s="68">
        <f>AZ70-AX70-AW70-AV70</f>
        <v>37</v>
      </c>
      <c r="AZ70" s="63">
        <v>156</v>
      </c>
      <c r="BA70" s="68">
        <v>17</v>
      </c>
      <c r="BB70" s="68">
        <v>20</v>
      </c>
      <c r="BC70" s="68">
        <v>19</v>
      </c>
      <c r="BD70" s="68">
        <v>26</v>
      </c>
      <c r="BE70" s="63">
        <v>82</v>
      </c>
      <c r="BF70" s="68">
        <v>18</v>
      </c>
      <c r="BG70" s="68">
        <v>20</v>
      </c>
      <c r="BH70" s="68">
        <v>16</v>
      </c>
      <c r="BI70" s="68">
        <v>17</v>
      </c>
      <c r="BJ70" s="63">
        <v>71</v>
      </c>
      <c r="BK70" s="68">
        <v>14</v>
      </c>
    </row>
    <row r="71" spans="1:63" ht="9" customHeight="1">
      <c r="A71" s="69" t="s">
        <v>7</v>
      </c>
      <c r="B71" s="23"/>
      <c r="C71" s="92"/>
      <c r="D71" s="92"/>
      <c r="E71" s="92"/>
      <c r="F71" s="92"/>
      <c r="G71" s="23"/>
      <c r="H71" s="92"/>
      <c r="I71" s="92"/>
      <c r="J71" s="92"/>
      <c r="K71" s="92"/>
      <c r="L71" s="23"/>
      <c r="M71" s="92"/>
      <c r="N71" s="92"/>
      <c r="O71" s="92"/>
      <c r="P71" s="92"/>
      <c r="Q71" s="23"/>
      <c r="R71" s="70"/>
      <c r="S71" s="70">
        <f>S70/R70-1</f>
        <v>-0.2142857142857143</v>
      </c>
      <c r="T71" s="70">
        <f>T70/S70-1</f>
        <v>0.1212121212121211</v>
      </c>
      <c r="U71" s="70">
        <f>U70/T70-1</f>
        <v>-0.18918918918918914</v>
      </c>
      <c r="V71" s="23"/>
      <c r="W71" s="70">
        <f>W70/U70-1</f>
        <v>0.26666666666666661</v>
      </c>
      <c r="X71" s="70">
        <f>X70/W70-1</f>
        <v>2.6315789473684292E-2</v>
      </c>
      <c r="Y71" s="70">
        <f>Y70/X70-1</f>
        <v>0.12820512820512819</v>
      </c>
      <c r="Z71" s="70">
        <f>Z70/Y70-1</f>
        <v>-6.8181818181818232E-2</v>
      </c>
      <c r="AA71" s="23"/>
      <c r="AB71" s="70">
        <f>AB70/Z70-1</f>
        <v>-9.7560975609756073E-2</v>
      </c>
      <c r="AC71" s="70">
        <f>AC70/AB70-1</f>
        <v>2.7027027027026973E-2</v>
      </c>
      <c r="AD71" s="70">
        <f>AD70/AC70-1</f>
        <v>0</v>
      </c>
      <c r="AE71" s="70">
        <f>AE70/AD70-1</f>
        <v>2.6315789473684292E-2</v>
      </c>
      <c r="AF71" s="23"/>
      <c r="AG71" s="70">
        <f>AG70/AE70-1</f>
        <v>-5.1282051282051322E-2</v>
      </c>
      <c r="AH71" s="70">
        <f>AH70/AG70-1</f>
        <v>8.1081081081081141E-2</v>
      </c>
      <c r="AI71" s="70">
        <f>AI70/AH70-1</f>
        <v>-5.0000000000000044E-2</v>
      </c>
      <c r="AJ71" s="70">
        <f>AJ70/AI70-1</f>
        <v>2.6315789473684292E-2</v>
      </c>
      <c r="AK71" s="23"/>
      <c r="AL71" s="70">
        <f>AL70/AJ70-1</f>
        <v>-0.10256410256410253</v>
      </c>
      <c r="AM71" s="70">
        <f>AM70/AL70-1</f>
        <v>0.17142857142857149</v>
      </c>
      <c r="AN71" s="70">
        <f>AN70/AM70-1</f>
        <v>0.14634146341463405</v>
      </c>
      <c r="AO71" s="70">
        <f>AO70/AN70-1</f>
        <v>-6.3829787234042534E-2</v>
      </c>
      <c r="AP71" s="23"/>
      <c r="AQ71" s="70">
        <f>AQ70/AO70-1</f>
        <v>-4.5454545454545414E-2</v>
      </c>
      <c r="AR71" s="70">
        <f>AR70/AQ70-1</f>
        <v>-7.1428571428571397E-2</v>
      </c>
      <c r="AS71" s="70">
        <f>AS70/AR70-1</f>
        <v>7.6923076923076872E-2</v>
      </c>
      <c r="AT71" s="70">
        <f>AT70/AS70-1</f>
        <v>-2.3809523809523836E-2</v>
      </c>
      <c r="AU71" s="23"/>
      <c r="AV71" s="70">
        <f>AV70/AT70-1</f>
        <v>2.4390243902439046E-2</v>
      </c>
      <c r="AW71" s="70">
        <f>AW70/AV70-1</f>
        <v>-7.1428571428571397E-2</v>
      </c>
      <c r="AX71" s="70">
        <f>AX70/AW70-1</f>
        <v>-2.5641025641025661E-2</v>
      </c>
      <c r="AY71" s="70">
        <f>AY70/AX70-1</f>
        <v>-2.6315789473684181E-2</v>
      </c>
      <c r="AZ71" s="23"/>
      <c r="BA71" s="70">
        <v>-0.54054054054054057</v>
      </c>
      <c r="BB71" s="70">
        <v>0.17647058823529416</v>
      </c>
      <c r="BC71" s="70">
        <v>-5.0000000000000044E-2</v>
      </c>
      <c r="BD71" s="70">
        <v>0.36842105263157898</v>
      </c>
      <c r="BE71" s="23"/>
      <c r="BF71" s="70">
        <v>-0.30769230769230771</v>
      </c>
      <c r="BG71" s="70">
        <v>0.11111111111111116</v>
      </c>
      <c r="BH71" s="70">
        <v>-0.19999999999999996</v>
      </c>
      <c r="BI71" s="70">
        <v>6.25E-2</v>
      </c>
      <c r="BJ71" s="23"/>
      <c r="BK71" s="70">
        <v>-0.17647058823529416</v>
      </c>
    </row>
    <row r="72" spans="1:63" ht="10.15" customHeight="1">
      <c r="A72" s="69" t="s">
        <v>8</v>
      </c>
      <c r="B72" s="23"/>
      <c r="C72" s="92"/>
      <c r="D72" s="92"/>
      <c r="E72" s="92"/>
      <c r="F72" s="92"/>
      <c r="G72" s="23"/>
      <c r="H72" s="92"/>
      <c r="I72" s="92"/>
      <c r="J72" s="92"/>
      <c r="K72" s="92"/>
      <c r="L72" s="23"/>
      <c r="M72" s="92"/>
      <c r="N72" s="92"/>
      <c r="O72" s="92"/>
      <c r="P72" s="92"/>
      <c r="Q72" s="23">
        <f>Q70/L70-1</f>
        <v>6.2146892655367214E-2</v>
      </c>
      <c r="R72" s="71"/>
      <c r="S72" s="71"/>
      <c r="T72" s="71"/>
      <c r="U72" s="71"/>
      <c r="V72" s="23">
        <f t="shared" ref="V72:AD72" si="148">V70/Q70-1</f>
        <v>-0.24468085106382975</v>
      </c>
      <c r="W72" s="71">
        <f t="shared" si="148"/>
        <v>-9.5238095238095233E-2</v>
      </c>
      <c r="X72" s="71">
        <f t="shared" si="148"/>
        <v>0.18181818181818188</v>
      </c>
      <c r="Y72" s="71">
        <f t="shared" si="148"/>
        <v>0.18918918918918926</v>
      </c>
      <c r="Z72" s="71">
        <f t="shared" si="148"/>
        <v>0.3666666666666667</v>
      </c>
      <c r="AA72" s="23">
        <f t="shared" si="148"/>
        <v>0.14084507042253525</v>
      </c>
      <c r="AB72" s="71">
        <f t="shared" si="148"/>
        <v>-2.6315789473684181E-2</v>
      </c>
      <c r="AC72" s="71">
        <f t="shared" si="148"/>
        <v>-2.5641025641025661E-2</v>
      </c>
      <c r="AD72" s="71">
        <f t="shared" si="148"/>
        <v>-0.13636363636363635</v>
      </c>
      <c r="AE72" s="71">
        <f t="shared" ref="AE72:AN72" si="149">AE70/Z70-1</f>
        <v>-4.8780487804878092E-2</v>
      </c>
      <c r="AF72" s="23">
        <f t="shared" si="149"/>
        <v>-6.1728395061728447E-2</v>
      </c>
      <c r="AG72" s="71">
        <f t="shared" si="149"/>
        <v>0</v>
      </c>
      <c r="AH72" s="71">
        <f t="shared" si="149"/>
        <v>5.2631578947368363E-2</v>
      </c>
      <c r="AI72" s="71">
        <f t="shared" si="149"/>
        <v>0</v>
      </c>
      <c r="AJ72" s="71">
        <f t="shared" si="149"/>
        <v>0</v>
      </c>
      <c r="AK72" s="23">
        <f t="shared" si="149"/>
        <v>1.3157894736842035E-2</v>
      </c>
      <c r="AL72" s="71">
        <f t="shared" si="149"/>
        <v>-5.4054054054054057E-2</v>
      </c>
      <c r="AM72" s="71">
        <f t="shared" si="149"/>
        <v>2.4999999999999911E-2</v>
      </c>
      <c r="AN72" s="71">
        <f t="shared" si="149"/>
        <v>0.23684210526315796</v>
      </c>
      <c r="AO72" s="71">
        <f>AO70/AJ70-1</f>
        <v>0.12820512820512819</v>
      </c>
      <c r="AP72" s="23">
        <f>AP70/AK70-1</f>
        <v>8.4415584415584499E-2</v>
      </c>
      <c r="AQ72" s="71">
        <f t="shared" ref="AQ72:AS72" si="150">AQ70/AL70-1</f>
        <v>0.19999999999999996</v>
      </c>
      <c r="AR72" s="71">
        <f t="shared" si="150"/>
        <v>-4.8780487804878092E-2</v>
      </c>
      <c r="AS72" s="71">
        <f t="shared" si="150"/>
        <v>-0.1063829787234043</v>
      </c>
      <c r="AT72" s="71">
        <f>AT70/AO70-1</f>
        <v>-6.8181818181818232E-2</v>
      </c>
      <c r="AU72" s="23">
        <f>AU70/AP70-1</f>
        <v>-1.7964071856287456E-2</v>
      </c>
      <c r="AV72" s="71">
        <f t="shared" ref="AV72:AX72" si="151">AV70/AQ70-1</f>
        <v>0</v>
      </c>
      <c r="AW72" s="71">
        <f t="shared" si="151"/>
        <v>0</v>
      </c>
      <c r="AX72" s="71">
        <f t="shared" si="151"/>
        <v>-9.5238095238095233E-2</v>
      </c>
      <c r="AY72" s="71">
        <f>AY70/AT70-1</f>
        <v>-9.7560975609756073E-2</v>
      </c>
      <c r="AZ72" s="23">
        <v>-4.8780487804878092E-2</v>
      </c>
      <c r="BA72" s="71">
        <v>-0.59523809523809523</v>
      </c>
      <c r="BB72" s="71">
        <v>-0.48717948717948723</v>
      </c>
      <c r="BC72" s="71">
        <v>-0.5</v>
      </c>
      <c r="BD72" s="71">
        <v>-0.29729729729729726</v>
      </c>
      <c r="BE72" s="23">
        <v>-0.47435897435897434</v>
      </c>
      <c r="BF72" s="71">
        <v>5.8823529411764719E-2</v>
      </c>
      <c r="BG72" s="71">
        <v>0</v>
      </c>
      <c r="BH72" s="71">
        <v>-0.15789473684210531</v>
      </c>
      <c r="BI72" s="71">
        <v>-0.34615384615384615</v>
      </c>
      <c r="BJ72" s="23">
        <v>-0.13414634146341464</v>
      </c>
      <c r="BK72" s="71">
        <v>-0.22222222222222221</v>
      </c>
    </row>
    <row r="73" spans="1:63" ht="13.5" customHeight="1">
      <c r="A73" s="67" t="s">
        <v>191</v>
      </c>
      <c r="B73" s="119" t="s">
        <v>40</v>
      </c>
      <c r="C73" s="78" t="s">
        <v>48</v>
      </c>
      <c r="D73" s="78" t="s">
        <v>48</v>
      </c>
      <c r="E73" s="78" t="s">
        <v>48</v>
      </c>
      <c r="F73" s="78" t="s">
        <v>48</v>
      </c>
      <c r="G73" s="119" t="s">
        <v>40</v>
      </c>
      <c r="H73" s="78" t="s">
        <v>48</v>
      </c>
      <c r="I73" s="78" t="s">
        <v>48</v>
      </c>
      <c r="J73" s="78" t="s">
        <v>48</v>
      </c>
      <c r="K73" s="78" t="s">
        <v>48</v>
      </c>
      <c r="L73" s="63">
        <v>151</v>
      </c>
      <c r="M73" s="78" t="s">
        <v>48</v>
      </c>
      <c r="N73" s="78" t="s">
        <v>48</v>
      </c>
      <c r="O73" s="78" t="s">
        <v>48</v>
      </c>
      <c r="P73" s="78" t="s">
        <v>48</v>
      </c>
      <c r="Q73" s="63">
        <v>156</v>
      </c>
      <c r="R73" s="68">
        <v>33</v>
      </c>
      <c r="S73" s="68">
        <v>32</v>
      </c>
      <c r="T73" s="68">
        <v>30</v>
      </c>
      <c r="U73" s="68">
        <f>V73-T73-S73-R73</f>
        <v>28</v>
      </c>
      <c r="V73" s="63">
        <v>123</v>
      </c>
      <c r="W73" s="68">
        <v>24</v>
      </c>
      <c r="X73" s="68">
        <v>24</v>
      </c>
      <c r="Y73" s="68">
        <v>21</v>
      </c>
      <c r="Z73" s="68">
        <f>AA73-Y73-X73-W73</f>
        <v>34</v>
      </c>
      <c r="AA73" s="63">
        <v>103</v>
      </c>
      <c r="AB73" s="68">
        <v>17</v>
      </c>
      <c r="AC73" s="68">
        <v>17</v>
      </c>
      <c r="AD73" s="68">
        <v>16</v>
      </c>
      <c r="AE73" s="68">
        <f>AF73-AD73-AC73-AB73</f>
        <v>15</v>
      </c>
      <c r="AF73" s="63">
        <v>65</v>
      </c>
      <c r="AG73" s="68">
        <v>15</v>
      </c>
      <c r="AH73" s="68">
        <v>15</v>
      </c>
      <c r="AI73" s="68">
        <v>15</v>
      </c>
      <c r="AJ73" s="68">
        <f>AK73-AI73-AH73-AG73</f>
        <v>13</v>
      </c>
      <c r="AK73" s="63">
        <v>58</v>
      </c>
      <c r="AL73" s="68">
        <v>13</v>
      </c>
      <c r="AM73" s="68">
        <v>144</v>
      </c>
      <c r="AN73" s="68">
        <v>147</v>
      </c>
      <c r="AO73" s="68">
        <f>AP73-AN73-AM73-AL73</f>
        <v>154</v>
      </c>
      <c r="AP73" s="63">
        <v>458</v>
      </c>
      <c r="AQ73" s="68">
        <v>154</v>
      </c>
      <c r="AR73" s="68">
        <v>147</v>
      </c>
      <c r="AS73" s="68">
        <v>165</v>
      </c>
      <c r="AT73" s="68">
        <f>AU73-AS73-AR73-AQ73</f>
        <v>163</v>
      </c>
      <c r="AU73" s="63">
        <v>629</v>
      </c>
      <c r="AV73" s="68">
        <v>161</v>
      </c>
      <c r="AW73" s="68">
        <v>162</v>
      </c>
      <c r="AX73" s="68">
        <v>158</v>
      </c>
      <c r="AY73" s="68">
        <f>AZ73-AX73-AW73-AV73</f>
        <v>155</v>
      </c>
      <c r="AZ73" s="63">
        <v>636</v>
      </c>
      <c r="BA73" s="68">
        <v>156</v>
      </c>
      <c r="BB73" s="68">
        <v>169</v>
      </c>
      <c r="BC73" s="68">
        <v>155</v>
      </c>
      <c r="BD73" s="68">
        <v>173</v>
      </c>
      <c r="BE73" s="63">
        <v>653</v>
      </c>
      <c r="BF73" s="68">
        <v>160</v>
      </c>
      <c r="BG73" s="68">
        <v>176</v>
      </c>
      <c r="BH73" s="68">
        <v>149</v>
      </c>
      <c r="BI73" s="68">
        <v>159</v>
      </c>
      <c r="BJ73" s="63">
        <v>644</v>
      </c>
      <c r="BK73" s="68">
        <v>164</v>
      </c>
    </row>
    <row r="74" spans="1:63" ht="9.6" customHeight="1">
      <c r="A74" s="69" t="s">
        <v>7</v>
      </c>
      <c r="B74" s="23"/>
      <c r="C74" s="92"/>
      <c r="D74" s="92"/>
      <c r="E74" s="92"/>
      <c r="F74" s="92"/>
      <c r="G74" s="23"/>
      <c r="H74" s="92"/>
      <c r="I74" s="92"/>
      <c r="J74" s="92"/>
      <c r="K74" s="92"/>
      <c r="L74" s="23"/>
      <c r="M74" s="92"/>
      <c r="N74" s="92"/>
      <c r="O74" s="92"/>
      <c r="P74" s="92"/>
      <c r="Q74" s="23"/>
      <c r="R74" s="70"/>
      <c r="S74" s="70">
        <f>S73/R73-1</f>
        <v>-3.0303030303030276E-2</v>
      </c>
      <c r="T74" s="70">
        <f>T73/S73-1</f>
        <v>-6.25E-2</v>
      </c>
      <c r="U74" s="70">
        <f>U73/T73-1</f>
        <v>-6.6666666666666652E-2</v>
      </c>
      <c r="V74" s="23"/>
      <c r="W74" s="70">
        <f>W73/U73-1</f>
        <v>-0.1428571428571429</v>
      </c>
      <c r="X74" s="70">
        <f>X73/W73-1</f>
        <v>0</v>
      </c>
      <c r="Y74" s="70">
        <f>Y73/X73-1</f>
        <v>-0.125</v>
      </c>
      <c r="Z74" s="70">
        <f>Z73/Y73-1</f>
        <v>0.61904761904761907</v>
      </c>
      <c r="AA74" s="23"/>
      <c r="AB74" s="70">
        <f>AB73/Z73-1</f>
        <v>-0.5</v>
      </c>
      <c r="AC74" s="70">
        <f>AC73/AB73-1</f>
        <v>0</v>
      </c>
      <c r="AD74" s="70">
        <f>AD73/AC73-1</f>
        <v>-5.8823529411764719E-2</v>
      </c>
      <c r="AE74" s="70">
        <f>AE73/AD73-1</f>
        <v>-6.25E-2</v>
      </c>
      <c r="AF74" s="23"/>
      <c r="AG74" s="70">
        <f>AG73/AE73-1</f>
        <v>0</v>
      </c>
      <c r="AH74" s="70">
        <f>AH73/AG73-1</f>
        <v>0</v>
      </c>
      <c r="AI74" s="70">
        <f>AI73/AH73-1</f>
        <v>0</v>
      </c>
      <c r="AJ74" s="70">
        <f>AJ73/AI73-1</f>
        <v>-0.1333333333333333</v>
      </c>
      <c r="AK74" s="23"/>
      <c r="AL74" s="70">
        <f>AL73/AJ73-1</f>
        <v>0</v>
      </c>
      <c r="AM74" s="83" t="s">
        <v>39</v>
      </c>
      <c r="AN74" s="70">
        <f>AN73/AM73-1</f>
        <v>2.0833333333333259E-2</v>
      </c>
      <c r="AO74" s="70">
        <f>AO73/AN73-1</f>
        <v>4.7619047619047672E-2</v>
      </c>
      <c r="AP74" s="23"/>
      <c r="AQ74" s="70">
        <f>AQ73/AO73-1</f>
        <v>0</v>
      </c>
      <c r="AR74" s="70">
        <f>AR73/AQ73-1</f>
        <v>-4.5454545454545414E-2</v>
      </c>
      <c r="AS74" s="70">
        <f>AS73/AR73-1</f>
        <v>0.12244897959183665</v>
      </c>
      <c r="AT74" s="70">
        <f>AT73/AS73-1</f>
        <v>-1.2121212121212088E-2</v>
      </c>
      <c r="AU74" s="23"/>
      <c r="AV74" s="70">
        <f>AV73/AT73-1</f>
        <v>-1.2269938650306789E-2</v>
      </c>
      <c r="AW74" s="70">
        <f>AW73/AV73-1</f>
        <v>6.2111801242235032E-3</v>
      </c>
      <c r="AX74" s="70">
        <f>AX73/AW73-1</f>
        <v>-2.4691358024691357E-2</v>
      </c>
      <c r="AY74" s="70">
        <f>AY73/AX73-1</f>
        <v>-1.8987341772151889E-2</v>
      </c>
      <c r="AZ74" s="23"/>
      <c r="BA74" s="70">
        <v>6.4516129032257119E-3</v>
      </c>
      <c r="BB74" s="70">
        <v>8.3333333333333259E-2</v>
      </c>
      <c r="BC74" s="70">
        <v>-8.2840236686390512E-2</v>
      </c>
      <c r="BD74" s="70">
        <v>0.11612903225806459</v>
      </c>
      <c r="BE74" s="23"/>
      <c r="BF74" s="70">
        <v>-7.5144508670520249E-2</v>
      </c>
      <c r="BG74" s="70">
        <v>0.10000000000000009</v>
      </c>
      <c r="BH74" s="70">
        <v>-0.15340909090909094</v>
      </c>
      <c r="BI74" s="70">
        <v>6.7114093959731447E-2</v>
      </c>
      <c r="BJ74" s="23"/>
      <c r="BK74" s="70">
        <v>3.1446540880503138E-2</v>
      </c>
    </row>
    <row r="75" spans="1:63" ht="11.25" customHeight="1">
      <c r="A75" s="69" t="s">
        <v>8</v>
      </c>
      <c r="B75" s="23"/>
      <c r="C75" s="92"/>
      <c r="D75" s="92"/>
      <c r="E75" s="92"/>
      <c r="F75" s="92"/>
      <c r="G75" s="23"/>
      <c r="H75" s="92"/>
      <c r="I75" s="92"/>
      <c r="J75" s="92"/>
      <c r="K75" s="92"/>
      <c r="L75" s="23"/>
      <c r="M75" s="92"/>
      <c r="N75" s="92"/>
      <c r="O75" s="92"/>
      <c r="P75" s="92"/>
      <c r="Q75" s="23">
        <f>Q73/L73-1</f>
        <v>3.3112582781456901E-2</v>
      </c>
      <c r="R75" s="71"/>
      <c r="S75" s="71"/>
      <c r="T75" s="71"/>
      <c r="U75" s="71"/>
      <c r="V75" s="23">
        <f t="shared" ref="V75:AL75" si="152">V73/Q73-1</f>
        <v>-0.21153846153846156</v>
      </c>
      <c r="W75" s="71">
        <f t="shared" si="152"/>
        <v>-0.27272727272727271</v>
      </c>
      <c r="X75" s="71">
        <f t="shared" si="152"/>
        <v>-0.25</v>
      </c>
      <c r="Y75" s="71">
        <f t="shared" si="152"/>
        <v>-0.30000000000000004</v>
      </c>
      <c r="Z75" s="71">
        <f t="shared" si="152"/>
        <v>0.21428571428571419</v>
      </c>
      <c r="AA75" s="23">
        <f t="shared" si="152"/>
        <v>-0.16260162601626016</v>
      </c>
      <c r="AB75" s="71">
        <f t="shared" si="152"/>
        <v>-0.29166666666666663</v>
      </c>
      <c r="AC75" s="71">
        <f t="shared" si="152"/>
        <v>-0.29166666666666663</v>
      </c>
      <c r="AD75" s="71">
        <f t="shared" si="152"/>
        <v>-0.23809523809523814</v>
      </c>
      <c r="AE75" s="71">
        <f t="shared" si="152"/>
        <v>-0.55882352941176472</v>
      </c>
      <c r="AF75" s="23">
        <f t="shared" si="152"/>
        <v>-0.3689320388349514</v>
      </c>
      <c r="AG75" s="71">
        <f t="shared" si="152"/>
        <v>-0.11764705882352944</v>
      </c>
      <c r="AH75" s="71">
        <f t="shared" si="152"/>
        <v>-0.11764705882352944</v>
      </c>
      <c r="AI75" s="71">
        <f t="shared" si="152"/>
        <v>-6.25E-2</v>
      </c>
      <c r="AJ75" s="71">
        <f t="shared" si="152"/>
        <v>-0.1333333333333333</v>
      </c>
      <c r="AK75" s="23">
        <f t="shared" si="152"/>
        <v>-0.10769230769230764</v>
      </c>
      <c r="AL75" s="71">
        <f t="shared" si="152"/>
        <v>-0.1333333333333333</v>
      </c>
      <c r="AM75" s="83" t="s">
        <v>39</v>
      </c>
      <c r="AN75" s="83" t="s">
        <v>39</v>
      </c>
      <c r="AO75" s="83" t="s">
        <v>39</v>
      </c>
      <c r="AP75" s="23">
        <f>AP73/AK73-1</f>
        <v>6.8965517241379306</v>
      </c>
      <c r="AQ75" s="83" t="s">
        <v>39</v>
      </c>
      <c r="AR75" s="71">
        <f>AR73/AM73-1</f>
        <v>2.0833333333333259E-2</v>
      </c>
      <c r="AS75" s="71">
        <f>AS73/AN73-1</f>
        <v>0.12244897959183665</v>
      </c>
      <c r="AT75" s="83" t="s">
        <v>39</v>
      </c>
      <c r="AU75" s="23">
        <f t="shared" ref="AU75:AY75" si="153">AU73/AP73-1</f>
        <v>0.3733624454148472</v>
      </c>
      <c r="AV75" s="71">
        <f t="shared" si="153"/>
        <v>4.5454545454545414E-2</v>
      </c>
      <c r="AW75" s="71">
        <f t="shared" si="153"/>
        <v>0.1020408163265305</v>
      </c>
      <c r="AX75" s="71">
        <f t="shared" si="153"/>
        <v>-4.2424242424242475E-2</v>
      </c>
      <c r="AY75" s="71">
        <f t="shared" si="153"/>
        <v>-4.9079754601227044E-2</v>
      </c>
      <c r="AZ75" s="23">
        <v>1.11287758346581E-2</v>
      </c>
      <c r="BA75" s="71">
        <v>-3.105590062111796E-2</v>
      </c>
      <c r="BB75" s="71">
        <v>4.3209876543209846E-2</v>
      </c>
      <c r="BC75" s="71">
        <v>-1.8987341772151889E-2</v>
      </c>
      <c r="BD75" s="71">
        <v>0.11612903225806459</v>
      </c>
      <c r="BE75" s="23">
        <v>2.6729559748427612E-2</v>
      </c>
      <c r="BF75" s="71">
        <v>2.564102564102555E-2</v>
      </c>
      <c r="BG75" s="71">
        <v>4.1420118343195256E-2</v>
      </c>
      <c r="BH75" s="71">
        <v>-3.8709677419354827E-2</v>
      </c>
      <c r="BI75" s="71">
        <v>-8.0924855491329439E-2</v>
      </c>
      <c r="BJ75" s="23">
        <v>-1.3782542113323082E-2</v>
      </c>
      <c r="BK75" s="71">
        <v>2.4999999999999911E-2</v>
      </c>
    </row>
    <row r="76" spans="1:63" ht="13.15" hidden="1" customHeight="1">
      <c r="A76" s="67" t="s">
        <v>135</v>
      </c>
      <c r="B76" s="119" t="s">
        <v>40</v>
      </c>
      <c r="C76" s="78" t="s">
        <v>48</v>
      </c>
      <c r="D76" s="78" t="s">
        <v>48</v>
      </c>
      <c r="E76" s="78" t="s">
        <v>48</v>
      </c>
      <c r="F76" s="78" t="s">
        <v>48</v>
      </c>
      <c r="G76" s="119" t="s">
        <v>40</v>
      </c>
      <c r="H76" s="78" t="s">
        <v>48</v>
      </c>
      <c r="I76" s="78" t="s">
        <v>48</v>
      </c>
      <c r="J76" s="78" t="s">
        <v>48</v>
      </c>
      <c r="K76" s="78" t="s">
        <v>48</v>
      </c>
      <c r="L76" s="63">
        <v>127</v>
      </c>
      <c r="M76" s="78" t="s">
        <v>48</v>
      </c>
      <c r="N76" s="78" t="s">
        <v>48</v>
      </c>
      <c r="O76" s="78" t="s">
        <v>48</v>
      </c>
      <c r="P76" s="78" t="s">
        <v>48</v>
      </c>
      <c r="Q76" s="63">
        <v>130</v>
      </c>
      <c r="R76" s="68">
        <v>41</v>
      </c>
      <c r="S76" s="68">
        <v>40</v>
      </c>
      <c r="T76" s="68">
        <v>40</v>
      </c>
      <c r="U76" s="68">
        <f>V76-T76-S76-R76</f>
        <v>39</v>
      </c>
      <c r="V76" s="63">
        <v>160</v>
      </c>
      <c r="W76" s="68">
        <v>52</v>
      </c>
      <c r="X76" s="68">
        <v>47</v>
      </c>
      <c r="Y76" s="68">
        <v>24</v>
      </c>
      <c r="Z76" s="68">
        <f>AA76-Y76-X76-W76</f>
        <v>25</v>
      </c>
      <c r="AA76" s="63">
        <v>148</v>
      </c>
      <c r="AB76" s="68">
        <v>14</v>
      </c>
      <c r="AC76" s="68">
        <v>12</v>
      </c>
      <c r="AD76" s="68">
        <v>13</v>
      </c>
      <c r="AE76" s="68">
        <f>AF76-AD76-AC76-AB76</f>
        <v>12</v>
      </c>
      <c r="AF76" s="63">
        <v>51</v>
      </c>
      <c r="AG76" s="68">
        <v>0</v>
      </c>
      <c r="AH76" s="68">
        <v>0</v>
      </c>
      <c r="AI76" s="68">
        <v>0</v>
      </c>
      <c r="AJ76" s="68">
        <v>0</v>
      </c>
      <c r="AK76" s="63">
        <v>0</v>
      </c>
      <c r="AL76" s="68">
        <v>0</v>
      </c>
      <c r="AM76" s="68"/>
      <c r="AN76" s="68"/>
      <c r="AO76" s="68">
        <v>0</v>
      </c>
      <c r="AP76" s="63"/>
      <c r="AQ76" s="68"/>
      <c r="AR76" s="68"/>
      <c r="AS76" s="68"/>
      <c r="AT76" s="68"/>
      <c r="AU76" s="63"/>
      <c r="AV76" s="68"/>
      <c r="AW76" s="68"/>
      <c r="AX76" s="68"/>
      <c r="AY76" s="68"/>
      <c r="AZ76" s="63"/>
      <c r="BA76" s="68"/>
      <c r="BB76" s="68"/>
      <c r="BC76" s="68"/>
      <c r="BD76" s="68"/>
      <c r="BE76" s="63"/>
      <c r="BF76" s="68"/>
      <c r="BG76" s="68"/>
      <c r="BH76" s="68"/>
      <c r="BI76" s="68"/>
      <c r="BJ76" s="63"/>
      <c r="BK76" s="68"/>
    </row>
    <row r="77" spans="1:63" ht="13.15" hidden="1" customHeight="1">
      <c r="A77" s="69" t="s">
        <v>7</v>
      </c>
      <c r="B77" s="23"/>
      <c r="C77" s="92"/>
      <c r="D77" s="92"/>
      <c r="E77" s="92"/>
      <c r="F77" s="92"/>
      <c r="G77" s="23"/>
      <c r="H77" s="92"/>
      <c r="I77" s="92"/>
      <c r="J77" s="92"/>
      <c r="K77" s="92"/>
      <c r="L77" s="23"/>
      <c r="M77" s="92"/>
      <c r="N77" s="92"/>
      <c r="O77" s="92"/>
      <c r="P77" s="92"/>
      <c r="Q77" s="23"/>
      <c r="R77" s="70"/>
      <c r="S77" s="70">
        <f>S76/R76-1</f>
        <v>-2.4390243902439046E-2</v>
      </c>
      <c r="T77" s="70">
        <f>T76/S76-1</f>
        <v>0</v>
      </c>
      <c r="U77" s="70">
        <f>U76/T76-1</f>
        <v>-2.5000000000000022E-2</v>
      </c>
      <c r="V77" s="23"/>
      <c r="W77" s="70">
        <f>W76/U76-1</f>
        <v>0.33333333333333326</v>
      </c>
      <c r="X77" s="70">
        <f>X76/W76-1</f>
        <v>-9.6153846153846145E-2</v>
      </c>
      <c r="Y77" s="70">
        <f>Y76/X76-1</f>
        <v>-0.48936170212765961</v>
      </c>
      <c r="Z77" s="70">
        <f>Z76/Y76-1</f>
        <v>4.1666666666666741E-2</v>
      </c>
      <c r="AA77" s="23"/>
      <c r="AB77" s="70">
        <f>AB76/Z76-1</f>
        <v>-0.43999999999999995</v>
      </c>
      <c r="AC77" s="70">
        <f>AC76/AB76-1</f>
        <v>-0.1428571428571429</v>
      </c>
      <c r="AD77" s="70">
        <f>AD76/AC76-1</f>
        <v>8.3333333333333259E-2</v>
      </c>
      <c r="AE77" s="70">
        <f>AE76/AD76-1</f>
        <v>-7.6923076923076872E-2</v>
      </c>
      <c r="AF77" s="23"/>
      <c r="AG77" s="83" t="s">
        <v>40</v>
      </c>
      <c r="AH77" s="83" t="s">
        <v>40</v>
      </c>
      <c r="AI77" s="83" t="s">
        <v>40</v>
      </c>
      <c r="AJ77" s="83" t="s">
        <v>40</v>
      </c>
      <c r="AK77" s="23"/>
      <c r="AL77" s="83" t="s">
        <v>40</v>
      </c>
      <c r="AM77" s="83" t="s">
        <v>40</v>
      </c>
      <c r="AN77" s="83" t="s">
        <v>40</v>
      </c>
      <c r="AO77" s="83" t="s">
        <v>40</v>
      </c>
      <c r="AP77" s="23"/>
      <c r="AQ77" s="83"/>
      <c r="AR77" s="83"/>
      <c r="AS77" s="83"/>
      <c r="AT77" s="83"/>
      <c r="AU77" s="23"/>
      <c r="AV77" s="83"/>
      <c r="AW77" s="83"/>
      <c r="AX77" s="83"/>
      <c r="AY77" s="83"/>
      <c r="AZ77" s="23"/>
      <c r="BA77" s="83"/>
      <c r="BB77" s="83"/>
      <c r="BC77" s="83"/>
      <c r="BD77" s="83"/>
      <c r="BE77" s="23"/>
      <c r="BF77" s="83"/>
      <c r="BG77" s="83"/>
      <c r="BH77" s="83"/>
      <c r="BI77" s="83"/>
      <c r="BJ77" s="23"/>
      <c r="BK77" s="83"/>
    </row>
    <row r="78" spans="1:63" ht="13.15" hidden="1" customHeight="1">
      <c r="A78" s="69" t="s">
        <v>8</v>
      </c>
      <c r="B78" s="23"/>
      <c r="C78" s="92"/>
      <c r="D78" s="92"/>
      <c r="E78" s="92"/>
      <c r="F78" s="92"/>
      <c r="G78" s="23"/>
      <c r="H78" s="92"/>
      <c r="I78" s="92"/>
      <c r="J78" s="92"/>
      <c r="K78" s="92"/>
      <c r="L78" s="23"/>
      <c r="M78" s="92"/>
      <c r="N78" s="92"/>
      <c r="O78" s="92"/>
      <c r="P78" s="92"/>
      <c r="Q78" s="23">
        <f>Q76/L76-1</f>
        <v>2.3622047244094446E-2</v>
      </c>
      <c r="R78" s="71"/>
      <c r="S78" s="71"/>
      <c r="T78" s="71"/>
      <c r="U78" s="71"/>
      <c r="V78" s="23">
        <f t="shared" ref="V78:AD78" si="154">V76/Q76-1</f>
        <v>0.23076923076923084</v>
      </c>
      <c r="W78" s="71">
        <f t="shared" si="154"/>
        <v>0.26829268292682928</v>
      </c>
      <c r="X78" s="71">
        <f t="shared" si="154"/>
        <v>0.17500000000000004</v>
      </c>
      <c r="Y78" s="71">
        <f t="shared" si="154"/>
        <v>-0.4</v>
      </c>
      <c r="Z78" s="71">
        <f t="shared" si="154"/>
        <v>-0.35897435897435892</v>
      </c>
      <c r="AA78" s="23">
        <f t="shared" si="154"/>
        <v>-7.4999999999999956E-2</v>
      </c>
      <c r="AB78" s="71">
        <f t="shared" si="154"/>
        <v>-0.73076923076923084</v>
      </c>
      <c r="AC78" s="71">
        <f t="shared" si="154"/>
        <v>-0.74468085106382986</v>
      </c>
      <c r="AD78" s="71">
        <f t="shared" si="154"/>
        <v>-0.45833333333333337</v>
      </c>
      <c r="AE78" s="71">
        <f>AE76/Z76-1</f>
        <v>-0.52</v>
      </c>
      <c r="AF78" s="23">
        <f>AF76/AA76-1</f>
        <v>-0.65540540540540548</v>
      </c>
      <c r="AG78" s="83" t="s">
        <v>40</v>
      </c>
      <c r="AH78" s="83" t="s">
        <v>40</v>
      </c>
      <c r="AI78" s="83" t="s">
        <v>40</v>
      </c>
      <c r="AJ78" s="83" t="s">
        <v>40</v>
      </c>
      <c r="AK78" s="90" t="s">
        <v>40</v>
      </c>
      <c r="AL78" s="83" t="s">
        <v>40</v>
      </c>
      <c r="AM78" s="83" t="s">
        <v>40</v>
      </c>
      <c r="AN78" s="83" t="s">
        <v>40</v>
      </c>
      <c r="AO78" s="83" t="s">
        <v>40</v>
      </c>
      <c r="AP78" s="90"/>
      <c r="AQ78" s="83"/>
      <c r="AR78" s="83"/>
      <c r="AS78" s="83"/>
      <c r="AT78" s="83"/>
      <c r="AU78" s="90"/>
      <c r="AV78" s="83"/>
      <c r="AW78" s="83"/>
      <c r="AX78" s="83"/>
      <c r="AY78" s="83"/>
      <c r="AZ78" s="90"/>
      <c r="BA78" s="83"/>
      <c r="BB78" s="83"/>
      <c r="BC78" s="83"/>
      <c r="BD78" s="83"/>
      <c r="BE78" s="90"/>
      <c r="BF78" s="83"/>
      <c r="BG78" s="83"/>
      <c r="BH78" s="83"/>
      <c r="BI78" s="83"/>
      <c r="BJ78" s="90"/>
      <c r="BK78" s="83"/>
    </row>
    <row r="79" spans="1:63" ht="3.6" customHeight="1">
      <c r="A79" s="43"/>
      <c r="B79" s="43"/>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row>
    <row r="80" spans="1:63" ht="13.5" customHeight="1">
      <c r="A80" s="92" t="s">
        <v>143</v>
      </c>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row>
    <row r="81" spans="1:63" ht="3.6" customHeight="1">
      <c r="A81" s="43"/>
      <c r="B81" s="43"/>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row>
    <row r="82" spans="1:63" ht="18" customHeight="1">
      <c r="A82" s="34" t="s">
        <v>92</v>
      </c>
      <c r="B82" s="34"/>
      <c r="C82" s="26"/>
      <c r="D82" s="26"/>
      <c r="E82" s="26"/>
      <c r="F82" s="26"/>
      <c r="G82" s="26"/>
      <c r="H82" s="26"/>
      <c r="I82" s="26"/>
      <c r="J82" s="26"/>
      <c r="K82" s="26"/>
      <c r="L82" s="26"/>
      <c r="M82" s="26"/>
      <c r="N82" s="26"/>
      <c r="O82" s="26"/>
      <c r="P82" s="26"/>
      <c r="Q82" s="26"/>
      <c r="R82" s="26"/>
      <c r="S82" s="26"/>
      <c r="T82" s="26"/>
      <c r="U82" s="20"/>
      <c r="V82" s="20"/>
      <c r="W82" s="26"/>
      <c r="X82" s="26"/>
      <c r="Y82" s="26"/>
      <c r="Z82" s="20"/>
      <c r="AA82" s="20"/>
      <c r="AB82" s="20"/>
      <c r="AC82" s="26"/>
      <c r="AD82" s="26"/>
      <c r="AE82" s="20"/>
      <c r="AF82" s="20"/>
      <c r="AG82" s="20"/>
      <c r="AH82" s="26"/>
      <c r="AI82" s="26"/>
      <c r="AJ82" s="20"/>
      <c r="AK82" s="20"/>
      <c r="AL82" s="20"/>
      <c r="AM82" s="26"/>
      <c r="AN82" s="26"/>
      <c r="AO82" s="20"/>
      <c r="AP82" s="20"/>
      <c r="AQ82" s="20"/>
      <c r="AR82" s="26"/>
      <c r="AS82" s="26"/>
      <c r="AT82" s="20"/>
      <c r="AU82" s="20"/>
      <c r="AV82" s="20"/>
      <c r="AW82" s="20"/>
      <c r="AX82" s="20"/>
      <c r="AY82" s="20"/>
      <c r="AZ82" s="20"/>
      <c r="BA82" s="20"/>
      <c r="BB82" s="20"/>
      <c r="BC82" s="20"/>
      <c r="BD82" s="20"/>
      <c r="BE82" s="20"/>
      <c r="BF82" s="20"/>
      <c r="BG82" s="20"/>
      <c r="BH82" s="20"/>
      <c r="BI82" s="20"/>
      <c r="BJ82" s="20"/>
      <c r="BK82" s="20"/>
    </row>
    <row r="83" spans="1:63" ht="6" customHeight="1">
      <c r="A83" s="59"/>
      <c r="B83" s="59"/>
      <c r="C83" s="60"/>
      <c r="D83" s="60"/>
      <c r="E83" s="60"/>
      <c r="F83" s="60"/>
      <c r="G83" s="60"/>
      <c r="H83" s="60"/>
      <c r="I83" s="60"/>
      <c r="J83" s="60"/>
      <c r="K83" s="60"/>
      <c r="L83" s="60"/>
      <c r="M83" s="60"/>
      <c r="N83" s="60"/>
      <c r="O83" s="60"/>
      <c r="P83" s="60"/>
      <c r="Q83" s="60"/>
      <c r="R83" s="60"/>
      <c r="S83" s="60"/>
      <c r="T83" s="60"/>
      <c r="U83" s="59"/>
      <c r="V83" s="59"/>
      <c r="W83" s="60"/>
      <c r="X83" s="60"/>
      <c r="Y83" s="60"/>
      <c r="Z83" s="59"/>
      <c r="AA83" s="59"/>
      <c r="AB83" s="59"/>
      <c r="AC83" s="60"/>
      <c r="AD83" s="60"/>
      <c r="AE83" s="59"/>
      <c r="AF83" s="59"/>
      <c r="AG83" s="59"/>
      <c r="AH83" s="60"/>
      <c r="AI83" s="60"/>
      <c r="AJ83" s="59"/>
      <c r="AK83" s="59"/>
      <c r="AL83" s="59"/>
      <c r="AM83" s="60"/>
      <c r="AN83" s="60"/>
      <c r="AO83" s="59"/>
      <c r="AP83" s="59"/>
      <c r="AQ83" s="59"/>
      <c r="AR83" s="60"/>
      <c r="AS83" s="60"/>
      <c r="AT83" s="59"/>
      <c r="AU83" s="59"/>
      <c r="AV83" s="59"/>
      <c r="AW83" s="59"/>
      <c r="AX83" s="59"/>
      <c r="AY83" s="59"/>
      <c r="AZ83" s="59"/>
      <c r="BA83" s="59"/>
      <c r="BB83" s="59"/>
      <c r="BC83" s="59"/>
      <c r="BD83" s="59"/>
      <c r="BE83" s="59"/>
      <c r="BF83" s="59"/>
      <c r="BG83" s="59"/>
      <c r="BH83" s="59"/>
      <c r="BI83" s="59"/>
      <c r="BJ83" s="59"/>
      <c r="BK83" s="59"/>
    </row>
    <row r="84" spans="1:63" ht="13.5" customHeight="1">
      <c r="A84" s="39" t="s">
        <v>24</v>
      </c>
      <c r="B84" s="40"/>
      <c r="C84" s="48"/>
      <c r="D84" s="48"/>
      <c r="E84" s="48"/>
      <c r="F84" s="48"/>
      <c r="G84" s="40"/>
      <c r="H84" s="48"/>
      <c r="I84" s="48"/>
      <c r="J84" s="48"/>
      <c r="K84" s="48"/>
      <c r="L84" s="40"/>
      <c r="M84" s="48"/>
      <c r="N84" s="48"/>
      <c r="O84" s="48"/>
      <c r="P84" s="48"/>
      <c r="Q84" s="40"/>
      <c r="R84" s="48"/>
      <c r="S84" s="48"/>
      <c r="T84" s="48"/>
      <c r="U84" s="48"/>
      <c r="V84" s="40"/>
      <c r="W84" s="48"/>
      <c r="X84" s="48"/>
      <c r="Y84" s="48"/>
      <c r="Z84" s="48"/>
      <c r="AA84" s="40"/>
      <c r="AB84" s="48"/>
      <c r="AC84" s="48"/>
      <c r="AD84" s="48"/>
      <c r="AE84" s="48"/>
      <c r="AF84" s="40"/>
      <c r="AG84" s="48"/>
      <c r="AH84" s="48"/>
      <c r="AI84" s="48"/>
      <c r="AJ84" s="48"/>
      <c r="AK84" s="40"/>
      <c r="AL84" s="48"/>
      <c r="AM84" s="48"/>
      <c r="AN84" s="48"/>
      <c r="AO84" s="48"/>
      <c r="AP84" s="40"/>
      <c r="AQ84" s="48"/>
      <c r="AR84" s="48"/>
      <c r="AS84" s="48"/>
      <c r="AT84" s="48"/>
      <c r="AU84" s="40"/>
      <c r="AV84" s="48"/>
      <c r="AW84" s="48"/>
      <c r="AX84" s="48"/>
      <c r="AY84" s="48"/>
      <c r="AZ84" s="40"/>
      <c r="BA84" s="48"/>
      <c r="BB84" s="48"/>
      <c r="BC84" s="48"/>
      <c r="BD84" s="48"/>
      <c r="BE84" s="40"/>
      <c r="BF84" s="48"/>
      <c r="BG84" s="48"/>
      <c r="BH84" s="48"/>
      <c r="BI84" s="48"/>
      <c r="BJ84" s="40"/>
      <c r="BK84" s="48"/>
    </row>
    <row r="85" spans="1:63" ht="13.5" customHeight="1">
      <c r="A85" s="67" t="s">
        <v>61</v>
      </c>
      <c r="B85" s="36">
        <f>2947-B500</f>
        <v>2697.125</v>
      </c>
      <c r="C85" s="68">
        <f>618-C500</f>
        <v>533.9</v>
      </c>
      <c r="D85" s="68">
        <f>759-D500</f>
        <v>726.63</v>
      </c>
      <c r="E85" s="68">
        <f>1212-E500</f>
        <v>1114.7670000000001</v>
      </c>
      <c r="F85" s="68">
        <f>G85-E85-D85-C85</f>
        <v>692.67600000000004</v>
      </c>
      <c r="G85" s="36">
        <f>3415-G500</f>
        <v>3067.973</v>
      </c>
      <c r="H85" s="68">
        <f>1225-H500</f>
        <v>1134.3150000000001</v>
      </c>
      <c r="I85" s="68">
        <f>808-I500</f>
        <v>714.62400000000002</v>
      </c>
      <c r="J85" s="68">
        <v>1021</v>
      </c>
      <c r="K85" s="68">
        <f>L85-J85-I85-H85</f>
        <v>785.06099999999992</v>
      </c>
      <c r="L85" s="36">
        <f>3915-260</f>
        <v>3655</v>
      </c>
      <c r="M85" s="68">
        <v>806</v>
      </c>
      <c r="N85" s="68">
        <v>976</v>
      </c>
      <c r="O85" s="68">
        <v>1166</v>
      </c>
      <c r="P85" s="68">
        <f>Q85-O85-N85-M85</f>
        <v>748</v>
      </c>
      <c r="Q85" s="36">
        <v>3696</v>
      </c>
      <c r="R85" s="68">
        <v>775</v>
      </c>
      <c r="S85" s="68">
        <v>670</v>
      </c>
      <c r="T85" s="68">
        <v>882</v>
      </c>
      <c r="U85" s="68">
        <f>V85-T85-S85-R85</f>
        <v>859</v>
      </c>
      <c r="V85" s="36">
        <v>3186</v>
      </c>
      <c r="W85" s="68">
        <v>998</v>
      </c>
      <c r="X85" s="68">
        <v>990</v>
      </c>
      <c r="Y85" s="68">
        <v>1024</v>
      </c>
      <c r="Z85" s="68">
        <f>AA85-Y85-X85-W85</f>
        <v>1002</v>
      </c>
      <c r="AA85" s="36">
        <v>4014</v>
      </c>
      <c r="AB85" s="68">
        <v>972</v>
      </c>
      <c r="AC85" s="68">
        <v>1102</v>
      </c>
      <c r="AD85" s="68">
        <v>1143</v>
      </c>
      <c r="AE85" s="68">
        <f>AF85-AD85-AC85-AB85</f>
        <v>935</v>
      </c>
      <c r="AF85" s="36">
        <v>4152</v>
      </c>
      <c r="AG85" s="68">
        <v>1043</v>
      </c>
      <c r="AH85" s="68">
        <v>1064</v>
      </c>
      <c r="AI85" s="68">
        <v>950</v>
      </c>
      <c r="AJ85" s="68">
        <f>AK85-AI85-AH85-AG85</f>
        <v>739</v>
      </c>
      <c r="AK85" s="36">
        <v>3796</v>
      </c>
      <c r="AL85" s="68">
        <v>961</v>
      </c>
      <c r="AM85" s="68">
        <v>840</v>
      </c>
      <c r="AN85" s="68">
        <v>1050</v>
      </c>
      <c r="AO85" s="68">
        <f>AP85-AN85-AM85-AL85</f>
        <v>889</v>
      </c>
      <c r="AP85" s="36">
        <v>3740</v>
      </c>
      <c r="AQ85" s="68">
        <v>922</v>
      </c>
      <c r="AR85" s="68">
        <v>870</v>
      </c>
      <c r="AS85" s="68">
        <v>902</v>
      </c>
      <c r="AT85" s="68">
        <f>AU85-AS85-AR85-AQ85</f>
        <v>832</v>
      </c>
      <c r="AU85" s="36">
        <v>3526</v>
      </c>
      <c r="AV85" s="68">
        <v>826</v>
      </c>
      <c r="AW85" s="68">
        <v>875</v>
      </c>
      <c r="AX85" s="68">
        <v>982</v>
      </c>
      <c r="AY85" s="68">
        <f>AZ85-AX85-AW85-AV85</f>
        <v>842</v>
      </c>
      <c r="AZ85" s="36">
        <v>3525</v>
      </c>
      <c r="BA85" s="68">
        <v>909</v>
      </c>
      <c r="BB85" s="68">
        <v>806</v>
      </c>
      <c r="BC85" s="68">
        <v>883</v>
      </c>
      <c r="BD85" s="68">
        <v>914</v>
      </c>
      <c r="BE85" s="36">
        <v>3512</v>
      </c>
      <c r="BF85" s="68">
        <v>765</v>
      </c>
      <c r="BG85" s="68">
        <v>624</v>
      </c>
      <c r="BH85" s="68">
        <v>787</v>
      </c>
      <c r="BI85" s="68">
        <v>748</v>
      </c>
      <c r="BJ85" s="36">
        <v>2924</v>
      </c>
      <c r="BK85" s="68">
        <v>879</v>
      </c>
    </row>
    <row r="86" spans="1:63" ht="13.5" customHeight="1">
      <c r="A86" s="69" t="s">
        <v>7</v>
      </c>
      <c r="B86" s="23"/>
      <c r="C86" s="70"/>
      <c r="D86" s="70">
        <f>D85/C85-1</f>
        <v>0.36098520322157723</v>
      </c>
      <c r="E86" s="70">
        <f>E85/D85-1</f>
        <v>0.5341604392882211</v>
      </c>
      <c r="F86" s="70">
        <f>F85/E85-1</f>
        <v>-0.37863607372661734</v>
      </c>
      <c r="G86" s="23"/>
      <c r="H86" s="70">
        <f>H85/F85-1</f>
        <v>0.63758380541551896</v>
      </c>
      <c r="I86" s="70">
        <f>I85/H85-1</f>
        <v>-0.36999510717922268</v>
      </c>
      <c r="J86" s="70">
        <f>J85/I85-1</f>
        <v>0.42872335661830552</v>
      </c>
      <c r="K86" s="70">
        <f>K85/J85-1</f>
        <v>-0.23108619000979436</v>
      </c>
      <c r="L86" s="23"/>
      <c r="M86" s="70">
        <f>M85/K85-1</f>
        <v>2.6671812763594316E-2</v>
      </c>
      <c r="N86" s="70">
        <f>N85/M85-1</f>
        <v>0.2109181141439207</v>
      </c>
      <c r="O86" s="70">
        <f>O85/N85-1</f>
        <v>0.19467213114754101</v>
      </c>
      <c r="P86" s="70">
        <f>P85/O85-1</f>
        <v>-0.35849056603773588</v>
      </c>
      <c r="Q86" s="23"/>
      <c r="R86" s="70">
        <f>R85/P85-1</f>
        <v>3.6096256684492012E-2</v>
      </c>
      <c r="S86" s="70">
        <f>S85/R85-1</f>
        <v>-0.13548387096774195</v>
      </c>
      <c r="T86" s="70">
        <f>T85/S85-1</f>
        <v>0.31641791044776113</v>
      </c>
      <c r="U86" s="70">
        <f>U85/T85-1</f>
        <v>-2.6077097505668889E-2</v>
      </c>
      <c r="V86" s="23"/>
      <c r="W86" s="70">
        <f>W85/U85-1</f>
        <v>0.16181606519208391</v>
      </c>
      <c r="X86" s="70">
        <f>X85/W85-1</f>
        <v>-8.0160320641282645E-3</v>
      </c>
      <c r="Y86" s="70">
        <f>Y85/X85-1</f>
        <v>3.4343434343434343E-2</v>
      </c>
      <c r="Z86" s="70">
        <f>Z85/Y85-1</f>
        <v>-2.1484375E-2</v>
      </c>
      <c r="AA86" s="23"/>
      <c r="AB86" s="70">
        <f>AB85/Z85-1</f>
        <v>-2.9940119760479056E-2</v>
      </c>
      <c r="AC86" s="70">
        <f>AC85/AB85-1</f>
        <v>0.13374485596707819</v>
      </c>
      <c r="AD86" s="70">
        <f>AD85/AC85-1</f>
        <v>3.7205081669691387E-2</v>
      </c>
      <c r="AE86" s="70">
        <f>AE85/AD85-1</f>
        <v>-0.18197725284339461</v>
      </c>
      <c r="AF86" s="23"/>
      <c r="AG86" s="70">
        <f>AG85/AE85-1</f>
        <v>0.1155080213903743</v>
      </c>
      <c r="AH86" s="70">
        <f>AH85/AG85-1</f>
        <v>2.0134228187919545E-2</v>
      </c>
      <c r="AI86" s="70">
        <f>AI85/AH85-1</f>
        <v>-0.1071428571428571</v>
      </c>
      <c r="AJ86" s="70">
        <f>AJ85/AI85-1</f>
        <v>-0.22210526315789469</v>
      </c>
      <c r="AK86" s="23"/>
      <c r="AL86" s="70">
        <f>AL85/AJ85-1</f>
        <v>0.30040595399188086</v>
      </c>
      <c r="AM86" s="70">
        <f>AM85/AL85-1</f>
        <v>-0.12591050988553587</v>
      </c>
      <c r="AN86" s="70">
        <f>AN85/AM85-1</f>
        <v>0.25</v>
      </c>
      <c r="AO86" s="70">
        <f>AO85/AN85-1</f>
        <v>-0.15333333333333332</v>
      </c>
      <c r="AP86" s="23"/>
      <c r="AQ86" s="70">
        <f>AQ85/AO85-1</f>
        <v>3.7120359955005622E-2</v>
      </c>
      <c r="AR86" s="70">
        <f>AR85/AQ85-1</f>
        <v>-5.6399132321041212E-2</v>
      </c>
      <c r="AS86" s="70">
        <f>AS85/AR85-1</f>
        <v>3.6781609195402298E-2</v>
      </c>
      <c r="AT86" s="70">
        <f>AT85/AS85-1</f>
        <v>-7.7605321507760561E-2</v>
      </c>
      <c r="AU86" s="23"/>
      <c r="AV86" s="70">
        <f>AV85/AT85-1</f>
        <v>-7.2115384615384359E-3</v>
      </c>
      <c r="AW86" s="70">
        <f>AW85/AV85-1</f>
        <v>5.9322033898305149E-2</v>
      </c>
      <c r="AX86" s="70">
        <f>AX85/AW85-1</f>
        <v>0.12228571428571433</v>
      </c>
      <c r="AY86" s="70">
        <f>AY85/AX85-1</f>
        <v>-0.14256619144602856</v>
      </c>
      <c r="AZ86" s="23"/>
      <c r="BA86" s="70">
        <v>7.9572446555819409E-2</v>
      </c>
      <c r="BB86" s="70">
        <v>-0.11331133113311331</v>
      </c>
      <c r="BC86" s="70">
        <v>9.553349875930528E-2</v>
      </c>
      <c r="BD86" s="70">
        <v>3.5107587768969495E-2</v>
      </c>
      <c r="BE86" s="23"/>
      <c r="BF86" s="70">
        <v>-0.16301969365426694</v>
      </c>
      <c r="BG86" s="70">
        <v>-0.18431372549019609</v>
      </c>
      <c r="BH86" s="70">
        <v>0.26121794871794868</v>
      </c>
      <c r="BI86" s="70">
        <v>-4.955527318932651E-2</v>
      </c>
      <c r="BJ86" s="23"/>
      <c r="BK86" s="70">
        <v>0.17513368983957212</v>
      </c>
    </row>
    <row r="87" spans="1:63" ht="13.5" customHeight="1">
      <c r="A87" s="69" t="s">
        <v>8</v>
      </c>
      <c r="B87" s="23"/>
      <c r="C87" s="71"/>
      <c r="D87" s="71"/>
      <c r="E87" s="71"/>
      <c r="F87" s="71"/>
      <c r="G87" s="23">
        <f t="shared" ref="G87:N87" si="155">G85/B85-1</f>
        <v>0.13749752050794828</v>
      </c>
      <c r="H87" s="71">
        <f t="shared" si="155"/>
        <v>1.1245832552912534</v>
      </c>
      <c r="I87" s="71">
        <f t="shared" si="155"/>
        <v>-1.6522852070517291E-2</v>
      </c>
      <c r="J87" s="71">
        <f t="shared" si="155"/>
        <v>-8.4113541215339205E-2</v>
      </c>
      <c r="K87" s="71">
        <f t="shared" si="155"/>
        <v>0.13337404500805561</v>
      </c>
      <c r="L87" s="23">
        <f t="shared" si="155"/>
        <v>0.19134034100039354</v>
      </c>
      <c r="M87" s="71">
        <f t="shared" si="155"/>
        <v>-0.28943900063033645</v>
      </c>
      <c r="N87" s="71">
        <f t="shared" si="155"/>
        <v>0.36575317929428608</v>
      </c>
      <c r="O87" s="71">
        <f t="shared" ref="O87:Y87" si="156">O85/J85-1</f>
        <v>0.14201762977473065</v>
      </c>
      <c r="P87" s="71">
        <f t="shared" si="156"/>
        <v>-4.7207796591602347E-2</v>
      </c>
      <c r="Q87" s="23">
        <f t="shared" si="156"/>
        <v>1.1217510259917907E-2</v>
      </c>
      <c r="R87" s="71">
        <f t="shared" si="156"/>
        <v>-3.8461538461538436E-2</v>
      </c>
      <c r="S87" s="71">
        <f t="shared" si="156"/>
        <v>-0.31352459016393441</v>
      </c>
      <c r="T87" s="71">
        <f t="shared" si="156"/>
        <v>-0.24356775300171529</v>
      </c>
      <c r="U87" s="71">
        <f t="shared" si="156"/>
        <v>0.14839572192513373</v>
      </c>
      <c r="V87" s="23">
        <f t="shared" si="156"/>
        <v>-0.13798701298701299</v>
      </c>
      <c r="W87" s="71">
        <f t="shared" si="156"/>
        <v>0.28774193548387106</v>
      </c>
      <c r="X87" s="71">
        <f t="shared" si="156"/>
        <v>0.47761194029850751</v>
      </c>
      <c r="Y87" s="71">
        <f t="shared" si="156"/>
        <v>0.16099773242630389</v>
      </c>
      <c r="Z87" s="71">
        <f t="shared" ref="Z87:AI87" si="157">Z85/U85-1</f>
        <v>0.16647264260768346</v>
      </c>
      <c r="AA87" s="23">
        <f t="shared" si="157"/>
        <v>0.25988700564971756</v>
      </c>
      <c r="AB87" s="71">
        <f t="shared" si="157"/>
        <v>-2.605210420841686E-2</v>
      </c>
      <c r="AC87" s="71">
        <f t="shared" si="157"/>
        <v>0.11313131313131319</v>
      </c>
      <c r="AD87" s="71">
        <f t="shared" si="157"/>
        <v>0.1162109375</v>
      </c>
      <c r="AE87" s="71">
        <f t="shared" si="157"/>
        <v>-6.6866267465069851E-2</v>
      </c>
      <c r="AF87" s="23">
        <f t="shared" si="157"/>
        <v>3.4379671150971625E-2</v>
      </c>
      <c r="AG87" s="71">
        <f t="shared" si="157"/>
        <v>7.3045267489711962E-2</v>
      </c>
      <c r="AH87" s="71">
        <f t="shared" si="157"/>
        <v>-3.4482758620689613E-2</v>
      </c>
      <c r="AI87" s="71">
        <f t="shared" si="157"/>
        <v>-0.1688538932633421</v>
      </c>
      <c r="AJ87" s="71">
        <f t="shared" ref="AJ87:AS87" si="158">AJ85/AE85-1</f>
        <v>-0.20962566844919783</v>
      </c>
      <c r="AK87" s="23">
        <f t="shared" si="158"/>
        <v>-8.574181117533719E-2</v>
      </c>
      <c r="AL87" s="71">
        <f t="shared" si="158"/>
        <v>-7.8619367209971203E-2</v>
      </c>
      <c r="AM87" s="71">
        <f t="shared" si="158"/>
        <v>-0.21052631578947367</v>
      </c>
      <c r="AN87" s="71">
        <f t="shared" si="158"/>
        <v>0.10526315789473695</v>
      </c>
      <c r="AO87" s="71">
        <f t="shared" si="158"/>
        <v>0.20297699594046015</v>
      </c>
      <c r="AP87" s="23">
        <f t="shared" si="158"/>
        <v>-1.475237091675452E-2</v>
      </c>
      <c r="AQ87" s="71">
        <f t="shared" si="158"/>
        <v>-4.0582726326742979E-2</v>
      </c>
      <c r="AR87" s="71">
        <f t="shared" si="158"/>
        <v>3.5714285714285809E-2</v>
      </c>
      <c r="AS87" s="71">
        <f t="shared" si="158"/>
        <v>-0.14095238095238094</v>
      </c>
      <c r="AT87" s="71">
        <f t="shared" ref="AT87" si="159">AT85/AO85-1</f>
        <v>-6.4116985376827862E-2</v>
      </c>
      <c r="AU87" s="23">
        <f t="shared" ref="AU87:AX87" si="160">AU85/AP85-1</f>
        <v>-5.7219251336898425E-2</v>
      </c>
      <c r="AV87" s="71">
        <f t="shared" si="160"/>
        <v>-0.10412147505422997</v>
      </c>
      <c r="AW87" s="71">
        <f t="shared" si="160"/>
        <v>5.7471264367816577E-3</v>
      </c>
      <c r="AX87" s="71">
        <f t="shared" si="160"/>
        <v>8.8691796008869117E-2</v>
      </c>
      <c r="AY87" s="71">
        <f t="shared" ref="AY87" si="161">AY85/AT85-1</f>
        <v>1.2019230769230838E-2</v>
      </c>
      <c r="AZ87" s="23">
        <v>-2.8360748723765816E-4</v>
      </c>
      <c r="BA87" s="71">
        <v>0.1004842615012107</v>
      </c>
      <c r="BB87" s="71">
        <v>-7.8857142857142848E-2</v>
      </c>
      <c r="BC87" s="71">
        <v>-0.10081466395112015</v>
      </c>
      <c r="BD87" s="71">
        <v>8.5510688836104576E-2</v>
      </c>
      <c r="BE87" s="23">
        <v>-3.6879432624113972E-3</v>
      </c>
      <c r="BF87" s="71">
        <v>-0.15841584158415845</v>
      </c>
      <c r="BG87" s="71">
        <v>-0.22580645161290325</v>
      </c>
      <c r="BH87" s="71">
        <v>-0.10872027180067945</v>
      </c>
      <c r="BI87" s="71">
        <v>-0.1816192560175055</v>
      </c>
      <c r="BJ87" s="23">
        <v>-0.16742596810933941</v>
      </c>
      <c r="BK87" s="71">
        <v>0.14901960784313717</v>
      </c>
    </row>
    <row r="88" spans="1:63" ht="13.5" hidden="1" customHeight="1">
      <c r="A88" s="67" t="s">
        <v>45</v>
      </c>
      <c r="B88" s="36">
        <f>1385-B503</f>
        <v>1086</v>
      </c>
      <c r="C88" s="68">
        <f>333-C503</f>
        <v>263</v>
      </c>
      <c r="D88" s="68">
        <f>615-D503</f>
        <v>563</v>
      </c>
      <c r="E88" s="68">
        <f>374-E503</f>
        <v>297</v>
      </c>
      <c r="F88" s="68">
        <f>G88-E88-D88-C88</f>
        <v>509</v>
      </c>
      <c r="G88" s="36">
        <f>1897-G503</f>
        <v>1632</v>
      </c>
      <c r="H88" s="68">
        <f>415-H503</f>
        <v>395</v>
      </c>
      <c r="I88" s="68">
        <f>470-I503</f>
        <v>399</v>
      </c>
      <c r="J88" s="68">
        <f>404-78</f>
        <v>326</v>
      </c>
      <c r="K88" s="68">
        <f>L88-J88-I88-H88</f>
        <v>385</v>
      </c>
      <c r="L88" s="36">
        <f>1673-168</f>
        <v>1505</v>
      </c>
      <c r="M88" s="68">
        <v>360</v>
      </c>
      <c r="N88" s="68">
        <v>427</v>
      </c>
      <c r="O88" s="68">
        <v>381</v>
      </c>
      <c r="P88" s="68">
        <v>478</v>
      </c>
      <c r="Q88" s="36">
        <v>1645</v>
      </c>
      <c r="R88" s="68">
        <v>513</v>
      </c>
      <c r="S88" s="68">
        <v>495</v>
      </c>
      <c r="T88" s="68">
        <v>437</v>
      </c>
      <c r="U88" s="68">
        <f>V88-T88-S88-R88</f>
        <v>494</v>
      </c>
      <c r="V88" s="36">
        <v>1939</v>
      </c>
      <c r="W88" s="68">
        <v>475</v>
      </c>
      <c r="X88" s="68">
        <v>383</v>
      </c>
      <c r="Y88" s="68">
        <v>347</v>
      </c>
      <c r="Z88" s="68">
        <v>338</v>
      </c>
      <c r="AA88" s="36">
        <f>Z88+Y88+X88+W88</f>
        <v>1543</v>
      </c>
      <c r="AB88" s="68">
        <v>254</v>
      </c>
      <c r="AC88" s="68">
        <v>331</v>
      </c>
      <c r="AD88" s="68">
        <v>305</v>
      </c>
      <c r="AE88" s="68">
        <v>347</v>
      </c>
      <c r="AF88" s="36">
        <f>AE88+AD88+AC88+AB88</f>
        <v>1237</v>
      </c>
      <c r="AG88" s="68">
        <v>318</v>
      </c>
      <c r="AH88" s="68">
        <v>338</v>
      </c>
      <c r="AI88" s="68">
        <v>317</v>
      </c>
      <c r="AJ88" s="68">
        <f>AK88-AI88-AH88-AG88</f>
        <v>328</v>
      </c>
      <c r="AK88" s="36">
        <v>1301</v>
      </c>
      <c r="AL88" s="68">
        <v>392</v>
      </c>
      <c r="AM88" s="68">
        <v>490</v>
      </c>
      <c r="AN88" s="68">
        <v>381</v>
      </c>
      <c r="AO88" s="68">
        <v>354</v>
      </c>
      <c r="AP88" s="36">
        <f>AO88+AN88+AM88+AL88</f>
        <v>1617</v>
      </c>
      <c r="AQ88" s="68">
        <v>398</v>
      </c>
      <c r="AR88" s="68">
        <v>362</v>
      </c>
      <c r="AS88" s="68">
        <v>338</v>
      </c>
      <c r="AT88" s="68"/>
      <c r="AU88" s="36"/>
      <c r="AV88" s="68"/>
      <c r="AW88" s="68"/>
      <c r="AX88" s="68"/>
      <c r="AY88" s="68"/>
      <c r="AZ88" s="36"/>
      <c r="BA88" s="68"/>
      <c r="BB88" s="68"/>
      <c r="BC88" s="68"/>
      <c r="BD88" s="68"/>
      <c r="BE88" s="36"/>
      <c r="BF88" s="68"/>
      <c r="BG88" s="68"/>
      <c r="BH88" s="68"/>
      <c r="BI88" s="68"/>
      <c r="BJ88" s="36"/>
      <c r="BK88" s="68"/>
    </row>
    <row r="89" spans="1:63" ht="13.5" hidden="1" customHeight="1">
      <c r="A89" s="69" t="s">
        <v>7</v>
      </c>
      <c r="B89" s="23"/>
      <c r="C89" s="70"/>
      <c r="D89" s="70">
        <f>D88/C88-1</f>
        <v>1.1406844106463878</v>
      </c>
      <c r="E89" s="70">
        <f>E88/D88-1</f>
        <v>-0.47246891651865008</v>
      </c>
      <c r="F89" s="70">
        <f>F88/E88-1</f>
        <v>0.71380471380471389</v>
      </c>
      <c r="G89" s="23"/>
      <c r="H89" s="70">
        <f>H88/F88-1</f>
        <v>-0.22396856581532421</v>
      </c>
      <c r="I89" s="70">
        <f>I88/H88-1</f>
        <v>1.0126582278481067E-2</v>
      </c>
      <c r="J89" s="70">
        <f>J88/I88-1</f>
        <v>-0.18295739348370932</v>
      </c>
      <c r="K89" s="70">
        <f>K88/J88-1</f>
        <v>0.18098159509202461</v>
      </c>
      <c r="L89" s="23"/>
      <c r="M89" s="70">
        <f>M88/K88-1</f>
        <v>-6.4935064935064957E-2</v>
      </c>
      <c r="N89" s="70">
        <f>N88/M88-1</f>
        <v>0.18611111111111112</v>
      </c>
      <c r="O89" s="70">
        <f>O88/N88-1</f>
        <v>-0.10772833723653397</v>
      </c>
      <c r="P89" s="70">
        <f>P88/O88-1</f>
        <v>0.25459317585301844</v>
      </c>
      <c r="Q89" s="23"/>
      <c r="R89" s="70">
        <f>R88/P88-1</f>
        <v>7.322175732217584E-2</v>
      </c>
      <c r="S89" s="70">
        <f>S88/R88-1</f>
        <v>-3.5087719298245612E-2</v>
      </c>
      <c r="T89" s="70">
        <f>T88/S88-1</f>
        <v>-0.11717171717171715</v>
      </c>
      <c r="U89" s="70">
        <f>U88/T88-1</f>
        <v>0.13043478260869557</v>
      </c>
      <c r="V89" s="23"/>
      <c r="W89" s="70">
        <f>W88/U88-1</f>
        <v>-3.8461538461538436E-2</v>
      </c>
      <c r="X89" s="70">
        <f>X88/W88-1</f>
        <v>-0.19368421052631579</v>
      </c>
      <c r="Y89" s="70">
        <f>Y88/X88-1</f>
        <v>-9.3994778067885143E-2</v>
      </c>
      <c r="Z89" s="70">
        <f>Z88/Y88-1</f>
        <v>-2.5936599423631135E-2</v>
      </c>
      <c r="AA89" s="23"/>
      <c r="AB89" s="70">
        <f>AB88/Z88-1</f>
        <v>-0.24852071005917165</v>
      </c>
      <c r="AC89" s="70">
        <f>AC88/AB88-1</f>
        <v>0.3031496062992125</v>
      </c>
      <c r="AD89" s="70">
        <f>AD88/AC88-1</f>
        <v>-7.8549848942598199E-2</v>
      </c>
      <c r="AE89" s="70">
        <f>AE88/AD88-1</f>
        <v>0.13770491803278695</v>
      </c>
      <c r="AF89" s="23"/>
      <c r="AG89" s="70">
        <f>AG88/AE88-1</f>
        <v>-8.3573487031700311E-2</v>
      </c>
      <c r="AH89" s="70">
        <f>AH88/AG88-1</f>
        <v>6.2893081761006275E-2</v>
      </c>
      <c r="AI89" s="70">
        <f>AI88/AH88-1</f>
        <v>-6.2130177514792884E-2</v>
      </c>
      <c r="AJ89" s="70">
        <f>AJ88/AI88-1</f>
        <v>3.4700315457413256E-2</v>
      </c>
      <c r="AK89" s="23"/>
      <c r="AL89" s="70">
        <f>AL88/AJ88-1</f>
        <v>0.19512195121951215</v>
      </c>
      <c r="AM89" s="70">
        <f>AM88/AL88-1</f>
        <v>0.25</v>
      </c>
      <c r="AN89" s="70">
        <f>AN88/AM88-1</f>
        <v>-0.22244897959183674</v>
      </c>
      <c r="AO89" s="70">
        <f>AO88/AN88-1</f>
        <v>-7.086614173228345E-2</v>
      </c>
      <c r="AP89" s="23"/>
      <c r="AQ89" s="70">
        <f>AQ88/AO88-1</f>
        <v>0.12429378531073443</v>
      </c>
      <c r="AR89" s="70">
        <f>AR88/AQ88-1</f>
        <v>-9.0452261306532611E-2</v>
      </c>
      <c r="AS89" s="70">
        <f>AS88/AR88-1</f>
        <v>-6.6298342541436517E-2</v>
      </c>
      <c r="AT89" s="70"/>
      <c r="AU89" s="23"/>
      <c r="AV89" s="70"/>
      <c r="AW89" s="70"/>
      <c r="AX89" s="70"/>
      <c r="AY89" s="70"/>
      <c r="AZ89" s="23"/>
      <c r="BA89" s="70"/>
      <c r="BB89" s="70"/>
      <c r="BC89" s="70"/>
      <c r="BD89" s="70"/>
      <c r="BE89" s="23"/>
      <c r="BF89" s="70"/>
      <c r="BG89" s="70"/>
      <c r="BH89" s="70"/>
      <c r="BI89" s="70"/>
      <c r="BJ89" s="23"/>
      <c r="BK89" s="70"/>
    </row>
    <row r="90" spans="1:63" ht="13.5" hidden="1" customHeight="1">
      <c r="A90" s="69" t="s">
        <v>8</v>
      </c>
      <c r="B90" s="23"/>
      <c r="C90" s="71"/>
      <c r="D90" s="71"/>
      <c r="E90" s="71"/>
      <c r="F90" s="71"/>
      <c r="G90" s="23">
        <f t="shared" ref="G90:N90" si="162">G88/B88-1</f>
        <v>0.50276243093922646</v>
      </c>
      <c r="H90" s="71">
        <f t="shared" si="162"/>
        <v>0.50190114068441072</v>
      </c>
      <c r="I90" s="71">
        <f t="shared" si="162"/>
        <v>-0.29129662522202482</v>
      </c>
      <c r="J90" s="71">
        <f t="shared" si="162"/>
        <v>9.7643097643097754E-2</v>
      </c>
      <c r="K90" s="71">
        <f t="shared" si="162"/>
        <v>-0.24361493123772104</v>
      </c>
      <c r="L90" s="23">
        <f t="shared" si="162"/>
        <v>-7.7818627450980338E-2</v>
      </c>
      <c r="M90" s="71">
        <f t="shared" si="162"/>
        <v>-8.8607594936708889E-2</v>
      </c>
      <c r="N90" s="71">
        <f t="shared" si="162"/>
        <v>7.0175438596491224E-2</v>
      </c>
      <c r="O90" s="71">
        <f t="shared" ref="O90:Y90" si="163">O88/J88-1</f>
        <v>0.16871165644171771</v>
      </c>
      <c r="P90" s="71">
        <f t="shared" si="163"/>
        <v>0.24155844155844153</v>
      </c>
      <c r="Q90" s="23">
        <f t="shared" si="163"/>
        <v>9.3023255813953432E-2</v>
      </c>
      <c r="R90" s="71">
        <f t="shared" si="163"/>
        <v>0.42500000000000004</v>
      </c>
      <c r="S90" s="71">
        <f t="shared" si="163"/>
        <v>0.15925058548009363</v>
      </c>
      <c r="T90" s="71">
        <f t="shared" si="163"/>
        <v>0.14698162729658804</v>
      </c>
      <c r="U90" s="71">
        <f t="shared" si="163"/>
        <v>3.3472803347280422E-2</v>
      </c>
      <c r="V90" s="23">
        <f t="shared" si="163"/>
        <v>0.17872340425531918</v>
      </c>
      <c r="W90" s="71">
        <f t="shared" si="163"/>
        <v>-7.407407407407407E-2</v>
      </c>
      <c r="X90" s="71">
        <f t="shared" si="163"/>
        <v>-0.22626262626262628</v>
      </c>
      <c r="Y90" s="71">
        <f t="shared" si="163"/>
        <v>-0.20594965675057209</v>
      </c>
      <c r="Z90" s="71">
        <f t="shared" ref="Z90:AI90" si="164">Z88/U88-1</f>
        <v>-0.31578947368421051</v>
      </c>
      <c r="AA90" s="23">
        <f t="shared" si="164"/>
        <v>-0.20422898401237755</v>
      </c>
      <c r="AB90" s="71">
        <f t="shared" si="164"/>
        <v>-0.46526315789473682</v>
      </c>
      <c r="AC90" s="71">
        <f t="shared" si="164"/>
        <v>-0.13577023498694518</v>
      </c>
      <c r="AD90" s="71">
        <f t="shared" si="164"/>
        <v>-0.12103746397694526</v>
      </c>
      <c r="AE90" s="71">
        <f t="shared" si="164"/>
        <v>2.6627218934911268E-2</v>
      </c>
      <c r="AF90" s="23">
        <f t="shared" si="164"/>
        <v>-0.19831497083603367</v>
      </c>
      <c r="AG90" s="71">
        <f t="shared" si="164"/>
        <v>0.25196850393700787</v>
      </c>
      <c r="AH90" s="71">
        <f t="shared" si="164"/>
        <v>2.114803625377637E-2</v>
      </c>
      <c r="AI90" s="71">
        <f t="shared" si="164"/>
        <v>3.9344262295081922E-2</v>
      </c>
      <c r="AJ90" s="71">
        <f t="shared" ref="AJ90:AS90" si="165">AJ88/AE88-1</f>
        <v>-5.4755043227665667E-2</v>
      </c>
      <c r="AK90" s="23">
        <f t="shared" si="165"/>
        <v>5.1738075990299004E-2</v>
      </c>
      <c r="AL90" s="71">
        <f t="shared" si="165"/>
        <v>0.23270440251572322</v>
      </c>
      <c r="AM90" s="71">
        <f t="shared" si="165"/>
        <v>0.4497041420118344</v>
      </c>
      <c r="AN90" s="71">
        <f t="shared" si="165"/>
        <v>0.20189274447949535</v>
      </c>
      <c r="AO90" s="71">
        <f t="shared" si="165"/>
        <v>7.92682926829269E-2</v>
      </c>
      <c r="AP90" s="23">
        <f t="shared" si="165"/>
        <v>0.24289008455034589</v>
      </c>
      <c r="AQ90" s="71">
        <f t="shared" si="165"/>
        <v>1.5306122448979664E-2</v>
      </c>
      <c r="AR90" s="71">
        <f t="shared" si="165"/>
        <v>-0.26122448979591839</v>
      </c>
      <c r="AS90" s="71">
        <f t="shared" si="165"/>
        <v>-0.11286089238845143</v>
      </c>
      <c r="AT90" s="71"/>
      <c r="AU90" s="23"/>
      <c r="AV90" s="71"/>
      <c r="AW90" s="71"/>
      <c r="AX90" s="71"/>
      <c r="AY90" s="71"/>
      <c r="AZ90" s="23"/>
      <c r="BA90" s="71"/>
      <c r="BB90" s="71"/>
      <c r="BC90" s="71"/>
      <c r="BD90" s="71"/>
      <c r="BE90" s="23"/>
      <c r="BF90" s="71"/>
      <c r="BG90" s="71"/>
      <c r="BH90" s="71"/>
      <c r="BI90" s="71"/>
      <c r="BJ90" s="23"/>
      <c r="BK90" s="71"/>
    </row>
    <row r="91" spans="1:63" ht="13.5" customHeight="1">
      <c r="A91" s="67" t="s">
        <v>46</v>
      </c>
      <c r="B91" s="36">
        <f>(273+973)-B506</f>
        <v>991.45</v>
      </c>
      <c r="C91" s="68">
        <f>59+307-C506</f>
        <v>286.60000000000002</v>
      </c>
      <c r="D91" s="68">
        <f>310+76-D506</f>
        <v>346.44600000000003</v>
      </c>
      <c r="E91" s="68">
        <f>250+345-E506</f>
        <v>539.15</v>
      </c>
      <c r="F91" s="68">
        <f>G91-E91-D91-C91</f>
        <v>359.26300000000003</v>
      </c>
      <c r="G91" s="36">
        <f>469+1300-G506</f>
        <v>1531.4590000000001</v>
      </c>
      <c r="H91" s="68">
        <f>63+408-H506</f>
        <v>409.56400000000002</v>
      </c>
      <c r="I91" s="68">
        <f>93+348-I506</f>
        <v>381.08800000000002</v>
      </c>
      <c r="J91" s="68">
        <f>404-20</f>
        <v>384</v>
      </c>
      <c r="K91" s="68">
        <f>L91-J91-I91-H91</f>
        <v>360.34800000000001</v>
      </c>
      <c r="L91" s="36">
        <f>(349+1363)-177</f>
        <v>1535</v>
      </c>
      <c r="M91" s="68">
        <f>88+281</f>
        <v>369</v>
      </c>
      <c r="N91" s="68">
        <f>326+70</f>
        <v>396</v>
      </c>
      <c r="O91" s="68">
        <f>76+300</f>
        <v>376</v>
      </c>
      <c r="P91" s="68">
        <f>Q91-O91-N91-M91</f>
        <v>481</v>
      </c>
      <c r="Q91" s="36">
        <f>343+1279</f>
        <v>1622</v>
      </c>
      <c r="R91" s="68">
        <f>78+422</f>
        <v>500</v>
      </c>
      <c r="S91" s="68">
        <f>80+375</f>
        <v>455</v>
      </c>
      <c r="T91" s="68">
        <f>86+393</f>
        <v>479</v>
      </c>
      <c r="U91" s="68">
        <f>V91-T91-S91-R91</f>
        <v>469</v>
      </c>
      <c r="V91" s="36">
        <f>355+1548</f>
        <v>1903</v>
      </c>
      <c r="W91" s="68">
        <f>75+385</f>
        <v>460</v>
      </c>
      <c r="X91" s="68">
        <f>67+315</f>
        <v>382</v>
      </c>
      <c r="Y91" s="68">
        <f>58+309</f>
        <v>367</v>
      </c>
      <c r="Z91" s="68">
        <f>AA91-Y91-X91-W91</f>
        <v>331</v>
      </c>
      <c r="AA91" s="36">
        <f>269+1271</f>
        <v>1540</v>
      </c>
      <c r="AB91" s="68">
        <f>44+245</f>
        <v>289</v>
      </c>
      <c r="AC91" s="68">
        <f>49+252</f>
        <v>301</v>
      </c>
      <c r="AD91" s="68">
        <f>270+50</f>
        <v>320</v>
      </c>
      <c r="AE91" s="68">
        <f>AF91-AD91-AC91-AB91</f>
        <v>318</v>
      </c>
      <c r="AF91" s="36">
        <f>186+1042</f>
        <v>1228</v>
      </c>
      <c r="AG91" s="68">
        <f>48+267</f>
        <v>315</v>
      </c>
      <c r="AH91" s="68">
        <f>42+281</f>
        <v>323</v>
      </c>
      <c r="AI91" s="68">
        <f>50+272</f>
        <v>322</v>
      </c>
      <c r="AJ91" s="68">
        <f>AK91-AI91-AH91-AG91</f>
        <v>315</v>
      </c>
      <c r="AK91" s="36">
        <f>194+1081</f>
        <v>1275</v>
      </c>
      <c r="AL91" s="68">
        <f>302+66</f>
        <v>368</v>
      </c>
      <c r="AM91" s="68">
        <f>148+363</f>
        <v>511</v>
      </c>
      <c r="AN91" s="68">
        <f>373+54</f>
        <v>427</v>
      </c>
      <c r="AO91" s="68">
        <f>AP91-AN91-AM91-AL91</f>
        <v>329</v>
      </c>
      <c r="AP91" s="36">
        <f>311+1324</f>
        <v>1635</v>
      </c>
      <c r="AQ91" s="68">
        <f>294+51</f>
        <v>345</v>
      </c>
      <c r="AR91" s="68">
        <f>317+70</f>
        <v>387</v>
      </c>
      <c r="AS91" s="68">
        <f>290+59</f>
        <v>349</v>
      </c>
      <c r="AT91" s="68">
        <f>AU91-AS91-AR91-AQ91</f>
        <v>335</v>
      </c>
      <c r="AU91" s="36">
        <f>1193+223</f>
        <v>1416</v>
      </c>
      <c r="AV91" s="68">
        <f>277+103</f>
        <v>380</v>
      </c>
      <c r="AW91" s="68">
        <f>303+103</f>
        <v>406</v>
      </c>
      <c r="AX91" s="68">
        <f>255+98</f>
        <v>353</v>
      </c>
      <c r="AY91" s="68">
        <f>AZ91-AX91-AW91-AV91</f>
        <v>391</v>
      </c>
      <c r="AZ91" s="36">
        <v>1530</v>
      </c>
      <c r="BA91" s="68">
        <v>368</v>
      </c>
      <c r="BB91" s="68">
        <v>531</v>
      </c>
      <c r="BC91" s="68">
        <v>412</v>
      </c>
      <c r="BD91" s="68">
        <v>416</v>
      </c>
      <c r="BE91" s="36">
        <v>1727</v>
      </c>
      <c r="BF91" s="68">
        <v>373</v>
      </c>
      <c r="BG91" s="68">
        <v>525</v>
      </c>
      <c r="BH91" s="68">
        <v>329</v>
      </c>
      <c r="BI91" s="68">
        <v>324</v>
      </c>
      <c r="BJ91" s="36">
        <v>1551</v>
      </c>
      <c r="BK91" s="68">
        <v>338</v>
      </c>
    </row>
    <row r="92" spans="1:63" ht="13.5" customHeight="1">
      <c r="A92" s="69" t="s">
        <v>7</v>
      </c>
      <c r="B92" s="23"/>
      <c r="C92" s="70"/>
      <c r="D92" s="70">
        <f>D91/C91-1</f>
        <v>0.2088136775994418</v>
      </c>
      <c r="E92" s="70">
        <f>E91/D91-1</f>
        <v>0.55623098549268835</v>
      </c>
      <c r="F92" s="70">
        <f>F91/E91-1</f>
        <v>-0.33364926272836859</v>
      </c>
      <c r="G92" s="23"/>
      <c r="H92" s="70">
        <f>H91/F91-1</f>
        <v>0.14001163493039903</v>
      </c>
      <c r="I92" s="70">
        <f>I91/H91-1</f>
        <v>-6.952759519879681E-2</v>
      </c>
      <c r="J92" s="70">
        <f>J91/I91-1</f>
        <v>7.6412797044251857E-3</v>
      </c>
      <c r="K92" s="70">
        <f>K91/J91-1</f>
        <v>-6.1593750000000003E-2</v>
      </c>
      <c r="L92" s="23"/>
      <c r="M92" s="70">
        <f>M91/K91-1</f>
        <v>2.4010123547237638E-2</v>
      </c>
      <c r="N92" s="70">
        <f>N91/M91-1</f>
        <v>7.3170731707317138E-2</v>
      </c>
      <c r="O92" s="70">
        <f>O91/N91-1</f>
        <v>-5.0505050505050497E-2</v>
      </c>
      <c r="P92" s="70">
        <f>P91/O91-1</f>
        <v>0.2792553191489362</v>
      </c>
      <c r="Q92" s="23"/>
      <c r="R92" s="70">
        <f>R91/P91-1</f>
        <v>3.9501039501039559E-2</v>
      </c>
      <c r="S92" s="70">
        <f>S91/R91-1</f>
        <v>-8.9999999999999969E-2</v>
      </c>
      <c r="T92" s="70">
        <f>T91/S91-1</f>
        <v>5.2747252747252782E-2</v>
      </c>
      <c r="U92" s="70">
        <f>U91/T91-1</f>
        <v>-2.087682672233826E-2</v>
      </c>
      <c r="V92" s="23"/>
      <c r="W92" s="70">
        <f>W91/U91-1</f>
        <v>-1.9189765458422214E-2</v>
      </c>
      <c r="X92" s="70">
        <f>X91/W91-1</f>
        <v>-0.16956521739130437</v>
      </c>
      <c r="Y92" s="70">
        <f>Y91/X91-1</f>
        <v>-3.9267015706806241E-2</v>
      </c>
      <c r="Z92" s="70">
        <f>Z91/Y91-1</f>
        <v>-9.8092643051771122E-2</v>
      </c>
      <c r="AA92" s="23"/>
      <c r="AB92" s="70">
        <f>AB91/Z91-1</f>
        <v>-0.12688821752265866</v>
      </c>
      <c r="AC92" s="70">
        <f>AC91/AB91-1</f>
        <v>4.1522491349480939E-2</v>
      </c>
      <c r="AD92" s="70">
        <f>AD91/AC91-1</f>
        <v>6.3122923588039948E-2</v>
      </c>
      <c r="AE92" s="70">
        <f>AE91/AD91-1</f>
        <v>-6.2499999999999778E-3</v>
      </c>
      <c r="AF92" s="23"/>
      <c r="AG92" s="70">
        <f>AG91/AE91-1</f>
        <v>-9.4339622641509413E-3</v>
      </c>
      <c r="AH92" s="70">
        <f>AH91/AG91-1</f>
        <v>2.5396825396825307E-2</v>
      </c>
      <c r="AI92" s="70">
        <f>AI91/AH91-1</f>
        <v>-3.0959752321981782E-3</v>
      </c>
      <c r="AJ92" s="70">
        <f>AJ91/AI91-1</f>
        <v>-2.1739130434782594E-2</v>
      </c>
      <c r="AK92" s="23"/>
      <c r="AL92" s="70">
        <f>AL91/AJ91-1</f>
        <v>0.16825396825396832</v>
      </c>
      <c r="AM92" s="70">
        <f>AM91/AL91-1</f>
        <v>0.38858695652173902</v>
      </c>
      <c r="AN92" s="70">
        <f>AN91/AM91-1</f>
        <v>-0.16438356164383561</v>
      </c>
      <c r="AO92" s="70">
        <f>AO91/AN91-1</f>
        <v>-0.22950819672131151</v>
      </c>
      <c r="AP92" s="23"/>
      <c r="AQ92" s="70">
        <f>AQ91/AO91-1</f>
        <v>4.8632218844984809E-2</v>
      </c>
      <c r="AR92" s="70">
        <f>AR91/AQ91-1</f>
        <v>0.12173913043478257</v>
      </c>
      <c r="AS92" s="70">
        <f>AS91/AR91-1</f>
        <v>-9.8191214470284227E-2</v>
      </c>
      <c r="AT92" s="70">
        <f>AT91/AS91-1</f>
        <v>-4.011461318051579E-2</v>
      </c>
      <c r="AU92" s="23"/>
      <c r="AV92" s="70">
        <f>AV91/AT91-1</f>
        <v>0.13432835820895517</v>
      </c>
      <c r="AW92" s="70">
        <f>AW91/AV91-1</f>
        <v>6.8421052631578938E-2</v>
      </c>
      <c r="AX92" s="70">
        <f>AX91/AW91-1</f>
        <v>-0.13054187192118227</v>
      </c>
      <c r="AY92" s="70">
        <f>AY91/AX91-1</f>
        <v>0.10764872521246449</v>
      </c>
      <c r="AZ92" s="23"/>
      <c r="BA92" s="70">
        <v>-5.8823529411764719E-2</v>
      </c>
      <c r="BB92" s="70">
        <v>0.44293478260869557</v>
      </c>
      <c r="BC92" s="70">
        <v>-0.22410546139359699</v>
      </c>
      <c r="BD92" s="70">
        <v>9.7087378640776656E-3</v>
      </c>
      <c r="BE92" s="23"/>
      <c r="BF92" s="70">
        <v>-0.10336538461538458</v>
      </c>
      <c r="BG92" s="70">
        <v>0.40750670241286868</v>
      </c>
      <c r="BH92" s="70">
        <v>-0.37333333333333329</v>
      </c>
      <c r="BI92" s="70">
        <v>-1.5197568389057725E-2</v>
      </c>
      <c r="BJ92" s="23"/>
      <c r="BK92" s="70">
        <v>4.3209876543209846E-2</v>
      </c>
    </row>
    <row r="93" spans="1:63" ht="13.5" customHeight="1">
      <c r="A93" s="69" t="s">
        <v>8</v>
      </c>
      <c r="B93" s="23"/>
      <c r="C93" s="71"/>
      <c r="D93" s="71"/>
      <c r="E93" s="71"/>
      <c r="F93" s="71"/>
      <c r="G93" s="23">
        <f t="shared" ref="G93:N93" si="166">G91/B91-1</f>
        <v>0.54466589338847138</v>
      </c>
      <c r="H93" s="71">
        <f t="shared" si="166"/>
        <v>0.42904396371249121</v>
      </c>
      <c r="I93" s="71">
        <f t="shared" si="166"/>
        <v>9.9992495222920752E-2</v>
      </c>
      <c r="J93" s="71">
        <f t="shared" si="166"/>
        <v>-0.28776778262079195</v>
      </c>
      <c r="K93" s="71">
        <f t="shared" si="166"/>
        <v>3.0200716466766142E-3</v>
      </c>
      <c r="L93" s="23">
        <f t="shared" si="166"/>
        <v>2.3121742077325536E-3</v>
      </c>
      <c r="M93" s="71">
        <f t="shared" si="166"/>
        <v>-9.9041907980193633E-2</v>
      </c>
      <c r="N93" s="71">
        <f t="shared" si="166"/>
        <v>3.9130069695188396E-2</v>
      </c>
      <c r="O93" s="71">
        <f t="shared" ref="O93:Y93" si="167">O91/J91-1</f>
        <v>-2.083333333333337E-2</v>
      </c>
      <c r="P93" s="71">
        <f t="shared" si="167"/>
        <v>0.33482078435290319</v>
      </c>
      <c r="Q93" s="23">
        <f t="shared" si="167"/>
        <v>5.6677524429967319E-2</v>
      </c>
      <c r="R93" s="71">
        <f t="shared" si="167"/>
        <v>0.3550135501355014</v>
      </c>
      <c r="S93" s="71">
        <f t="shared" si="167"/>
        <v>0.14898989898989901</v>
      </c>
      <c r="T93" s="71">
        <f t="shared" si="167"/>
        <v>0.27393617021276606</v>
      </c>
      <c r="U93" s="71">
        <f t="shared" si="167"/>
        <v>-2.4948024948024949E-2</v>
      </c>
      <c r="V93" s="23">
        <f t="shared" si="167"/>
        <v>0.17324290998766956</v>
      </c>
      <c r="W93" s="71">
        <f t="shared" si="167"/>
        <v>-7.999999999999996E-2</v>
      </c>
      <c r="X93" s="71">
        <f t="shared" si="167"/>
        <v>-0.16043956043956042</v>
      </c>
      <c r="Y93" s="71">
        <f t="shared" si="167"/>
        <v>-0.23382045929018791</v>
      </c>
      <c r="Z93" s="71">
        <f t="shared" ref="Z93:AI93" si="168">Z91/U91-1</f>
        <v>-0.29424307036247332</v>
      </c>
      <c r="AA93" s="23">
        <f t="shared" si="168"/>
        <v>-0.19075144508670516</v>
      </c>
      <c r="AB93" s="71">
        <f t="shared" si="168"/>
        <v>-0.37173913043478257</v>
      </c>
      <c r="AC93" s="71">
        <f t="shared" si="168"/>
        <v>-0.2120418848167539</v>
      </c>
      <c r="AD93" s="71">
        <f t="shared" si="168"/>
        <v>-0.12806539509536785</v>
      </c>
      <c r="AE93" s="71">
        <f t="shared" si="168"/>
        <v>-3.92749244712991E-2</v>
      </c>
      <c r="AF93" s="23">
        <f t="shared" si="168"/>
        <v>-0.20259740259740255</v>
      </c>
      <c r="AG93" s="71">
        <f t="shared" si="168"/>
        <v>8.9965397923875479E-2</v>
      </c>
      <c r="AH93" s="71">
        <f t="shared" si="168"/>
        <v>7.3089700996677776E-2</v>
      </c>
      <c r="AI93" s="71">
        <f t="shared" si="168"/>
        <v>6.2500000000000888E-3</v>
      </c>
      <c r="AJ93" s="71">
        <f t="shared" ref="AJ93:AS93" si="169">AJ91/AE91-1</f>
        <v>-9.4339622641509413E-3</v>
      </c>
      <c r="AK93" s="23">
        <f t="shared" si="169"/>
        <v>3.8273615635179059E-2</v>
      </c>
      <c r="AL93" s="71">
        <f t="shared" si="169"/>
        <v>0.16825396825396832</v>
      </c>
      <c r="AM93" s="71">
        <f t="shared" si="169"/>
        <v>0.58204334365325083</v>
      </c>
      <c r="AN93" s="71">
        <f t="shared" si="169"/>
        <v>0.32608695652173902</v>
      </c>
      <c r="AO93" s="71">
        <f t="shared" si="169"/>
        <v>4.4444444444444509E-2</v>
      </c>
      <c r="AP93" s="23">
        <f t="shared" si="169"/>
        <v>0.2823529411764707</v>
      </c>
      <c r="AQ93" s="71">
        <f t="shared" si="169"/>
        <v>-6.25E-2</v>
      </c>
      <c r="AR93" s="71">
        <f t="shared" si="169"/>
        <v>-0.24266144814090018</v>
      </c>
      <c r="AS93" s="71">
        <f t="shared" si="169"/>
        <v>-0.18266978922716626</v>
      </c>
      <c r="AT93" s="71">
        <f t="shared" ref="AT93" si="170">AT91/AO91-1</f>
        <v>1.8237082066869359E-2</v>
      </c>
      <c r="AU93" s="23">
        <f t="shared" ref="AU93:AX93" si="171">AU91/AP91-1</f>
        <v>-0.13394495412844032</v>
      </c>
      <c r="AV93" s="71">
        <f t="shared" si="171"/>
        <v>0.10144927536231885</v>
      </c>
      <c r="AW93" s="71">
        <f t="shared" si="171"/>
        <v>4.9095607235142058E-2</v>
      </c>
      <c r="AX93" s="71">
        <f t="shared" si="171"/>
        <v>1.1461318051575908E-2</v>
      </c>
      <c r="AY93" s="71">
        <f t="shared" ref="AY93" si="172">AY91/AT91-1</f>
        <v>0.16716417910447756</v>
      </c>
      <c r="AZ93" s="23">
        <v>8.0508474576271194E-2</v>
      </c>
      <c r="BA93" s="71">
        <v>-3.157894736842104E-2</v>
      </c>
      <c r="BB93" s="71">
        <v>0.30788177339901468</v>
      </c>
      <c r="BC93" s="71">
        <v>0.16713881019830024</v>
      </c>
      <c r="BD93" s="71">
        <v>6.3938618925831303E-2</v>
      </c>
      <c r="BE93" s="23">
        <v>0.12875816993464051</v>
      </c>
      <c r="BF93" s="71">
        <v>1.3586956521739024E-2</v>
      </c>
      <c r="BG93" s="71">
        <v>-1.1299435028248594E-2</v>
      </c>
      <c r="BH93" s="71">
        <v>-0.20145631067961167</v>
      </c>
      <c r="BI93" s="71">
        <v>-0.22115384615384615</v>
      </c>
      <c r="BJ93" s="23">
        <v>-0.10191082802547768</v>
      </c>
      <c r="BK93" s="71">
        <v>-9.383378016085786E-2</v>
      </c>
    </row>
    <row r="94" spans="1:63" ht="13.5" customHeight="1">
      <c r="A94" s="67" t="s">
        <v>227</v>
      </c>
      <c r="B94" s="36">
        <v>177</v>
      </c>
      <c r="C94" s="68">
        <v>61</v>
      </c>
      <c r="D94" s="68">
        <v>26</v>
      </c>
      <c r="E94" s="68">
        <v>14</v>
      </c>
      <c r="F94" s="68">
        <f>G94-E94-D94-C94</f>
        <v>46</v>
      </c>
      <c r="G94" s="36">
        <v>147</v>
      </c>
      <c r="H94" s="68">
        <v>51</v>
      </c>
      <c r="I94" s="68">
        <v>11</v>
      </c>
      <c r="J94" s="68">
        <v>20</v>
      </c>
      <c r="K94" s="68">
        <f>L94-J94-I94-H94</f>
        <v>8</v>
      </c>
      <c r="L94" s="36">
        <v>90</v>
      </c>
      <c r="M94" s="68">
        <v>15</v>
      </c>
      <c r="N94" s="68">
        <v>26</v>
      </c>
      <c r="O94" s="68">
        <v>48</v>
      </c>
      <c r="P94" s="68">
        <f>Q94-O94-N94-M94</f>
        <v>44</v>
      </c>
      <c r="Q94" s="36">
        <v>133</v>
      </c>
      <c r="R94" s="68">
        <v>187</v>
      </c>
      <c r="S94" s="68">
        <v>49</v>
      </c>
      <c r="T94" s="68">
        <v>105</v>
      </c>
      <c r="U94" s="68">
        <f>V94-T94-S94-R94</f>
        <v>-75</v>
      </c>
      <c r="V94" s="36">
        <v>266</v>
      </c>
      <c r="W94" s="68">
        <v>47</v>
      </c>
      <c r="X94" s="68">
        <v>22</v>
      </c>
      <c r="Y94" s="68">
        <v>97</v>
      </c>
      <c r="Z94" s="68">
        <f>AA94-Y94-X94-W94</f>
        <v>139</v>
      </c>
      <c r="AA94" s="36">
        <v>305</v>
      </c>
      <c r="AB94" s="68">
        <v>43</v>
      </c>
      <c r="AC94" s="68">
        <v>123</v>
      </c>
      <c r="AD94" s="68">
        <v>53</v>
      </c>
      <c r="AE94" s="68">
        <f>AF94-AD94-AC94-AB94</f>
        <v>93</v>
      </c>
      <c r="AF94" s="36">
        <v>312</v>
      </c>
      <c r="AG94" s="68">
        <v>29</v>
      </c>
      <c r="AH94" s="68">
        <v>46</v>
      </c>
      <c r="AI94" s="68">
        <v>72</v>
      </c>
      <c r="AJ94" s="68">
        <f>AK94-AI94-AH94-AG94</f>
        <v>83</v>
      </c>
      <c r="AK94" s="36">
        <v>230</v>
      </c>
      <c r="AL94" s="68">
        <v>13</v>
      </c>
      <c r="AM94" s="68">
        <v>84</v>
      </c>
      <c r="AN94" s="68">
        <v>22</v>
      </c>
      <c r="AO94" s="68">
        <f>AP94-AN94-AM94-AL94</f>
        <v>32</v>
      </c>
      <c r="AP94" s="36">
        <v>151</v>
      </c>
      <c r="AQ94" s="68">
        <v>42</v>
      </c>
      <c r="AR94" s="68">
        <v>56</v>
      </c>
      <c r="AS94" s="68">
        <v>24</v>
      </c>
      <c r="AT94" s="68">
        <f>AU94-AS94-AR94-AQ94</f>
        <v>16</v>
      </c>
      <c r="AU94" s="36">
        <v>138</v>
      </c>
      <c r="AV94" s="68">
        <v>10</v>
      </c>
      <c r="AW94" s="68">
        <v>18</v>
      </c>
      <c r="AX94" s="68">
        <v>48</v>
      </c>
      <c r="AY94" s="68">
        <f>AZ94-AX94-AW94-AV94</f>
        <v>22</v>
      </c>
      <c r="AZ94" s="36">
        <v>98</v>
      </c>
      <c r="BA94" s="68">
        <v>8</v>
      </c>
      <c r="BB94" s="148">
        <v>-57</v>
      </c>
      <c r="BC94" s="68">
        <v>12</v>
      </c>
      <c r="BD94" s="68">
        <v>272</v>
      </c>
      <c r="BE94" s="36">
        <v>235</v>
      </c>
      <c r="BF94" s="68">
        <v>41</v>
      </c>
      <c r="BG94" s="68">
        <v>341</v>
      </c>
      <c r="BH94" s="68">
        <v>15</v>
      </c>
      <c r="BI94" s="68">
        <v>12</v>
      </c>
      <c r="BJ94" s="36">
        <v>409</v>
      </c>
      <c r="BK94" s="68">
        <v>8</v>
      </c>
    </row>
    <row r="95" spans="1:63" ht="13.5" customHeight="1">
      <c r="A95" s="69" t="s">
        <v>7</v>
      </c>
      <c r="B95" s="23"/>
      <c r="C95" s="70"/>
      <c r="D95" s="70">
        <f>D94/C94-1</f>
        <v>-0.57377049180327866</v>
      </c>
      <c r="E95" s="70">
        <f>E94/D94-1</f>
        <v>-0.46153846153846156</v>
      </c>
      <c r="F95" s="70">
        <f>F94/E94-1</f>
        <v>2.2857142857142856</v>
      </c>
      <c r="G95" s="23"/>
      <c r="H95" s="70">
        <f>H94/F94-1</f>
        <v>0.10869565217391308</v>
      </c>
      <c r="I95" s="70">
        <f>I94/H94-1</f>
        <v>-0.78431372549019607</v>
      </c>
      <c r="J95" s="70">
        <f>J94/I94-1</f>
        <v>0.81818181818181812</v>
      </c>
      <c r="K95" s="70">
        <f>K94/J94-1</f>
        <v>-0.6</v>
      </c>
      <c r="L95" s="23"/>
      <c r="M95" s="70">
        <f>M94/K94-1</f>
        <v>0.875</v>
      </c>
      <c r="N95" s="70">
        <f>N94/M94-1</f>
        <v>0.73333333333333339</v>
      </c>
      <c r="O95" s="70">
        <f>O94/N94-1</f>
        <v>0.84615384615384626</v>
      </c>
      <c r="P95" s="70">
        <f>P94/O94-1</f>
        <v>-8.333333333333337E-2</v>
      </c>
      <c r="Q95" s="23"/>
      <c r="R95" s="70">
        <f>R94/P94-1</f>
        <v>3.25</v>
      </c>
      <c r="S95" s="70">
        <f>S94/R94-1</f>
        <v>-0.73796791443850274</v>
      </c>
      <c r="T95" s="70">
        <f>T94/S94-1</f>
        <v>1.1428571428571428</v>
      </c>
      <c r="U95" s="70">
        <f>U94/T94-1</f>
        <v>-1.7142857142857144</v>
      </c>
      <c r="V95" s="23"/>
      <c r="W95" s="70">
        <f>W94/U94-1</f>
        <v>-1.6266666666666667</v>
      </c>
      <c r="X95" s="70">
        <f>X94/W94-1</f>
        <v>-0.53191489361702127</v>
      </c>
      <c r="Y95" s="70">
        <f>Y94/X94-1</f>
        <v>3.4090909090909092</v>
      </c>
      <c r="Z95" s="70">
        <f>Z94/Y94-1</f>
        <v>0.4329896907216495</v>
      </c>
      <c r="AA95" s="23"/>
      <c r="AB95" s="70">
        <f>AB94/Z94-1</f>
        <v>-0.69064748201438841</v>
      </c>
      <c r="AC95" s="70">
        <f>AC94/AB94-1</f>
        <v>1.86046511627907</v>
      </c>
      <c r="AD95" s="70">
        <f>AD94/AC94-1</f>
        <v>-0.56910569105691056</v>
      </c>
      <c r="AE95" s="70">
        <f>AE94/AD94-1</f>
        <v>0.75471698113207553</v>
      </c>
      <c r="AF95" s="23"/>
      <c r="AG95" s="70">
        <f>AG94/AE94-1</f>
        <v>-0.68817204301075274</v>
      </c>
      <c r="AH95" s="70">
        <f>AH94/AG94-1</f>
        <v>0.5862068965517242</v>
      </c>
      <c r="AI95" s="70">
        <f>AI94/AH94-1</f>
        <v>0.56521739130434789</v>
      </c>
      <c r="AJ95" s="70">
        <f>AJ94/AI94-1</f>
        <v>0.15277777777777768</v>
      </c>
      <c r="AK95" s="23"/>
      <c r="AL95" s="70">
        <f>AL94/AJ94-1</f>
        <v>-0.84337349397590367</v>
      </c>
      <c r="AM95" s="70">
        <f>AM94/AL94-1</f>
        <v>5.4615384615384617</v>
      </c>
      <c r="AN95" s="70">
        <f>AN94/AM94-1</f>
        <v>-0.73809523809523814</v>
      </c>
      <c r="AO95" s="70">
        <f>AO94/AN94-1</f>
        <v>0.45454545454545459</v>
      </c>
      <c r="AP95" s="23"/>
      <c r="AQ95" s="70">
        <f>AQ94/AO94-1</f>
        <v>0.3125</v>
      </c>
      <c r="AR95" s="70">
        <f>AR94/AQ94-1</f>
        <v>0.33333333333333326</v>
      </c>
      <c r="AS95" s="70">
        <f>AS94/AR94-1</f>
        <v>-0.5714285714285714</v>
      </c>
      <c r="AT95" s="70">
        <f>AT94/AS94-1</f>
        <v>-0.33333333333333337</v>
      </c>
      <c r="AU95" s="23"/>
      <c r="AV95" s="70">
        <f>AV94/AT94-1</f>
        <v>-0.375</v>
      </c>
      <c r="AW95" s="70">
        <f>AW94/AV94-1</f>
        <v>0.8</v>
      </c>
      <c r="AX95" s="70">
        <f>AX94/AW94-1</f>
        <v>1.6666666666666665</v>
      </c>
      <c r="AY95" s="70">
        <f>AY94/AX94-1</f>
        <v>-0.54166666666666674</v>
      </c>
      <c r="AZ95" s="23"/>
      <c r="BA95" s="70">
        <v>-0.63636363636363635</v>
      </c>
      <c r="BB95" s="83" t="s">
        <v>39</v>
      </c>
      <c r="BC95" s="83" t="s">
        <v>39</v>
      </c>
      <c r="BD95" s="70">
        <v>21.666666666666668</v>
      </c>
      <c r="BE95" s="23"/>
      <c r="BF95" s="70">
        <v>-0.84926470588235292</v>
      </c>
      <c r="BG95" s="70">
        <v>7.3170731707317067</v>
      </c>
      <c r="BH95" s="70">
        <v>-0.95601173020527863</v>
      </c>
      <c r="BI95" s="70">
        <v>-0.19999999999999996</v>
      </c>
      <c r="BJ95" s="23"/>
      <c r="BK95" s="70">
        <v>-0.33333333333333337</v>
      </c>
    </row>
    <row r="96" spans="1:63" ht="13.5" customHeight="1">
      <c r="A96" s="69" t="s">
        <v>8</v>
      </c>
      <c r="B96" s="23"/>
      <c r="C96" s="71"/>
      <c r="D96" s="71"/>
      <c r="E96" s="71"/>
      <c r="F96" s="71"/>
      <c r="G96" s="23">
        <f t="shared" ref="G96" si="173">G94/B94-1</f>
        <v>-0.16949152542372881</v>
      </c>
      <c r="H96" s="71">
        <f t="shared" ref="H96" si="174">H94/C94-1</f>
        <v>-0.16393442622950816</v>
      </c>
      <c r="I96" s="71">
        <f t="shared" ref="I96" si="175">I94/D94-1</f>
        <v>-0.57692307692307687</v>
      </c>
      <c r="J96" s="71">
        <f t="shared" ref="J96" si="176">J94/E94-1</f>
        <v>0.4285714285714286</v>
      </c>
      <c r="K96" s="71">
        <f t="shared" ref="K96" si="177">K94/F94-1</f>
        <v>-0.82608695652173914</v>
      </c>
      <c r="L96" s="23">
        <f t="shared" ref="L96" si="178">L94/G94-1</f>
        <v>-0.38775510204081631</v>
      </c>
      <c r="M96" s="71">
        <f t="shared" ref="M96" si="179">M94/H94-1</f>
        <v>-0.70588235294117641</v>
      </c>
      <c r="N96" s="71">
        <f t="shared" ref="N96" si="180">N94/I94-1</f>
        <v>1.3636363636363638</v>
      </c>
      <c r="O96" s="71">
        <f t="shared" ref="O96" si="181">O94/J94-1</f>
        <v>1.4</v>
      </c>
      <c r="P96" s="71">
        <f t="shared" ref="P96" si="182">P94/K94-1</f>
        <v>4.5</v>
      </c>
      <c r="Q96" s="23">
        <f t="shared" ref="Q96" si="183">Q94/L94-1</f>
        <v>0.47777777777777786</v>
      </c>
      <c r="R96" s="71">
        <f t="shared" ref="R96" si="184">R94/M94-1</f>
        <v>11.466666666666667</v>
      </c>
      <c r="S96" s="71">
        <f t="shared" ref="S96" si="185">S94/N94-1</f>
        <v>0.88461538461538458</v>
      </c>
      <c r="T96" s="71">
        <f t="shared" ref="T96" si="186">T94/O94-1</f>
        <v>1.1875</v>
      </c>
      <c r="U96" s="71">
        <f t="shared" ref="U96" si="187">U94/P94-1</f>
        <v>-2.7045454545454546</v>
      </c>
      <c r="V96" s="23">
        <f t="shared" ref="V96" si="188">V94/Q94-1</f>
        <v>1</v>
      </c>
      <c r="W96" s="71">
        <f t="shared" ref="W96" si="189">W94/R94-1</f>
        <v>-0.74866310160427807</v>
      </c>
      <c r="X96" s="71">
        <f t="shared" ref="X96" si="190">X94/S94-1</f>
        <v>-0.55102040816326525</v>
      </c>
      <c r="Y96" s="71">
        <f t="shared" ref="Y96" si="191">Y94/T94-1</f>
        <v>-7.6190476190476142E-2</v>
      </c>
      <c r="Z96" s="71">
        <f t="shared" ref="Z96" si="192">Z94/U94-1</f>
        <v>-2.8533333333333335</v>
      </c>
      <c r="AA96" s="23">
        <f t="shared" ref="AA96" si="193">AA94/V94-1</f>
        <v>0.14661654135338353</v>
      </c>
      <c r="AB96" s="71">
        <f t="shared" ref="AB96" si="194">AB94/W94-1</f>
        <v>-8.5106382978723416E-2</v>
      </c>
      <c r="AC96" s="71">
        <f t="shared" ref="AC96" si="195">AC94/X94-1</f>
        <v>4.5909090909090908</v>
      </c>
      <c r="AD96" s="71">
        <f t="shared" ref="AD96" si="196">AD94/Y94-1</f>
        <v>-0.45360824742268047</v>
      </c>
      <c r="AE96" s="71">
        <f t="shared" ref="AE96" si="197">AE94/Z94-1</f>
        <v>-0.3309352517985612</v>
      </c>
      <c r="AF96" s="23">
        <f t="shared" ref="AF96" si="198">AF94/AA94-1</f>
        <v>2.2950819672131084E-2</v>
      </c>
      <c r="AG96" s="71">
        <f t="shared" ref="AG96" si="199">AG94/AB94-1</f>
        <v>-0.32558139534883723</v>
      </c>
      <c r="AH96" s="71">
        <f t="shared" ref="AH96" si="200">AH94/AC94-1</f>
        <v>-0.62601626016260159</v>
      </c>
      <c r="AI96" s="71">
        <f t="shared" ref="AI96" si="201">AI94/AD94-1</f>
        <v>0.35849056603773577</v>
      </c>
      <c r="AJ96" s="71">
        <f t="shared" ref="AJ96" si="202">AJ94/AE94-1</f>
        <v>-0.10752688172043012</v>
      </c>
      <c r="AK96" s="23">
        <f t="shared" ref="AK96" si="203">AK94/AF94-1</f>
        <v>-0.26282051282051277</v>
      </c>
      <c r="AL96" s="71">
        <f t="shared" ref="AL96" si="204">AL94/AG94-1</f>
        <v>-0.55172413793103448</v>
      </c>
      <c r="AM96" s="71">
        <f t="shared" ref="AM96" si="205">AM94/AH94-1</f>
        <v>0.82608695652173902</v>
      </c>
      <c r="AN96" s="71">
        <f t="shared" ref="AN96" si="206">AN94/AI94-1</f>
        <v>-0.69444444444444442</v>
      </c>
      <c r="AO96" s="71">
        <f t="shared" ref="AO96" si="207">AO94/AJ94-1</f>
        <v>-0.61445783132530118</v>
      </c>
      <c r="AP96" s="23">
        <f t="shared" ref="AP96" si="208">AP94/AK94-1</f>
        <v>-0.34347826086956523</v>
      </c>
      <c r="AQ96" s="71">
        <f t="shared" ref="AQ96" si="209">AQ94/AL94-1</f>
        <v>2.2307692307692308</v>
      </c>
      <c r="AR96" s="71">
        <f t="shared" ref="AR96" si="210">AR94/AM94-1</f>
        <v>-0.33333333333333337</v>
      </c>
      <c r="AS96" s="71">
        <f t="shared" ref="AS96" si="211">AS94/AN94-1</f>
        <v>9.0909090909090828E-2</v>
      </c>
      <c r="AT96" s="71">
        <f t="shared" ref="AT96" si="212">AT94/AO94-1</f>
        <v>-0.5</v>
      </c>
      <c r="AU96" s="23">
        <f t="shared" ref="AU96" si="213">AU94/AP94-1</f>
        <v>-8.6092715231788075E-2</v>
      </c>
      <c r="AV96" s="71">
        <f t="shared" ref="AV96" si="214">AV94/AQ94-1</f>
        <v>-0.76190476190476186</v>
      </c>
      <c r="AW96" s="71">
        <f t="shared" ref="AW96" si="215">AW94/AR94-1</f>
        <v>-0.6785714285714286</v>
      </c>
      <c r="AX96" s="71">
        <f t="shared" ref="AX96" si="216">AX94/AS94-1</f>
        <v>1</v>
      </c>
      <c r="AY96" s="71">
        <f t="shared" ref="AY96" si="217">AY94/AT94-1</f>
        <v>0.375</v>
      </c>
      <c r="AZ96" s="23">
        <v>-0.28985507246376807</v>
      </c>
      <c r="BA96" s="71">
        <v>-0.19999999999999996</v>
      </c>
      <c r="BB96" s="83" t="s">
        <v>39</v>
      </c>
      <c r="BC96" s="71">
        <v>-0.75</v>
      </c>
      <c r="BD96" s="71">
        <v>11.363636363636363</v>
      </c>
      <c r="BE96" s="23">
        <v>1.3979591836734695</v>
      </c>
      <c r="BF96" s="71">
        <v>4.125</v>
      </c>
      <c r="BG96" s="71">
        <v>-6.9824561403508776</v>
      </c>
      <c r="BH96" s="71">
        <v>0.25</v>
      </c>
      <c r="BI96" s="71">
        <v>-0.95588235294117652</v>
      </c>
      <c r="BJ96" s="23">
        <v>0.74042553191489358</v>
      </c>
      <c r="BK96" s="71">
        <v>-0.80487804878048785</v>
      </c>
    </row>
    <row r="97" spans="1:63" ht="13.5" customHeight="1">
      <c r="A97" s="67" t="s">
        <v>190</v>
      </c>
      <c r="B97" s="36">
        <f>B91-B94</f>
        <v>814.45</v>
      </c>
      <c r="C97" s="68">
        <f>C91-C94</f>
        <v>225.60000000000002</v>
      </c>
      <c r="D97" s="68">
        <f>D91-D94</f>
        <v>320.44600000000003</v>
      </c>
      <c r="E97" s="68">
        <f>E91-E94</f>
        <v>525.15</v>
      </c>
      <c r="F97" s="68">
        <f>G97-E97-D97-C97</f>
        <v>313.26300000000003</v>
      </c>
      <c r="G97" s="36">
        <f>G91-147</f>
        <v>1384.4590000000001</v>
      </c>
      <c r="H97" s="68">
        <f>H91-H94</f>
        <v>358.56400000000002</v>
      </c>
      <c r="I97" s="68">
        <f>I91-I94</f>
        <v>370.08800000000002</v>
      </c>
      <c r="J97" s="68">
        <f>J91-J94</f>
        <v>364</v>
      </c>
      <c r="K97" s="68">
        <f>L97-J97-I97-H97</f>
        <v>352.34800000000001</v>
      </c>
      <c r="L97" s="36">
        <f>L91-L94</f>
        <v>1445</v>
      </c>
      <c r="M97" s="68">
        <f>M91-M94</f>
        <v>354</v>
      </c>
      <c r="N97" s="68">
        <f>N91-N94</f>
        <v>370</v>
      </c>
      <c r="O97" s="68">
        <f>O91-O94</f>
        <v>328</v>
      </c>
      <c r="P97" s="68">
        <f>Q97-O97-N97-M97</f>
        <v>437</v>
      </c>
      <c r="Q97" s="36">
        <f>Q91-Q94</f>
        <v>1489</v>
      </c>
      <c r="R97" s="68">
        <f>R91-R94</f>
        <v>313</v>
      </c>
      <c r="S97" s="68">
        <f>S91-S94</f>
        <v>406</v>
      </c>
      <c r="T97" s="68">
        <f>T91-T94</f>
        <v>374</v>
      </c>
      <c r="U97" s="68">
        <f>V97-T97-S97-R97</f>
        <v>544</v>
      </c>
      <c r="V97" s="36">
        <f>V91-266</f>
        <v>1637</v>
      </c>
      <c r="W97" s="68">
        <f>W91-W94</f>
        <v>413</v>
      </c>
      <c r="X97" s="68">
        <f>X91-X94</f>
        <v>360</v>
      </c>
      <c r="Y97" s="68">
        <f>Y91-Y94</f>
        <v>270</v>
      </c>
      <c r="Z97" s="68">
        <f>AA97-Y97-X97-W97</f>
        <v>192</v>
      </c>
      <c r="AA97" s="36">
        <f>AA91-305</f>
        <v>1235</v>
      </c>
      <c r="AB97" s="68">
        <f>AB91-AB94</f>
        <v>246</v>
      </c>
      <c r="AC97" s="68">
        <f>AC91-AC94</f>
        <v>178</v>
      </c>
      <c r="AD97" s="68">
        <f>AD91-AD94</f>
        <v>267</v>
      </c>
      <c r="AE97" s="68">
        <f>AF97-AD97-AC97-AB97</f>
        <v>225</v>
      </c>
      <c r="AF97" s="36">
        <f>AF91-AF94</f>
        <v>916</v>
      </c>
      <c r="AG97" s="68">
        <f>AG91-AG94</f>
        <v>286</v>
      </c>
      <c r="AH97" s="68">
        <f>AH91-AH94</f>
        <v>277</v>
      </c>
      <c r="AI97" s="68">
        <f>AI91-AI94</f>
        <v>250</v>
      </c>
      <c r="AJ97" s="68">
        <f>AK97-AI97-AH97-AG97</f>
        <v>232</v>
      </c>
      <c r="AK97" s="36">
        <f>AK91-AK94</f>
        <v>1045</v>
      </c>
      <c r="AL97" s="68">
        <f>AL91-AL94</f>
        <v>355</v>
      </c>
      <c r="AM97" s="68">
        <f>AM91-AM94</f>
        <v>427</v>
      </c>
      <c r="AN97" s="68">
        <f>AN91-AN94</f>
        <v>405</v>
      </c>
      <c r="AO97" s="68">
        <f>AP97-AN97-AM97-AL97</f>
        <v>297</v>
      </c>
      <c r="AP97" s="36">
        <f>AP91-AP94</f>
        <v>1484</v>
      </c>
      <c r="AQ97" s="68">
        <f>AQ91-AQ94</f>
        <v>303</v>
      </c>
      <c r="AR97" s="68">
        <f>AR91-AR94</f>
        <v>331</v>
      </c>
      <c r="AS97" s="68">
        <f>AS91-AS94</f>
        <v>325</v>
      </c>
      <c r="AT97" s="68">
        <f>AU97-AS97-AR97-AQ97</f>
        <v>319</v>
      </c>
      <c r="AU97" s="36">
        <f>AU91-AU94</f>
        <v>1278</v>
      </c>
      <c r="AV97" s="68">
        <f>AV91-AV94</f>
        <v>370</v>
      </c>
      <c r="AW97" s="68">
        <f>AW91-AW94</f>
        <v>388</v>
      </c>
      <c r="AX97" s="68">
        <f>AX91-AX94</f>
        <v>305</v>
      </c>
      <c r="AY97" s="68">
        <f>AZ97-AX97-AW97-AV97</f>
        <v>369</v>
      </c>
      <c r="AZ97" s="36">
        <v>1432</v>
      </c>
      <c r="BA97" s="68">
        <v>360</v>
      </c>
      <c r="BB97" s="68">
        <v>588</v>
      </c>
      <c r="BC97" s="68">
        <v>400</v>
      </c>
      <c r="BD97" s="68">
        <v>144</v>
      </c>
      <c r="BE97" s="36">
        <v>1492</v>
      </c>
      <c r="BF97" s="68">
        <v>332</v>
      </c>
      <c r="BG97" s="68">
        <v>184</v>
      </c>
      <c r="BH97" s="68">
        <v>314</v>
      </c>
      <c r="BI97" s="68">
        <v>312</v>
      </c>
      <c r="BJ97" s="36">
        <v>1142</v>
      </c>
      <c r="BK97" s="68">
        <v>330</v>
      </c>
    </row>
    <row r="98" spans="1:63" ht="13.5" customHeight="1">
      <c r="A98" s="69" t="s">
        <v>7</v>
      </c>
      <c r="B98" s="23"/>
      <c r="C98" s="70"/>
      <c r="D98" s="70">
        <f>D97/C97-1</f>
        <v>0.42041666666666666</v>
      </c>
      <c r="E98" s="70">
        <f>E97/D97-1</f>
        <v>0.63880965903771592</v>
      </c>
      <c r="F98" s="70">
        <f>F97/E97-1</f>
        <v>-0.40347900599828612</v>
      </c>
      <c r="G98" s="23"/>
      <c r="H98" s="70">
        <f>H97/F97-1</f>
        <v>0.14461011993117601</v>
      </c>
      <c r="I98" s="70">
        <f>I97/H97-1</f>
        <v>3.2139311252663338E-2</v>
      </c>
      <c r="J98" s="70">
        <f>J97/I97-1</f>
        <v>-1.6450141587946665E-2</v>
      </c>
      <c r="K98" s="70">
        <f>K97/J97-1</f>
        <v>-3.2010989010988977E-2</v>
      </c>
      <c r="L98" s="23"/>
      <c r="M98" s="70">
        <f>M97/K97-1</f>
        <v>4.6885465505692725E-3</v>
      </c>
      <c r="N98" s="70">
        <f>N97/M97-1</f>
        <v>4.5197740112994378E-2</v>
      </c>
      <c r="O98" s="70">
        <f>O97/N97-1</f>
        <v>-0.11351351351351346</v>
      </c>
      <c r="P98" s="70">
        <f>P97/O97-1</f>
        <v>0.33231707317073167</v>
      </c>
      <c r="Q98" s="23"/>
      <c r="R98" s="70">
        <f>R97/P97-1</f>
        <v>-0.28375286041189929</v>
      </c>
      <c r="S98" s="70">
        <f>S97/R97-1</f>
        <v>0.29712460063897761</v>
      </c>
      <c r="T98" s="70">
        <f>T97/S97-1</f>
        <v>-7.8817733990147798E-2</v>
      </c>
      <c r="U98" s="70">
        <f>U97/T97-1</f>
        <v>0.45454545454545459</v>
      </c>
      <c r="V98" s="23"/>
      <c r="W98" s="70">
        <f>W97/U97-1</f>
        <v>-0.2408088235294118</v>
      </c>
      <c r="X98" s="70">
        <f>X97/W97-1</f>
        <v>-0.12832929782082325</v>
      </c>
      <c r="Y98" s="70">
        <f>Y97/X97-1</f>
        <v>-0.25</v>
      </c>
      <c r="Z98" s="70">
        <f>Z97/Y97-1</f>
        <v>-0.28888888888888886</v>
      </c>
      <c r="AA98" s="23"/>
      <c r="AB98" s="70">
        <f>AB97/Z97-1</f>
        <v>0.28125</v>
      </c>
      <c r="AC98" s="70">
        <f>AC97/AB97-1</f>
        <v>-0.27642276422764223</v>
      </c>
      <c r="AD98" s="70">
        <f>AD97/AC97-1</f>
        <v>0.5</v>
      </c>
      <c r="AE98" s="70">
        <f>AE97/AD97-1</f>
        <v>-0.15730337078651691</v>
      </c>
      <c r="AF98" s="23"/>
      <c r="AG98" s="70">
        <f>AG97/AE97-1</f>
        <v>0.27111111111111108</v>
      </c>
      <c r="AH98" s="70">
        <f>AH97/AG97-1</f>
        <v>-3.1468531468531458E-2</v>
      </c>
      <c r="AI98" s="70">
        <f>AI97/AH97-1</f>
        <v>-9.7472924187725685E-2</v>
      </c>
      <c r="AJ98" s="70">
        <f>AJ97/AI97-1</f>
        <v>-7.1999999999999953E-2</v>
      </c>
      <c r="AK98" s="23"/>
      <c r="AL98" s="70">
        <f>AL97/AJ97-1</f>
        <v>0.53017241379310343</v>
      </c>
      <c r="AM98" s="70">
        <f>AM97/AL97-1</f>
        <v>0.20281690140845066</v>
      </c>
      <c r="AN98" s="70">
        <f>AN97/AM97-1</f>
        <v>-5.1522248243559665E-2</v>
      </c>
      <c r="AO98" s="70">
        <f>AO97/AN97-1</f>
        <v>-0.26666666666666672</v>
      </c>
      <c r="AP98" s="23"/>
      <c r="AQ98" s="70">
        <f>AQ97/AO97-1</f>
        <v>2.020202020202011E-2</v>
      </c>
      <c r="AR98" s="70">
        <f>AR97/AQ97-1</f>
        <v>9.2409240924092417E-2</v>
      </c>
      <c r="AS98" s="70">
        <f>AS97/AR97-1</f>
        <v>-1.8126888217522619E-2</v>
      </c>
      <c r="AT98" s="70">
        <f>AT97/AS97-1</f>
        <v>-1.8461538461538418E-2</v>
      </c>
      <c r="AU98" s="23"/>
      <c r="AV98" s="70">
        <f>AV97/AT97-1</f>
        <v>0.15987460815047028</v>
      </c>
      <c r="AW98" s="70">
        <f>AW97/AV97-1</f>
        <v>4.8648648648648596E-2</v>
      </c>
      <c r="AX98" s="70">
        <f>AX97/AW97-1</f>
        <v>-0.21391752577319589</v>
      </c>
      <c r="AY98" s="70">
        <f>AY97/AX97-1</f>
        <v>0.20983606557377055</v>
      </c>
      <c r="AZ98" s="23"/>
      <c r="BA98" s="70">
        <v>-2.4390243902439046E-2</v>
      </c>
      <c r="BB98" s="70">
        <v>0.6333333333333333</v>
      </c>
      <c r="BC98" s="70">
        <v>-0.31972789115646261</v>
      </c>
      <c r="BD98" s="70">
        <v>-0.64</v>
      </c>
      <c r="BE98" s="23"/>
      <c r="BF98" s="70">
        <v>1.3055555555555554</v>
      </c>
      <c r="BG98" s="70">
        <v>-0.44578313253012047</v>
      </c>
      <c r="BH98" s="70">
        <v>0.70652173913043481</v>
      </c>
      <c r="BI98" s="70">
        <v>-6.3694267515923553E-3</v>
      </c>
      <c r="BJ98" s="23"/>
      <c r="BK98" s="70">
        <v>5.7692307692307709E-2</v>
      </c>
    </row>
    <row r="99" spans="1:63" ht="13.5" customHeight="1">
      <c r="A99" s="69" t="s">
        <v>8</v>
      </c>
      <c r="B99" s="23"/>
      <c r="C99" s="71"/>
      <c r="D99" s="71"/>
      <c r="E99" s="71"/>
      <c r="F99" s="71"/>
      <c r="G99" s="23">
        <f t="shared" ref="G99:N99" si="218">G97/B97-1</f>
        <v>0.69986985081957154</v>
      </c>
      <c r="H99" s="71">
        <f t="shared" si="218"/>
        <v>0.58937943262411352</v>
      </c>
      <c r="I99" s="71">
        <f t="shared" si="218"/>
        <v>0.15491533674940539</v>
      </c>
      <c r="J99" s="71">
        <f t="shared" si="218"/>
        <v>-0.30686470532228882</v>
      </c>
      <c r="K99" s="71">
        <f t="shared" si="218"/>
        <v>0.1247673679943051</v>
      </c>
      <c r="L99" s="23">
        <f t="shared" si="218"/>
        <v>4.3728994502545637E-2</v>
      </c>
      <c r="M99" s="71">
        <f t="shared" si="218"/>
        <v>-1.2728550551644902E-2</v>
      </c>
      <c r="N99" s="71">
        <f t="shared" si="218"/>
        <v>-2.3778128445128832E-4</v>
      </c>
      <c r="O99" s="71">
        <f t="shared" ref="O99:Y99" si="219">O97/J97-1</f>
        <v>-9.8901098901098883E-2</v>
      </c>
      <c r="P99" s="71">
        <f t="shared" si="219"/>
        <v>0.24025111537457278</v>
      </c>
      <c r="Q99" s="23">
        <f t="shared" si="219"/>
        <v>3.04498269896194E-2</v>
      </c>
      <c r="R99" s="71">
        <f t="shared" si="219"/>
        <v>-0.11581920903954801</v>
      </c>
      <c r="S99" s="71">
        <f t="shared" si="219"/>
        <v>9.7297297297297192E-2</v>
      </c>
      <c r="T99" s="71">
        <f t="shared" si="219"/>
        <v>0.14024390243902429</v>
      </c>
      <c r="U99" s="71">
        <f t="shared" si="219"/>
        <v>0.24485125858123569</v>
      </c>
      <c r="V99" s="23">
        <f t="shared" si="219"/>
        <v>9.9395567494963144E-2</v>
      </c>
      <c r="W99" s="71">
        <f t="shared" si="219"/>
        <v>0.31948881789137373</v>
      </c>
      <c r="X99" s="71">
        <f t="shared" si="219"/>
        <v>-0.11330049261083741</v>
      </c>
      <c r="Y99" s="71">
        <f t="shared" si="219"/>
        <v>-0.27807486631016043</v>
      </c>
      <c r="Z99" s="71">
        <f t="shared" ref="Z99:AI99" si="220">Z97/U97-1</f>
        <v>-0.64705882352941169</v>
      </c>
      <c r="AA99" s="23">
        <f t="shared" si="220"/>
        <v>-0.2455711667684789</v>
      </c>
      <c r="AB99" s="71">
        <f t="shared" si="220"/>
        <v>-0.40435835351089588</v>
      </c>
      <c r="AC99" s="71">
        <f t="shared" si="220"/>
        <v>-0.50555555555555554</v>
      </c>
      <c r="AD99" s="71">
        <f t="shared" si="220"/>
        <v>-1.1111111111111072E-2</v>
      </c>
      <c r="AE99" s="71">
        <f t="shared" si="220"/>
        <v>0.171875</v>
      </c>
      <c r="AF99" s="23">
        <f t="shared" si="220"/>
        <v>-0.25829959514170042</v>
      </c>
      <c r="AG99" s="71">
        <f t="shared" si="220"/>
        <v>0.16260162601626016</v>
      </c>
      <c r="AH99" s="71">
        <f t="shared" si="220"/>
        <v>0.55617977528089879</v>
      </c>
      <c r="AI99" s="71">
        <f t="shared" si="220"/>
        <v>-6.3670411985018771E-2</v>
      </c>
      <c r="AJ99" s="71">
        <f t="shared" ref="AJ99:AS99" si="221">AJ97/AE97-1</f>
        <v>3.1111111111111089E-2</v>
      </c>
      <c r="AK99" s="23">
        <f t="shared" si="221"/>
        <v>0.14082969432314418</v>
      </c>
      <c r="AL99" s="71">
        <f t="shared" si="221"/>
        <v>0.24125874125874125</v>
      </c>
      <c r="AM99" s="71">
        <f t="shared" si="221"/>
        <v>0.54151624548736454</v>
      </c>
      <c r="AN99" s="71">
        <f t="shared" si="221"/>
        <v>0.62000000000000011</v>
      </c>
      <c r="AO99" s="71">
        <f t="shared" si="221"/>
        <v>0.28017241379310343</v>
      </c>
      <c r="AP99" s="23">
        <f t="shared" si="221"/>
        <v>0.4200956937799043</v>
      </c>
      <c r="AQ99" s="71">
        <f t="shared" si="221"/>
        <v>-0.14647887323943665</v>
      </c>
      <c r="AR99" s="71">
        <f t="shared" si="221"/>
        <v>-0.22482435597189698</v>
      </c>
      <c r="AS99" s="71">
        <f t="shared" si="221"/>
        <v>-0.19753086419753085</v>
      </c>
      <c r="AT99" s="71">
        <f t="shared" ref="AT99" si="222">AT97/AO97-1</f>
        <v>7.4074074074074181E-2</v>
      </c>
      <c r="AU99" s="23">
        <f t="shared" ref="AU99:AX99" si="223">AU97/AP97-1</f>
        <v>-0.13881401617250677</v>
      </c>
      <c r="AV99" s="71">
        <f t="shared" si="223"/>
        <v>0.22112211221122102</v>
      </c>
      <c r="AW99" s="71">
        <f t="shared" si="223"/>
        <v>0.17220543806646527</v>
      </c>
      <c r="AX99" s="71">
        <f t="shared" si="223"/>
        <v>-6.1538461538461542E-2</v>
      </c>
      <c r="AY99" s="71">
        <f t="shared" ref="AY99" si="224">AY97/AT97-1</f>
        <v>0.15673981191222564</v>
      </c>
      <c r="AZ99" s="23">
        <v>0.12050078247261342</v>
      </c>
      <c r="BA99" s="71">
        <v>-2.7027027027026973E-2</v>
      </c>
      <c r="BB99" s="71">
        <v>0.51546391752577314</v>
      </c>
      <c r="BC99" s="71">
        <v>0.31147540983606548</v>
      </c>
      <c r="BD99" s="71">
        <v>-0.6097560975609756</v>
      </c>
      <c r="BE99" s="23">
        <v>4.1899441340782051E-2</v>
      </c>
      <c r="BF99" s="71">
        <v>-7.7777777777777724E-2</v>
      </c>
      <c r="BG99" s="71">
        <v>-0.68707482993197277</v>
      </c>
      <c r="BH99" s="71">
        <v>-0.21499999999999997</v>
      </c>
      <c r="BI99" s="71">
        <v>1.1666666666666665</v>
      </c>
      <c r="BJ99" s="23">
        <v>-0.23458445040214482</v>
      </c>
      <c r="BK99" s="71">
        <v>-6.0240963855421326E-3</v>
      </c>
    </row>
    <row r="100" spans="1:63" ht="13.5" customHeight="1">
      <c r="A100" s="67" t="s">
        <v>241</v>
      </c>
      <c r="B100" s="23"/>
      <c r="C100" s="71"/>
      <c r="D100" s="71"/>
      <c r="E100" s="71"/>
      <c r="F100" s="71"/>
      <c r="G100" s="23"/>
      <c r="H100" s="71"/>
      <c r="I100" s="71"/>
      <c r="J100" s="71"/>
      <c r="K100" s="71"/>
      <c r="L100" s="23"/>
      <c r="M100" s="71"/>
      <c r="N100" s="71"/>
      <c r="O100" s="71"/>
      <c r="P100" s="71"/>
      <c r="Q100" s="23"/>
      <c r="R100" s="71"/>
      <c r="S100" s="71"/>
      <c r="T100" s="71"/>
      <c r="U100" s="71"/>
      <c r="V100" s="23"/>
      <c r="W100" s="71"/>
      <c r="X100" s="71"/>
      <c r="Y100" s="71"/>
      <c r="Z100" s="71"/>
      <c r="AA100" s="23"/>
      <c r="AB100" s="71"/>
      <c r="AC100" s="71"/>
      <c r="AD100" s="71"/>
      <c r="AE100" s="71"/>
      <c r="AF100" s="23"/>
      <c r="AG100" s="71"/>
      <c r="AH100" s="71"/>
      <c r="AI100" s="71"/>
      <c r="AJ100" s="71"/>
      <c r="AK100" s="23"/>
      <c r="AL100" s="71"/>
      <c r="AM100" s="71"/>
      <c r="AN100" s="71"/>
      <c r="AO100" s="71"/>
      <c r="AP100" s="23"/>
      <c r="AQ100" s="71"/>
      <c r="AR100" s="71"/>
      <c r="AS100" s="71"/>
      <c r="AT100" s="71"/>
      <c r="AU100" s="23"/>
      <c r="AV100" s="71"/>
      <c r="AW100" s="71"/>
      <c r="AX100" s="71"/>
      <c r="AY100" s="71"/>
      <c r="AZ100" s="23"/>
      <c r="BA100" s="68">
        <v>126</v>
      </c>
      <c r="BB100" s="68">
        <v>96</v>
      </c>
      <c r="BC100" s="68">
        <v>109</v>
      </c>
      <c r="BD100" s="68">
        <v>91</v>
      </c>
      <c r="BE100" s="36">
        <v>422</v>
      </c>
      <c r="BF100" s="68">
        <v>117</v>
      </c>
      <c r="BG100" s="68">
        <v>90</v>
      </c>
      <c r="BH100" s="68">
        <v>115</v>
      </c>
      <c r="BI100" s="68">
        <v>92</v>
      </c>
      <c r="BJ100" s="36">
        <v>414</v>
      </c>
      <c r="BK100" s="143">
        <v>113</v>
      </c>
    </row>
    <row r="101" spans="1:63" ht="19.149999999999999" customHeight="1">
      <c r="A101" s="67" t="s">
        <v>50</v>
      </c>
      <c r="B101" s="36">
        <f>B85-B97</f>
        <v>1882.675</v>
      </c>
      <c r="C101" s="75">
        <f>C85-C97</f>
        <v>308.29999999999995</v>
      </c>
      <c r="D101" s="75">
        <f>D85-D97</f>
        <v>406.18399999999997</v>
      </c>
      <c r="E101" s="75">
        <f>E85-E97</f>
        <v>589.61700000000008</v>
      </c>
      <c r="F101" s="68">
        <f>G101-E101-D101-C101</f>
        <v>379.41300000000001</v>
      </c>
      <c r="G101" s="36">
        <f>G85-G97</f>
        <v>1683.5139999999999</v>
      </c>
      <c r="H101" s="75">
        <f>H85-H97</f>
        <v>775.75099999999998</v>
      </c>
      <c r="I101" s="75">
        <f>I85-I97</f>
        <v>344.536</v>
      </c>
      <c r="J101" s="75">
        <f>J85-J97</f>
        <v>657</v>
      </c>
      <c r="K101" s="68">
        <f>L101-J101-I101-H101</f>
        <v>432.71299999999997</v>
      </c>
      <c r="L101" s="36">
        <f>L85-L97</f>
        <v>2210</v>
      </c>
      <c r="M101" s="75">
        <f>M85-M97</f>
        <v>452</v>
      </c>
      <c r="N101" s="75">
        <f>N85-N97</f>
        <v>606</v>
      </c>
      <c r="O101" s="75">
        <f>O85-O97</f>
        <v>838</v>
      </c>
      <c r="P101" s="68">
        <f>Q101-O101-N101-M101</f>
        <v>311</v>
      </c>
      <c r="Q101" s="36">
        <f>Q85-Q97</f>
        <v>2207</v>
      </c>
      <c r="R101" s="75">
        <f>R85-R97</f>
        <v>462</v>
      </c>
      <c r="S101" s="75">
        <f>S85-S97</f>
        <v>264</v>
      </c>
      <c r="T101" s="75">
        <f>T85-T97</f>
        <v>508</v>
      </c>
      <c r="U101" s="68">
        <f>V101-T101-S101-R101</f>
        <v>315</v>
      </c>
      <c r="V101" s="36">
        <f>V85-V97</f>
        <v>1549</v>
      </c>
      <c r="W101" s="75">
        <f>W85-W97</f>
        <v>585</v>
      </c>
      <c r="X101" s="75">
        <f>X85-X97</f>
        <v>630</v>
      </c>
      <c r="Y101" s="75">
        <f>Y85-Y97</f>
        <v>754</v>
      </c>
      <c r="Z101" s="68">
        <f>AA101-Y101-X101-W101</f>
        <v>810</v>
      </c>
      <c r="AA101" s="36">
        <f>AA85-AA97</f>
        <v>2779</v>
      </c>
      <c r="AB101" s="75">
        <f>AB85-AB97</f>
        <v>726</v>
      </c>
      <c r="AC101" s="75">
        <f>AC85-AC97</f>
        <v>924</v>
      </c>
      <c r="AD101" s="75">
        <f>AD85-AD97</f>
        <v>876</v>
      </c>
      <c r="AE101" s="68">
        <f>AF101-AD101-AC101-AB101</f>
        <v>710</v>
      </c>
      <c r="AF101" s="36">
        <f>AF85-AF97</f>
        <v>3236</v>
      </c>
      <c r="AG101" s="75">
        <f>AG85-AG97</f>
        <v>757</v>
      </c>
      <c r="AH101" s="75">
        <f>AH85-AH97</f>
        <v>787</v>
      </c>
      <c r="AI101" s="75">
        <f>AI85-AI97</f>
        <v>700</v>
      </c>
      <c r="AJ101" s="68">
        <f>AK101-AI101-AH101-AG101</f>
        <v>507</v>
      </c>
      <c r="AK101" s="36">
        <f>AK85-AK97</f>
        <v>2751</v>
      </c>
      <c r="AL101" s="75">
        <f>AL85-AL97</f>
        <v>606</v>
      </c>
      <c r="AM101" s="75">
        <f>AM85-AM97</f>
        <v>413</v>
      </c>
      <c r="AN101" s="75">
        <f>AN85-AN97</f>
        <v>645</v>
      </c>
      <c r="AO101" s="68">
        <f>AP101-AN101-AM101-AL101</f>
        <v>592</v>
      </c>
      <c r="AP101" s="36">
        <f>AP85-AP97</f>
        <v>2256</v>
      </c>
      <c r="AQ101" s="75">
        <f>AQ85-AQ97</f>
        <v>619</v>
      </c>
      <c r="AR101" s="75">
        <f>AR85-AR97</f>
        <v>539</v>
      </c>
      <c r="AS101" s="75">
        <f>AS85-AS97</f>
        <v>577</v>
      </c>
      <c r="AT101" s="68">
        <f>AU101-AS101-AR101-AQ101</f>
        <v>513</v>
      </c>
      <c r="AU101" s="36">
        <f>AU85-AU97</f>
        <v>2248</v>
      </c>
      <c r="AV101" s="75">
        <f>AV85-AV97</f>
        <v>456</v>
      </c>
      <c r="AW101" s="75">
        <f>AW85-AW97</f>
        <v>487</v>
      </c>
      <c r="AX101" s="75">
        <f>AX85-AX97</f>
        <v>677</v>
      </c>
      <c r="AY101" s="68">
        <f>AZ101-AX101-AW101-AV101</f>
        <v>473</v>
      </c>
      <c r="AZ101" s="36">
        <v>2093</v>
      </c>
      <c r="BA101" s="75">
        <v>423</v>
      </c>
      <c r="BB101" s="75">
        <v>122</v>
      </c>
      <c r="BC101" s="75">
        <v>374</v>
      </c>
      <c r="BD101" s="68">
        <v>679</v>
      </c>
      <c r="BE101" s="36">
        <v>1598</v>
      </c>
      <c r="BF101" s="75">
        <v>316</v>
      </c>
      <c r="BG101" s="75">
        <v>350</v>
      </c>
      <c r="BH101" s="75">
        <v>358</v>
      </c>
      <c r="BI101" s="68">
        <v>344</v>
      </c>
      <c r="BJ101" s="36">
        <v>1368</v>
      </c>
      <c r="BK101" s="75">
        <v>436</v>
      </c>
    </row>
    <row r="102" spans="1:63" ht="13.5" customHeight="1">
      <c r="A102" s="69" t="s">
        <v>7</v>
      </c>
      <c r="B102" s="23"/>
      <c r="C102" s="70"/>
      <c r="D102" s="70">
        <f>D101/C101-1</f>
        <v>0.3174959455076225</v>
      </c>
      <c r="E102" s="70">
        <f>E101/D101-1</f>
        <v>0.45160075236838515</v>
      </c>
      <c r="F102" s="70">
        <f>F101/E101-1</f>
        <v>-0.35650939508189217</v>
      </c>
      <c r="G102" s="23"/>
      <c r="H102" s="70">
        <f>H101/F101-1</f>
        <v>1.0446083818951908</v>
      </c>
      <c r="I102" s="70">
        <f>I101/H101-1</f>
        <v>-0.55586779778562967</v>
      </c>
      <c r="J102" s="70">
        <f>J101/I101-1</f>
        <v>0.90691248519748302</v>
      </c>
      <c r="K102" s="70">
        <f>K101/J101-1</f>
        <v>-0.34138051750380527</v>
      </c>
      <c r="L102" s="23"/>
      <c r="M102" s="70">
        <f>M101/K101-1</f>
        <v>4.4572268455073116E-2</v>
      </c>
      <c r="N102" s="70">
        <f>N101/M101-1</f>
        <v>0.34070796460176989</v>
      </c>
      <c r="O102" s="70">
        <f>O101/N101-1</f>
        <v>0.38283828382838281</v>
      </c>
      <c r="P102" s="70">
        <f>P101/O101-1</f>
        <v>-0.62887828162291171</v>
      </c>
      <c r="Q102" s="23"/>
      <c r="R102" s="70">
        <f>R101/P101-1</f>
        <v>0.48553054662379425</v>
      </c>
      <c r="S102" s="70">
        <f>S101/R101-1</f>
        <v>-0.4285714285714286</v>
      </c>
      <c r="T102" s="70">
        <f>T101/S101-1</f>
        <v>0.92424242424242431</v>
      </c>
      <c r="U102" s="70">
        <f>U101/T101-1</f>
        <v>-0.37992125984251968</v>
      </c>
      <c r="V102" s="23"/>
      <c r="W102" s="70">
        <f>W101/U101-1</f>
        <v>0.85714285714285721</v>
      </c>
      <c r="X102" s="70">
        <f>X101/W101-1</f>
        <v>7.6923076923076872E-2</v>
      </c>
      <c r="Y102" s="70">
        <f>Y101/X101-1</f>
        <v>0.19682539682539679</v>
      </c>
      <c r="Z102" s="70">
        <f>Z101/Y101-1</f>
        <v>7.4270557029177731E-2</v>
      </c>
      <c r="AA102" s="23"/>
      <c r="AB102" s="70">
        <f>AB101/Z101-1</f>
        <v>-0.10370370370370374</v>
      </c>
      <c r="AC102" s="70">
        <f>AC101/AB101-1</f>
        <v>0.27272727272727271</v>
      </c>
      <c r="AD102" s="70">
        <f>AD101/AC101-1</f>
        <v>-5.1948051948051965E-2</v>
      </c>
      <c r="AE102" s="70">
        <f>AE101/AD101-1</f>
        <v>-0.18949771689497719</v>
      </c>
      <c r="AF102" s="23"/>
      <c r="AG102" s="70">
        <f>AG101/AE101-1</f>
        <v>6.6197183098591461E-2</v>
      </c>
      <c r="AH102" s="70">
        <f>AH101/AG101-1</f>
        <v>3.9630118890356725E-2</v>
      </c>
      <c r="AI102" s="70">
        <f>AI101/AH101-1</f>
        <v>-0.11054637865311312</v>
      </c>
      <c r="AJ102" s="70">
        <f>AJ101/AI101-1</f>
        <v>-0.27571428571428569</v>
      </c>
      <c r="AK102" s="23"/>
      <c r="AL102" s="70">
        <f>AL101/AJ101-1</f>
        <v>0.19526627218934922</v>
      </c>
      <c r="AM102" s="70">
        <f>AM101/AL101-1</f>
        <v>-0.31848184818481851</v>
      </c>
      <c r="AN102" s="70">
        <f>AN101/AM101-1</f>
        <v>0.56174334140435844</v>
      </c>
      <c r="AO102" s="70">
        <f>AO101/AN101-1</f>
        <v>-8.2170542635658927E-2</v>
      </c>
      <c r="AP102" s="23"/>
      <c r="AQ102" s="70">
        <f>AQ101/AO101-1</f>
        <v>4.5608108108108114E-2</v>
      </c>
      <c r="AR102" s="70">
        <f>AR101/AQ101-1</f>
        <v>-0.12924071082390953</v>
      </c>
      <c r="AS102" s="70">
        <f>AS101/AR101-1</f>
        <v>7.0500927643784683E-2</v>
      </c>
      <c r="AT102" s="70">
        <f>AT101/AS101-1</f>
        <v>-0.1109185441941074</v>
      </c>
      <c r="AU102" s="23"/>
      <c r="AV102" s="70">
        <f>AV101/AT101-1</f>
        <v>-0.11111111111111116</v>
      </c>
      <c r="AW102" s="70">
        <f>AW101/AV101-1</f>
        <v>6.7982456140350811E-2</v>
      </c>
      <c r="AX102" s="70">
        <f>AX101/AW101-1</f>
        <v>0.39014373716632433</v>
      </c>
      <c r="AY102" s="70">
        <f>AY101/AX101-1</f>
        <v>-0.30132939438700146</v>
      </c>
      <c r="AZ102" s="23"/>
      <c r="BA102" s="70">
        <v>-0.10570824524312894</v>
      </c>
      <c r="BB102" s="70">
        <v>-0.71158392434988182</v>
      </c>
      <c r="BC102" s="70">
        <v>2.0655737704918034</v>
      </c>
      <c r="BD102" s="70">
        <v>0.81550802139037426</v>
      </c>
      <c r="BE102" s="23"/>
      <c r="BF102" s="70">
        <v>-0.53460972017673047</v>
      </c>
      <c r="BG102" s="70">
        <v>0.10759493670886067</v>
      </c>
      <c r="BH102" s="70">
        <v>2.2857142857142909E-2</v>
      </c>
      <c r="BI102" s="70">
        <v>-3.9106145251396662E-2</v>
      </c>
      <c r="BJ102" s="23"/>
      <c r="BK102" s="70">
        <v>0.26744186046511631</v>
      </c>
    </row>
    <row r="103" spans="1:63" ht="13.5" customHeight="1">
      <c r="A103" s="69" t="s">
        <v>8</v>
      </c>
      <c r="B103" s="23"/>
      <c r="C103" s="71"/>
      <c r="D103" s="71"/>
      <c r="E103" s="71"/>
      <c r="F103" s="71"/>
      <c r="G103" s="23">
        <f t="shared" ref="G103:N103" si="225">G101/B101-1</f>
        <v>-0.10578618189544131</v>
      </c>
      <c r="H103" s="71">
        <f t="shared" si="225"/>
        <v>1.5162212131041195</v>
      </c>
      <c r="I103" s="71">
        <f t="shared" si="225"/>
        <v>-0.15177358044630018</v>
      </c>
      <c r="J103" s="71">
        <f t="shared" si="225"/>
        <v>0.11428266145650468</v>
      </c>
      <c r="K103" s="71">
        <f t="shared" si="225"/>
        <v>0.14048016277776454</v>
      </c>
      <c r="L103" s="23">
        <f t="shared" si="225"/>
        <v>0.31273039606442254</v>
      </c>
      <c r="M103" s="71">
        <f t="shared" si="225"/>
        <v>-0.41733881103601544</v>
      </c>
      <c r="N103" s="71">
        <f t="shared" si="225"/>
        <v>0.75888731511366014</v>
      </c>
      <c r="O103" s="71">
        <f t="shared" ref="O103:Y103" si="226">O101/J101-1</f>
        <v>0.27549467275494677</v>
      </c>
      <c r="P103" s="71">
        <f t="shared" si="226"/>
        <v>-0.2812788152886555</v>
      </c>
      <c r="Q103" s="23">
        <f t="shared" si="226"/>
        <v>-1.3574660633484115E-3</v>
      </c>
      <c r="R103" s="71">
        <f t="shared" si="226"/>
        <v>2.2123893805309658E-2</v>
      </c>
      <c r="S103" s="71">
        <f t="shared" si="226"/>
        <v>-0.56435643564356441</v>
      </c>
      <c r="T103" s="71">
        <f t="shared" si="226"/>
        <v>-0.39379474940334125</v>
      </c>
      <c r="U103" s="71">
        <f t="shared" si="226"/>
        <v>1.2861736334405238E-2</v>
      </c>
      <c r="V103" s="23">
        <f t="shared" si="226"/>
        <v>-0.29814227458087905</v>
      </c>
      <c r="W103" s="71">
        <f t="shared" si="226"/>
        <v>0.26623376623376616</v>
      </c>
      <c r="X103" s="71">
        <f t="shared" si="226"/>
        <v>1.3863636363636362</v>
      </c>
      <c r="Y103" s="71">
        <f t="shared" si="226"/>
        <v>0.48425196850393704</v>
      </c>
      <c r="Z103" s="71">
        <f t="shared" ref="Z103:AI103" si="227">Z101/U101-1</f>
        <v>1.5714285714285716</v>
      </c>
      <c r="AA103" s="23">
        <f t="shared" si="227"/>
        <v>0.79406068431245957</v>
      </c>
      <c r="AB103" s="71">
        <f t="shared" si="227"/>
        <v>0.24102564102564106</v>
      </c>
      <c r="AC103" s="71">
        <f t="shared" si="227"/>
        <v>0.46666666666666656</v>
      </c>
      <c r="AD103" s="71">
        <f t="shared" si="227"/>
        <v>0.16180371352785139</v>
      </c>
      <c r="AE103" s="71">
        <f t="shared" si="227"/>
        <v>-0.12345679012345678</v>
      </c>
      <c r="AF103" s="23">
        <f t="shared" si="227"/>
        <v>0.16444764303706361</v>
      </c>
      <c r="AG103" s="71">
        <f t="shared" si="227"/>
        <v>4.2699724517906379E-2</v>
      </c>
      <c r="AH103" s="71">
        <f t="shared" si="227"/>
        <v>-0.14826839826839822</v>
      </c>
      <c r="AI103" s="71">
        <f t="shared" si="227"/>
        <v>-0.20091324200913241</v>
      </c>
      <c r="AJ103" s="71">
        <f t="shared" ref="AJ103:AS103" si="228">AJ101/AE101-1</f>
        <v>-0.28591549295774643</v>
      </c>
      <c r="AK103" s="23">
        <f t="shared" si="228"/>
        <v>-0.14987639060568603</v>
      </c>
      <c r="AL103" s="71">
        <f t="shared" si="228"/>
        <v>-0.19947159841479523</v>
      </c>
      <c r="AM103" s="71">
        <f t="shared" si="228"/>
        <v>-0.47522236340533675</v>
      </c>
      <c r="AN103" s="71">
        <f t="shared" si="228"/>
        <v>-7.8571428571428625E-2</v>
      </c>
      <c r="AO103" s="71">
        <f t="shared" si="228"/>
        <v>0.16765285996055224</v>
      </c>
      <c r="AP103" s="23">
        <f t="shared" si="228"/>
        <v>-0.17993456924754636</v>
      </c>
      <c r="AQ103" s="71">
        <f t="shared" si="228"/>
        <v>2.1452145214521545E-2</v>
      </c>
      <c r="AR103" s="71">
        <f t="shared" si="228"/>
        <v>0.30508474576271194</v>
      </c>
      <c r="AS103" s="71">
        <f t="shared" si="228"/>
        <v>-0.10542635658914734</v>
      </c>
      <c r="AT103" s="71">
        <f t="shared" ref="AT103" si="229">AT101/AO101-1</f>
        <v>-0.13344594594594594</v>
      </c>
      <c r="AU103" s="23">
        <f t="shared" ref="AU103:AX103" si="230">AU101/AP101-1</f>
        <v>-3.5460992907800915E-3</v>
      </c>
      <c r="AV103" s="71">
        <f t="shared" si="230"/>
        <v>-0.26332794830371564</v>
      </c>
      <c r="AW103" s="71">
        <f t="shared" si="230"/>
        <v>-9.6474953617810777E-2</v>
      </c>
      <c r="AX103" s="71">
        <f t="shared" si="230"/>
        <v>0.17331022530329299</v>
      </c>
      <c r="AY103" s="71">
        <f t="shared" ref="AY103" si="231">AY101/AT101-1</f>
        <v>-7.7972709551656916E-2</v>
      </c>
      <c r="AZ103" s="23">
        <v>-6.8950177935943047E-2</v>
      </c>
      <c r="BA103" s="71">
        <v>-7.2368421052631526E-2</v>
      </c>
      <c r="BB103" s="71">
        <v>-0.74948665297741268</v>
      </c>
      <c r="BC103" s="71">
        <v>-0.44756277695716395</v>
      </c>
      <c r="BD103" s="71">
        <v>0.43551797040169138</v>
      </c>
      <c r="BE103" s="23">
        <v>-0.23650262780697562</v>
      </c>
      <c r="BF103" s="71">
        <v>-0.25295508274231682</v>
      </c>
      <c r="BG103" s="71">
        <v>1.8688524590163933</v>
      </c>
      <c r="BH103" s="71">
        <v>-4.2780748663101553E-2</v>
      </c>
      <c r="BI103" s="71">
        <v>-0.49337260677466865</v>
      </c>
      <c r="BJ103" s="23">
        <v>-0.14392991239048814</v>
      </c>
      <c r="BK103" s="71">
        <v>0.379746835443038</v>
      </c>
    </row>
    <row r="104" spans="1:63" ht="13.5" customHeight="1">
      <c r="A104" s="39" t="s">
        <v>225</v>
      </c>
      <c r="B104" s="40"/>
      <c r="C104" s="48"/>
      <c r="D104" s="48"/>
      <c r="E104" s="48"/>
      <c r="F104" s="48"/>
      <c r="G104" s="40"/>
      <c r="H104" s="48"/>
      <c r="I104" s="48"/>
      <c r="J104" s="48"/>
      <c r="K104" s="48"/>
      <c r="L104" s="40"/>
      <c r="M104" s="48"/>
      <c r="N104" s="48"/>
      <c r="O104" s="48"/>
      <c r="P104" s="48"/>
      <c r="Q104" s="40"/>
      <c r="R104" s="48"/>
      <c r="S104" s="48"/>
      <c r="T104" s="48"/>
      <c r="U104" s="48"/>
      <c r="V104" s="40"/>
      <c r="W104" s="48"/>
      <c r="X104" s="48"/>
      <c r="Y104" s="48"/>
      <c r="Z104" s="48"/>
      <c r="AA104" s="40"/>
      <c r="AB104" s="48"/>
      <c r="AC104" s="48"/>
      <c r="AD104" s="48"/>
      <c r="AE104" s="48"/>
      <c r="AF104" s="40"/>
      <c r="AG104" s="48"/>
      <c r="AH104" s="48"/>
      <c r="AI104" s="48"/>
      <c r="AJ104" s="48"/>
      <c r="AK104" s="40"/>
      <c r="AL104" s="48"/>
      <c r="AM104" s="48"/>
      <c r="AN104" s="48"/>
      <c r="AO104" s="48"/>
      <c r="AP104" s="40"/>
      <c r="AQ104" s="48"/>
      <c r="AR104" s="48"/>
      <c r="AS104" s="48"/>
      <c r="AT104" s="48"/>
      <c r="AU104" s="40"/>
      <c r="AV104" s="48"/>
      <c r="AW104" s="48"/>
      <c r="AX104" s="48"/>
      <c r="AY104" s="48"/>
      <c r="AZ104" s="40"/>
      <c r="BA104" s="48"/>
      <c r="BB104" s="48"/>
      <c r="BC104" s="48"/>
      <c r="BD104" s="48"/>
      <c r="BE104" s="40"/>
      <c r="BF104" s="48"/>
      <c r="BG104" s="48"/>
      <c r="BH104" s="48"/>
      <c r="BI104" s="48"/>
      <c r="BJ104" s="40"/>
      <c r="BK104" s="48"/>
    </row>
    <row r="105" spans="1:63" ht="13.5" customHeight="1">
      <c r="A105" s="67" t="s">
        <v>162</v>
      </c>
      <c r="B105" s="119" t="s">
        <v>40</v>
      </c>
      <c r="C105" s="78" t="s">
        <v>48</v>
      </c>
      <c r="D105" s="78" t="s">
        <v>48</v>
      </c>
      <c r="E105" s="78" t="s">
        <v>48</v>
      </c>
      <c r="F105" s="78" t="s">
        <v>48</v>
      </c>
      <c r="G105" s="119" t="s">
        <v>40</v>
      </c>
      <c r="H105" s="78" t="s">
        <v>48</v>
      </c>
      <c r="I105" s="78" t="s">
        <v>48</v>
      </c>
      <c r="J105" s="78" t="s">
        <v>48</v>
      </c>
      <c r="K105" s="78" t="s">
        <v>48</v>
      </c>
      <c r="L105" s="119" t="s">
        <v>40</v>
      </c>
      <c r="M105" s="78" t="s">
        <v>48</v>
      </c>
      <c r="N105" s="78" t="s">
        <v>48</v>
      </c>
      <c r="O105" s="78" t="s">
        <v>48</v>
      </c>
      <c r="P105" s="78" t="s">
        <v>48</v>
      </c>
      <c r="Q105" s="167">
        <v>-300</v>
      </c>
      <c r="R105" s="78" t="s">
        <v>48</v>
      </c>
      <c r="S105" s="78" t="s">
        <v>48</v>
      </c>
      <c r="T105" s="78" t="s">
        <v>48</v>
      </c>
      <c r="U105" s="78" t="s">
        <v>48</v>
      </c>
      <c r="V105" s="167">
        <v>-756</v>
      </c>
      <c r="W105" s="78" t="s">
        <v>48</v>
      </c>
      <c r="X105" s="78" t="s">
        <v>48</v>
      </c>
      <c r="Y105" s="78" t="s">
        <v>48</v>
      </c>
      <c r="Z105" s="78" t="s">
        <v>48</v>
      </c>
      <c r="AA105" s="167">
        <v>505</v>
      </c>
      <c r="AB105" s="78" t="s">
        <v>48</v>
      </c>
      <c r="AC105" s="78" t="s">
        <v>48</v>
      </c>
      <c r="AD105" s="78" t="s">
        <v>48</v>
      </c>
      <c r="AE105" s="78" t="s">
        <v>48</v>
      </c>
      <c r="AF105" s="167">
        <v>646</v>
      </c>
      <c r="AG105" s="78" t="s">
        <v>48</v>
      </c>
      <c r="AH105" s="78" t="s">
        <v>48</v>
      </c>
      <c r="AI105" s="78" t="s">
        <v>48</v>
      </c>
      <c r="AJ105" s="78" t="s">
        <v>48</v>
      </c>
      <c r="AK105" s="167">
        <v>549</v>
      </c>
      <c r="AL105" s="148">
        <v>84</v>
      </c>
      <c r="AM105" s="148">
        <v>61</v>
      </c>
      <c r="AN105" s="148">
        <v>51</v>
      </c>
      <c r="AO105" s="148">
        <f>AP105-AN105-AM105-AL105</f>
        <v>126</v>
      </c>
      <c r="AP105" s="167">
        <v>322</v>
      </c>
      <c r="AQ105" s="148">
        <v>-12</v>
      </c>
      <c r="AR105" s="148">
        <v>75</v>
      </c>
      <c r="AS105" s="148">
        <v>53</v>
      </c>
      <c r="AT105" s="148">
        <f>AU105-AS105-AR105-AQ105</f>
        <v>-10</v>
      </c>
      <c r="AU105" s="167">
        <v>106</v>
      </c>
      <c r="AV105" s="148">
        <v>-7</v>
      </c>
      <c r="AW105" s="148">
        <v>23</v>
      </c>
      <c r="AX105" s="148">
        <v>105</v>
      </c>
      <c r="AY105" s="148">
        <f>AZ105-AX105-AW105-AV105</f>
        <v>72</v>
      </c>
      <c r="AZ105" s="167">
        <v>193</v>
      </c>
      <c r="BA105" s="148">
        <v>74</v>
      </c>
      <c r="BB105" s="148">
        <v>60</v>
      </c>
      <c r="BC105" s="148">
        <v>66</v>
      </c>
      <c r="BD105" s="148">
        <v>41</v>
      </c>
      <c r="BE105" s="167">
        <v>241</v>
      </c>
      <c r="BF105" s="148">
        <v>-28</v>
      </c>
      <c r="BG105" s="148">
        <v>46</v>
      </c>
      <c r="BH105" s="148">
        <v>8</v>
      </c>
      <c r="BI105" s="148">
        <v>65</v>
      </c>
      <c r="BJ105" s="167">
        <v>91</v>
      </c>
      <c r="BK105" s="148">
        <v>-31</v>
      </c>
    </row>
    <row r="106" spans="1:63" ht="13.5" customHeight="1">
      <c r="B106" s="63"/>
      <c r="C106" s="78"/>
      <c r="D106" s="78"/>
      <c r="E106" s="78"/>
      <c r="F106" s="78"/>
      <c r="G106" s="63"/>
      <c r="H106" s="78"/>
      <c r="I106" s="78"/>
      <c r="J106" s="78"/>
      <c r="K106" s="78"/>
      <c r="L106" s="63"/>
      <c r="M106" s="78"/>
      <c r="N106" s="78"/>
      <c r="O106" s="78"/>
      <c r="P106" s="78"/>
      <c r="Q106" s="63"/>
      <c r="R106" s="78"/>
      <c r="S106" s="78"/>
      <c r="T106" s="78"/>
      <c r="U106" s="78"/>
      <c r="V106" s="63"/>
      <c r="W106" s="78"/>
      <c r="X106" s="78"/>
      <c r="Y106" s="78"/>
      <c r="Z106" s="78"/>
      <c r="AA106" s="63"/>
      <c r="AB106" s="78"/>
      <c r="AC106" s="78"/>
      <c r="AD106" s="78"/>
      <c r="AE106" s="78"/>
      <c r="AF106" s="63"/>
      <c r="AG106" s="78"/>
      <c r="AH106" s="78"/>
      <c r="AI106" s="78"/>
      <c r="AJ106" s="78"/>
      <c r="AK106" s="63"/>
      <c r="AL106" s="68"/>
      <c r="AM106" s="68"/>
      <c r="AN106" s="68"/>
      <c r="AO106" s="68"/>
      <c r="AP106" s="63"/>
      <c r="AQ106" s="68"/>
      <c r="AR106" s="68"/>
      <c r="AS106" s="68"/>
      <c r="AT106" s="68"/>
      <c r="AU106" s="63"/>
      <c r="AV106" s="68"/>
      <c r="AW106" s="68"/>
      <c r="AX106" s="68"/>
      <c r="AY106" s="68"/>
      <c r="AZ106" s="63"/>
      <c r="BA106" s="68"/>
      <c r="BB106" s="68"/>
      <c r="BC106" s="68"/>
      <c r="BD106" s="68"/>
      <c r="BE106" s="63"/>
      <c r="BF106" s="68"/>
      <c r="BG106" s="68"/>
      <c r="BH106" s="68"/>
      <c r="BI106" s="68"/>
      <c r="BJ106" s="63"/>
      <c r="BK106" s="68"/>
    </row>
    <row r="107" spans="1:63" ht="13.5" customHeight="1">
      <c r="A107" s="67" t="s">
        <v>163</v>
      </c>
      <c r="B107" s="119" t="s">
        <v>40</v>
      </c>
      <c r="C107" s="78" t="s">
        <v>48</v>
      </c>
      <c r="D107" s="78" t="s">
        <v>48</v>
      </c>
      <c r="E107" s="78" t="s">
        <v>48</v>
      </c>
      <c r="F107" s="78" t="s">
        <v>48</v>
      </c>
      <c r="G107" s="119" t="s">
        <v>40</v>
      </c>
      <c r="H107" s="78" t="s">
        <v>48</v>
      </c>
      <c r="I107" s="78" t="s">
        <v>48</v>
      </c>
      <c r="J107" s="78" t="s">
        <v>48</v>
      </c>
      <c r="K107" s="78" t="s">
        <v>48</v>
      </c>
      <c r="L107" s="119" t="s">
        <v>40</v>
      </c>
      <c r="M107" s="78" t="s">
        <v>48</v>
      </c>
      <c r="N107" s="78" t="s">
        <v>48</v>
      </c>
      <c r="O107" s="78" t="s">
        <v>48</v>
      </c>
      <c r="P107" s="78" t="s">
        <v>48</v>
      </c>
      <c r="Q107" s="167">
        <v>84</v>
      </c>
      <c r="R107" s="78" t="s">
        <v>48</v>
      </c>
      <c r="S107" s="78" t="s">
        <v>48</v>
      </c>
      <c r="T107" s="78" t="s">
        <v>48</v>
      </c>
      <c r="U107" s="78" t="s">
        <v>48</v>
      </c>
      <c r="V107" s="167">
        <v>-33</v>
      </c>
      <c r="W107" s="78" t="s">
        <v>48</v>
      </c>
      <c r="X107" s="78" t="s">
        <v>48</v>
      </c>
      <c r="Y107" s="78" t="s">
        <v>48</v>
      </c>
      <c r="Z107" s="78" t="s">
        <v>48</v>
      </c>
      <c r="AA107" s="167">
        <v>74</v>
      </c>
      <c r="AB107" s="78" t="s">
        <v>48</v>
      </c>
      <c r="AC107" s="78" t="s">
        <v>48</v>
      </c>
      <c r="AD107" s="78" t="s">
        <v>48</v>
      </c>
      <c r="AE107" s="78" t="s">
        <v>48</v>
      </c>
      <c r="AF107" s="167">
        <v>9</v>
      </c>
      <c r="AG107" s="78" t="s">
        <v>48</v>
      </c>
      <c r="AH107" s="78" t="s">
        <v>48</v>
      </c>
      <c r="AI107" s="78" t="s">
        <v>48</v>
      </c>
      <c r="AJ107" s="78" t="s">
        <v>48</v>
      </c>
      <c r="AK107" s="167">
        <v>28</v>
      </c>
      <c r="AL107" s="148">
        <v>9</v>
      </c>
      <c r="AM107" s="148">
        <v>-9</v>
      </c>
      <c r="AN107" s="148">
        <v>6</v>
      </c>
      <c r="AO107" s="148">
        <f>AP107-AN107-AM107-AL107</f>
        <v>-26</v>
      </c>
      <c r="AP107" s="167">
        <v>-20</v>
      </c>
      <c r="AQ107" s="148">
        <v>-9</v>
      </c>
      <c r="AR107" s="148">
        <v>14</v>
      </c>
      <c r="AS107" s="148">
        <v>2</v>
      </c>
      <c r="AT107" s="148">
        <f>AU107-AS107-AR107-AQ107</f>
        <v>-27</v>
      </c>
      <c r="AU107" s="167">
        <v>-20</v>
      </c>
      <c r="AV107" s="148">
        <v>-20</v>
      </c>
      <c r="AW107" s="148">
        <v>8</v>
      </c>
      <c r="AX107" s="148">
        <v>2</v>
      </c>
      <c r="AY107" s="148">
        <f>AZ107-AX107-AW107-AV107</f>
        <v>-25</v>
      </c>
      <c r="AZ107" s="167">
        <v>-35</v>
      </c>
      <c r="BA107" s="148">
        <v>-5</v>
      </c>
      <c r="BB107" s="148">
        <v>18</v>
      </c>
      <c r="BC107" s="148">
        <v>-7</v>
      </c>
      <c r="BD107" s="148">
        <v>-11</v>
      </c>
      <c r="BE107" s="167">
        <v>-5</v>
      </c>
      <c r="BF107" s="148">
        <v>-9</v>
      </c>
      <c r="BG107" s="148">
        <v>0</v>
      </c>
      <c r="BH107" s="148">
        <v>4</v>
      </c>
      <c r="BI107" s="148">
        <v>-11</v>
      </c>
      <c r="BJ107" s="167">
        <v>-16</v>
      </c>
      <c r="BK107" s="148">
        <v>-24</v>
      </c>
    </row>
    <row r="108" spans="1:63" ht="13.5" customHeight="1">
      <c r="A108" s="69"/>
      <c r="B108" s="167"/>
      <c r="C108" s="78"/>
      <c r="D108" s="78"/>
      <c r="E108" s="78"/>
      <c r="F108" s="78"/>
      <c r="G108" s="167"/>
      <c r="H108" s="78"/>
      <c r="I108" s="78"/>
      <c r="J108" s="78"/>
      <c r="K108" s="78"/>
      <c r="L108" s="167"/>
      <c r="M108" s="78"/>
      <c r="N108" s="78"/>
      <c r="O108" s="78"/>
      <c r="P108" s="78"/>
      <c r="Q108" s="167"/>
      <c r="R108" s="78"/>
      <c r="S108" s="78"/>
      <c r="T108" s="78"/>
      <c r="U108" s="78"/>
      <c r="V108" s="167"/>
      <c r="W108" s="78"/>
      <c r="X108" s="78"/>
      <c r="Y108" s="78"/>
      <c r="Z108" s="78"/>
      <c r="AA108" s="167"/>
      <c r="AB108" s="78"/>
      <c r="AC108" s="78"/>
      <c r="AD108" s="78"/>
      <c r="AE108" s="78"/>
      <c r="AF108" s="167"/>
      <c r="AG108" s="78"/>
      <c r="AH108" s="78"/>
      <c r="AI108" s="78"/>
      <c r="AJ108" s="78"/>
      <c r="AK108" s="167"/>
      <c r="AL108" s="148"/>
      <c r="AM108" s="148"/>
      <c r="AN108" s="148"/>
      <c r="AO108" s="148"/>
      <c r="AP108" s="167"/>
      <c r="AQ108" s="148"/>
      <c r="AR108" s="148"/>
      <c r="AS108" s="148"/>
      <c r="AT108" s="148"/>
      <c r="AU108" s="167"/>
      <c r="AV108" s="148"/>
      <c r="AW108" s="148"/>
      <c r="AX108" s="148"/>
      <c r="AY108" s="148"/>
      <c r="AZ108" s="167"/>
      <c r="BA108" s="148"/>
      <c r="BB108" s="148"/>
      <c r="BC108" s="148"/>
      <c r="BD108" s="148"/>
      <c r="BE108" s="167"/>
      <c r="BF108" s="148"/>
      <c r="BG108" s="148"/>
      <c r="BH108" s="148"/>
      <c r="BI108" s="148"/>
      <c r="BJ108" s="167"/>
      <c r="BK108" s="148"/>
    </row>
    <row r="109" spans="1:63" ht="13.5" customHeight="1">
      <c r="A109" s="67" t="s">
        <v>164</v>
      </c>
      <c r="B109" s="119" t="s">
        <v>40</v>
      </c>
      <c r="C109" s="78" t="s">
        <v>48</v>
      </c>
      <c r="D109" s="78" t="s">
        <v>48</v>
      </c>
      <c r="E109" s="78" t="s">
        <v>48</v>
      </c>
      <c r="F109" s="78" t="s">
        <v>48</v>
      </c>
      <c r="G109" s="119" t="s">
        <v>40</v>
      </c>
      <c r="H109" s="78" t="s">
        <v>48</v>
      </c>
      <c r="I109" s="78" t="s">
        <v>48</v>
      </c>
      <c r="J109" s="78" t="s">
        <v>48</v>
      </c>
      <c r="K109" s="78" t="s">
        <v>48</v>
      </c>
      <c r="L109" s="119" t="s">
        <v>40</v>
      </c>
      <c r="M109" s="78" t="s">
        <v>48</v>
      </c>
      <c r="N109" s="78" t="s">
        <v>48</v>
      </c>
      <c r="O109" s="78" t="s">
        <v>48</v>
      </c>
      <c r="P109" s="78" t="s">
        <v>48</v>
      </c>
      <c r="Q109" s="167">
        <v>-21</v>
      </c>
      <c r="R109" s="78" t="s">
        <v>48</v>
      </c>
      <c r="S109" s="78" t="s">
        <v>48</v>
      </c>
      <c r="T109" s="78" t="s">
        <v>48</v>
      </c>
      <c r="U109" s="78" t="s">
        <v>48</v>
      </c>
      <c r="V109" s="167">
        <v>-131</v>
      </c>
      <c r="W109" s="78" t="s">
        <v>48</v>
      </c>
      <c r="X109" s="78" t="s">
        <v>48</v>
      </c>
      <c r="Y109" s="78" t="s">
        <v>48</v>
      </c>
      <c r="Z109" s="78" t="s">
        <v>48</v>
      </c>
      <c r="AA109" s="167">
        <v>-233</v>
      </c>
      <c r="AB109" s="78" t="s">
        <v>48</v>
      </c>
      <c r="AC109" s="78" t="s">
        <v>48</v>
      </c>
      <c r="AD109" s="78" t="s">
        <v>48</v>
      </c>
      <c r="AE109" s="78" t="s">
        <v>48</v>
      </c>
      <c r="AF109" s="167">
        <v>27</v>
      </c>
      <c r="AG109" s="78" t="s">
        <v>48</v>
      </c>
      <c r="AH109" s="78" t="s">
        <v>48</v>
      </c>
      <c r="AI109" s="78" t="s">
        <v>48</v>
      </c>
      <c r="AJ109" s="78" t="s">
        <v>48</v>
      </c>
      <c r="AK109" s="167">
        <v>-39</v>
      </c>
      <c r="AL109" s="148">
        <v>-45</v>
      </c>
      <c r="AM109" s="148">
        <v>-150</v>
      </c>
      <c r="AN109" s="148">
        <v>21</v>
      </c>
      <c r="AO109" s="148">
        <f>AP109-AN109-AM109-AL109</f>
        <v>-97</v>
      </c>
      <c r="AP109" s="167">
        <v>-271</v>
      </c>
      <c r="AQ109" s="148">
        <v>39</v>
      </c>
      <c r="AR109" s="148">
        <v>-137</v>
      </c>
      <c r="AS109" s="148">
        <v>-12</v>
      </c>
      <c r="AT109" s="148">
        <f>AU109-AS109-AR109-AQ109</f>
        <v>86</v>
      </c>
      <c r="AU109" s="167">
        <v>-24</v>
      </c>
      <c r="AV109" s="148">
        <v>-24</v>
      </c>
      <c r="AW109" s="148">
        <v>-15</v>
      </c>
      <c r="AX109" s="148">
        <v>103</v>
      </c>
      <c r="AY109" s="148">
        <f>AZ109-AX109-AW109-AV109</f>
        <v>-54</v>
      </c>
      <c r="AZ109" s="167">
        <v>10</v>
      </c>
      <c r="BA109" s="148">
        <v>42</v>
      </c>
      <c r="BB109" s="148">
        <v>-152</v>
      </c>
      <c r="BC109" s="148">
        <v>-30</v>
      </c>
      <c r="BD109" s="148">
        <v>2</v>
      </c>
      <c r="BE109" s="167">
        <v>-138</v>
      </c>
      <c r="BF109" s="148">
        <v>9</v>
      </c>
      <c r="BG109" s="148">
        <v>-185</v>
      </c>
      <c r="BH109" s="148">
        <v>43</v>
      </c>
      <c r="BI109" s="148">
        <v>20</v>
      </c>
      <c r="BJ109" s="167">
        <v>-113</v>
      </c>
      <c r="BK109" s="148">
        <v>84</v>
      </c>
    </row>
    <row r="110" spans="1:63" ht="13.5" customHeight="1">
      <c r="A110" s="69"/>
      <c r="B110" s="167"/>
      <c r="C110" s="78"/>
      <c r="D110" s="78"/>
      <c r="E110" s="78"/>
      <c r="F110" s="78"/>
      <c r="G110" s="167"/>
      <c r="H110" s="78"/>
      <c r="I110" s="78"/>
      <c r="J110" s="78"/>
      <c r="K110" s="78"/>
      <c r="L110" s="167"/>
      <c r="M110" s="78"/>
      <c r="N110" s="78"/>
      <c r="O110" s="78"/>
      <c r="P110" s="78"/>
      <c r="Q110" s="167"/>
      <c r="R110" s="78"/>
      <c r="S110" s="78"/>
      <c r="T110" s="78"/>
      <c r="U110" s="78"/>
      <c r="V110" s="167"/>
      <c r="W110" s="78"/>
      <c r="X110" s="78"/>
      <c r="Y110" s="78"/>
      <c r="Z110" s="78"/>
      <c r="AA110" s="167"/>
      <c r="AB110" s="78"/>
      <c r="AC110" s="78"/>
      <c r="AD110" s="78"/>
      <c r="AE110" s="78"/>
      <c r="AF110" s="167"/>
      <c r="AG110" s="78"/>
      <c r="AH110" s="78"/>
      <c r="AI110" s="78"/>
      <c r="AJ110" s="78"/>
      <c r="AK110" s="167"/>
      <c r="AL110" s="148"/>
      <c r="AM110" s="148"/>
      <c r="AN110" s="148"/>
      <c r="AO110" s="148"/>
      <c r="AP110" s="167"/>
      <c r="AQ110" s="148"/>
      <c r="AR110" s="148"/>
      <c r="AS110" s="148"/>
      <c r="AT110" s="148"/>
      <c r="AU110" s="167"/>
      <c r="AV110" s="148"/>
      <c r="AW110" s="148"/>
      <c r="AX110" s="148"/>
      <c r="AY110" s="148"/>
      <c r="AZ110" s="167"/>
      <c r="BA110" s="148"/>
      <c r="BB110" s="148"/>
      <c r="BC110" s="148"/>
      <c r="BD110" s="148"/>
      <c r="BE110" s="167"/>
      <c r="BF110" s="148"/>
      <c r="BG110" s="148"/>
      <c r="BH110" s="148"/>
      <c r="BI110" s="148"/>
      <c r="BJ110" s="167"/>
      <c r="BK110" s="148"/>
    </row>
    <row r="111" spans="1:63" ht="15" customHeight="1">
      <c r="A111" s="67" t="s">
        <v>165</v>
      </c>
      <c r="B111" s="119" t="s">
        <v>40</v>
      </c>
      <c r="C111" s="78" t="s">
        <v>48</v>
      </c>
      <c r="D111" s="78" t="s">
        <v>48</v>
      </c>
      <c r="E111" s="78" t="s">
        <v>48</v>
      </c>
      <c r="F111" s="78" t="s">
        <v>48</v>
      </c>
      <c r="G111" s="119" t="s">
        <v>40</v>
      </c>
      <c r="H111" s="78" t="s">
        <v>48</v>
      </c>
      <c r="I111" s="78" t="s">
        <v>48</v>
      </c>
      <c r="J111" s="78" t="s">
        <v>48</v>
      </c>
      <c r="K111" s="78" t="s">
        <v>48</v>
      </c>
      <c r="L111" s="119" t="s">
        <v>40</v>
      </c>
      <c r="M111" s="78" t="s">
        <v>48</v>
      </c>
      <c r="N111" s="78" t="s">
        <v>48</v>
      </c>
      <c r="O111" s="78" t="s">
        <v>48</v>
      </c>
      <c r="P111" s="78" t="s">
        <v>48</v>
      </c>
      <c r="Q111" s="149">
        <v>-136</v>
      </c>
      <c r="R111" s="78" t="s">
        <v>48</v>
      </c>
      <c r="S111" s="78" t="s">
        <v>48</v>
      </c>
      <c r="T111" s="78" t="s">
        <v>48</v>
      </c>
      <c r="U111" s="78" t="s">
        <v>48</v>
      </c>
      <c r="V111" s="149">
        <v>-64</v>
      </c>
      <c r="W111" s="78" t="s">
        <v>48</v>
      </c>
      <c r="X111" s="78" t="s">
        <v>48</v>
      </c>
      <c r="Y111" s="78" t="s">
        <v>48</v>
      </c>
      <c r="Z111" s="78" t="s">
        <v>48</v>
      </c>
      <c r="AA111" s="149">
        <v>-34</v>
      </c>
      <c r="AB111" s="78" t="s">
        <v>48</v>
      </c>
      <c r="AC111" s="78" t="s">
        <v>48</v>
      </c>
      <c r="AD111" s="78" t="s">
        <v>48</v>
      </c>
      <c r="AE111" s="78" t="s">
        <v>48</v>
      </c>
      <c r="AF111" s="149">
        <v>-29</v>
      </c>
      <c r="AG111" s="78" t="s">
        <v>48</v>
      </c>
      <c r="AH111" s="78" t="s">
        <v>48</v>
      </c>
      <c r="AI111" s="78" t="s">
        <v>48</v>
      </c>
      <c r="AJ111" s="78" t="s">
        <v>48</v>
      </c>
      <c r="AK111" s="149">
        <v>-63</v>
      </c>
      <c r="AL111" s="148">
        <v>3</v>
      </c>
      <c r="AM111" s="148">
        <v>6</v>
      </c>
      <c r="AN111" s="148">
        <v>-3</v>
      </c>
      <c r="AO111" s="148">
        <f>AP111-AN111-AM111-AL111</f>
        <v>12</v>
      </c>
      <c r="AP111" s="167">
        <v>18</v>
      </c>
      <c r="AQ111" s="147">
        <v>-12</v>
      </c>
      <c r="AR111" s="148">
        <v>3</v>
      </c>
      <c r="AS111" s="148">
        <v>-3</v>
      </c>
      <c r="AT111" s="148">
        <f>AU111-AS111-AR111-AQ111</f>
        <v>-7</v>
      </c>
      <c r="AU111" s="167">
        <v>-19</v>
      </c>
      <c r="AV111" s="147">
        <v>1</v>
      </c>
      <c r="AW111" s="147">
        <v>-2</v>
      </c>
      <c r="AX111" s="147">
        <v>16</v>
      </c>
      <c r="AY111" s="148">
        <f>AZ111-AX111-AW111-AV111</f>
        <v>0</v>
      </c>
      <c r="AZ111" s="167">
        <v>15</v>
      </c>
      <c r="BA111" s="147">
        <v>8</v>
      </c>
      <c r="BB111" s="147">
        <v>7</v>
      </c>
      <c r="BC111" s="147">
        <v>-3</v>
      </c>
      <c r="BD111" s="148">
        <v>69</v>
      </c>
      <c r="BE111" s="167">
        <v>81</v>
      </c>
      <c r="BF111" s="147">
        <v>-30</v>
      </c>
      <c r="BG111" s="147">
        <v>3</v>
      </c>
      <c r="BH111" s="147">
        <v>-5</v>
      </c>
      <c r="BI111" s="148">
        <v>-17</v>
      </c>
      <c r="BJ111" s="167">
        <v>-49</v>
      </c>
      <c r="BK111" s="68">
        <v>0</v>
      </c>
    </row>
    <row r="112" spans="1:63" ht="13.5" customHeight="1">
      <c r="A112" s="67"/>
      <c r="B112" s="167"/>
      <c r="C112" s="78"/>
      <c r="D112" s="78"/>
      <c r="E112" s="78"/>
      <c r="F112" s="78"/>
      <c r="G112" s="167"/>
      <c r="H112" s="78"/>
      <c r="I112" s="78"/>
      <c r="J112" s="78"/>
      <c r="K112" s="78"/>
      <c r="L112" s="167"/>
      <c r="M112" s="78"/>
      <c r="N112" s="78"/>
      <c r="O112" s="78"/>
      <c r="P112" s="78"/>
      <c r="Q112" s="167"/>
      <c r="R112" s="78"/>
      <c r="S112" s="78"/>
      <c r="T112" s="78"/>
      <c r="U112" s="78"/>
      <c r="V112" s="167"/>
      <c r="W112" s="78"/>
      <c r="X112" s="78"/>
      <c r="Y112" s="78"/>
      <c r="Z112" s="78"/>
      <c r="AA112" s="167"/>
      <c r="AB112" s="78"/>
      <c r="AC112" s="78"/>
      <c r="AD112" s="78"/>
      <c r="AE112" s="78"/>
      <c r="AF112" s="167"/>
      <c r="AG112" s="78"/>
      <c r="AH112" s="78"/>
      <c r="AI112" s="78"/>
      <c r="AJ112" s="78"/>
      <c r="AK112" s="167"/>
      <c r="AL112" s="148"/>
      <c r="AM112" s="148"/>
      <c r="AN112" s="148"/>
      <c r="AO112" s="148"/>
      <c r="AP112" s="167"/>
      <c r="AQ112" s="148"/>
      <c r="AR112" s="148"/>
      <c r="AS112" s="148"/>
      <c r="AT112" s="148"/>
      <c r="AU112" s="167"/>
      <c r="AV112" s="148"/>
      <c r="AW112" s="148"/>
      <c r="AX112" s="148"/>
      <c r="AY112" s="148"/>
      <c r="AZ112" s="167"/>
      <c r="BA112" s="148"/>
      <c r="BB112" s="148"/>
      <c r="BC112" s="148"/>
      <c r="BD112" s="148"/>
      <c r="BE112" s="167"/>
      <c r="BF112" s="148"/>
      <c r="BG112" s="148"/>
      <c r="BH112" s="148"/>
      <c r="BI112" s="148"/>
      <c r="BJ112" s="167"/>
      <c r="BK112" s="148"/>
    </row>
    <row r="113" spans="1:63" ht="13.5" customHeight="1">
      <c r="A113" s="67" t="s">
        <v>166</v>
      </c>
      <c r="B113" s="119" t="s">
        <v>40</v>
      </c>
      <c r="C113" s="78" t="s">
        <v>48</v>
      </c>
      <c r="D113" s="78" t="s">
        <v>48</v>
      </c>
      <c r="E113" s="78" t="s">
        <v>48</v>
      </c>
      <c r="F113" s="78" t="s">
        <v>48</v>
      </c>
      <c r="G113" s="119" t="s">
        <v>40</v>
      </c>
      <c r="H113" s="78" t="s">
        <v>48</v>
      </c>
      <c r="I113" s="78" t="s">
        <v>48</v>
      </c>
      <c r="J113" s="78" t="s">
        <v>48</v>
      </c>
      <c r="K113" s="78" t="s">
        <v>48</v>
      </c>
      <c r="L113" s="119" t="s">
        <v>40</v>
      </c>
      <c r="M113" s="78" t="s">
        <v>48</v>
      </c>
      <c r="N113" s="78" t="s">
        <v>48</v>
      </c>
      <c r="O113" s="78" t="s">
        <v>48</v>
      </c>
      <c r="P113" s="78" t="s">
        <v>48</v>
      </c>
      <c r="Q113" s="149">
        <v>-215</v>
      </c>
      <c r="R113" s="78" t="s">
        <v>48</v>
      </c>
      <c r="S113" s="78" t="s">
        <v>48</v>
      </c>
      <c r="T113" s="78" t="s">
        <v>48</v>
      </c>
      <c r="U113" s="78" t="s">
        <v>48</v>
      </c>
      <c r="V113" s="149">
        <v>82</v>
      </c>
      <c r="W113" s="78" t="s">
        <v>48</v>
      </c>
      <c r="X113" s="78" t="s">
        <v>48</v>
      </c>
      <c r="Y113" s="78" t="s">
        <v>48</v>
      </c>
      <c r="Z113" s="78" t="s">
        <v>48</v>
      </c>
      <c r="AA113" s="167">
        <v>-140</v>
      </c>
      <c r="AB113" s="78" t="s">
        <v>48</v>
      </c>
      <c r="AC113" s="78" t="s">
        <v>48</v>
      </c>
      <c r="AD113" s="78" t="s">
        <v>48</v>
      </c>
      <c r="AE113" s="78" t="s">
        <v>48</v>
      </c>
      <c r="AF113" s="149">
        <v>2</v>
      </c>
      <c r="AG113" s="78" t="s">
        <v>48</v>
      </c>
      <c r="AH113" s="78" t="s">
        <v>48</v>
      </c>
      <c r="AI113" s="78" t="s">
        <v>48</v>
      </c>
      <c r="AJ113" s="78" t="s">
        <v>48</v>
      </c>
      <c r="AK113" s="167">
        <v>3</v>
      </c>
      <c r="AL113" s="148">
        <v>4</v>
      </c>
      <c r="AM113" s="148">
        <v>-3</v>
      </c>
      <c r="AN113" s="148">
        <v>-1</v>
      </c>
      <c r="AO113" s="148">
        <f>AP113-AN113-AM113-AL113</f>
        <v>110</v>
      </c>
      <c r="AP113" s="167">
        <v>110</v>
      </c>
      <c r="AQ113" s="35">
        <v>1</v>
      </c>
      <c r="AR113" s="148">
        <v>-9</v>
      </c>
      <c r="AS113" s="148">
        <v>-92</v>
      </c>
      <c r="AT113" s="148">
        <f>AU113-AS113-AR113-AQ113</f>
        <v>35</v>
      </c>
      <c r="AU113" s="167">
        <v>-65</v>
      </c>
      <c r="AV113" s="148">
        <v>-6</v>
      </c>
      <c r="AW113" s="148">
        <v>9</v>
      </c>
      <c r="AX113" s="148">
        <v>-65</v>
      </c>
      <c r="AY113" s="148">
        <f>AZ113-AX113-AW113-AV113</f>
        <v>29</v>
      </c>
      <c r="AZ113" s="167">
        <v>-33</v>
      </c>
      <c r="BA113" s="148">
        <v>7</v>
      </c>
      <c r="BB113" s="148">
        <v>77</v>
      </c>
      <c r="BC113" s="148">
        <v>-40</v>
      </c>
      <c r="BD113" s="148">
        <v>445</v>
      </c>
      <c r="BE113" s="167">
        <v>489</v>
      </c>
      <c r="BF113" s="148">
        <v>-46</v>
      </c>
      <c r="BG113" s="148">
        <v>-52</v>
      </c>
      <c r="BH113" s="148">
        <v>-58</v>
      </c>
      <c r="BI113" s="148">
        <v>106</v>
      </c>
      <c r="BJ113" s="167">
        <v>-50</v>
      </c>
      <c r="BK113" s="148">
        <v>-88</v>
      </c>
    </row>
    <row r="114" spans="1:63" ht="11.45" customHeight="1">
      <c r="A114" s="67"/>
      <c r="B114" s="167"/>
      <c r="C114" s="78"/>
      <c r="D114" s="78"/>
      <c r="E114" s="78"/>
      <c r="F114" s="78"/>
      <c r="G114" s="167"/>
      <c r="H114" s="78"/>
      <c r="I114" s="78"/>
      <c r="J114" s="78"/>
      <c r="K114" s="78"/>
      <c r="L114" s="167"/>
      <c r="M114" s="78"/>
      <c r="N114" s="78"/>
      <c r="O114" s="78"/>
      <c r="P114" s="78"/>
      <c r="Q114" s="167"/>
      <c r="R114" s="78"/>
      <c r="S114" s="78"/>
      <c r="T114" s="78"/>
      <c r="U114" s="78"/>
      <c r="V114" s="167"/>
      <c r="W114" s="78"/>
      <c r="X114" s="78"/>
      <c r="Y114" s="78"/>
      <c r="Z114" s="78"/>
      <c r="AA114" s="167"/>
      <c r="AB114" s="78"/>
      <c r="AC114" s="78"/>
      <c r="AD114" s="78"/>
      <c r="AE114" s="78"/>
      <c r="AF114" s="167"/>
      <c r="AG114" s="78"/>
      <c r="AH114" s="78"/>
      <c r="AI114" s="78"/>
      <c r="AJ114" s="78"/>
      <c r="AK114" s="167"/>
      <c r="AL114" s="148"/>
      <c r="AM114" s="148"/>
      <c r="AN114" s="148"/>
      <c r="AO114" s="148"/>
      <c r="AP114" s="167"/>
      <c r="AQ114" s="148"/>
      <c r="AR114" s="148"/>
      <c r="AS114" s="148"/>
      <c r="AT114" s="148"/>
      <c r="AU114" s="167"/>
      <c r="AV114" s="148"/>
      <c r="AW114" s="148"/>
      <c r="AX114" s="148"/>
      <c r="AY114" s="148"/>
      <c r="AZ114" s="167"/>
      <c r="BA114" s="148"/>
      <c r="BB114" s="148"/>
      <c r="BC114" s="148"/>
      <c r="BD114" s="148"/>
      <c r="BE114" s="167"/>
      <c r="BF114" s="148"/>
      <c r="BG114" s="148"/>
      <c r="BH114" s="148"/>
      <c r="BI114" s="148"/>
      <c r="BJ114" s="167"/>
      <c r="BK114" s="148"/>
    </row>
    <row r="115" spans="1:63" ht="16.5" customHeight="1">
      <c r="A115" s="87" t="s">
        <v>186</v>
      </c>
      <c r="B115" s="119" t="s">
        <v>40</v>
      </c>
      <c r="C115" s="78" t="s">
        <v>48</v>
      </c>
      <c r="D115" s="78" t="s">
        <v>48</v>
      </c>
      <c r="E115" s="78" t="s">
        <v>48</v>
      </c>
      <c r="F115" s="78" t="s">
        <v>48</v>
      </c>
      <c r="G115" s="119" t="s">
        <v>40</v>
      </c>
      <c r="H115" s="78" t="s">
        <v>48</v>
      </c>
      <c r="I115" s="78" t="s">
        <v>48</v>
      </c>
      <c r="J115" s="78" t="s">
        <v>48</v>
      </c>
      <c r="K115" s="78" t="s">
        <v>48</v>
      </c>
      <c r="L115" s="119" t="s">
        <v>40</v>
      </c>
      <c r="M115" s="78" t="s">
        <v>48</v>
      </c>
      <c r="N115" s="78" t="s">
        <v>48</v>
      </c>
      <c r="O115" s="78" t="s">
        <v>48</v>
      </c>
      <c r="P115" s="78" t="s">
        <v>48</v>
      </c>
      <c r="Q115" s="119" t="s">
        <v>40</v>
      </c>
      <c r="R115" s="78" t="s">
        <v>48</v>
      </c>
      <c r="S115" s="78" t="s">
        <v>48</v>
      </c>
      <c r="T115" s="78" t="s">
        <v>48</v>
      </c>
      <c r="U115" s="78" t="s">
        <v>48</v>
      </c>
      <c r="V115" s="167">
        <v>50</v>
      </c>
      <c r="W115" s="78" t="s">
        <v>48</v>
      </c>
      <c r="X115" s="78" t="s">
        <v>48</v>
      </c>
      <c r="Y115" s="78" t="s">
        <v>48</v>
      </c>
      <c r="Z115" s="78" t="s">
        <v>48</v>
      </c>
      <c r="AA115" s="167">
        <v>-31</v>
      </c>
      <c r="AB115" s="78" t="s">
        <v>48</v>
      </c>
      <c r="AC115" s="78" t="s">
        <v>48</v>
      </c>
      <c r="AD115" s="78" t="s">
        <v>48</v>
      </c>
      <c r="AE115" s="78" t="s">
        <v>48</v>
      </c>
      <c r="AF115" s="167">
        <v>11</v>
      </c>
      <c r="AG115" s="78" t="s">
        <v>48</v>
      </c>
      <c r="AH115" s="78" t="s">
        <v>48</v>
      </c>
      <c r="AI115" s="78" t="s">
        <v>48</v>
      </c>
      <c r="AJ115" s="78" t="s">
        <v>48</v>
      </c>
      <c r="AK115" s="167">
        <v>4</v>
      </c>
      <c r="AL115" s="148">
        <v>-1</v>
      </c>
      <c r="AM115" s="148">
        <v>-15</v>
      </c>
      <c r="AN115" s="148">
        <v>8</v>
      </c>
      <c r="AO115" s="148">
        <f>AP115-AN115-AM115-AL115</f>
        <v>-1</v>
      </c>
      <c r="AP115" s="167">
        <v>-9</v>
      </c>
      <c r="AQ115" s="148">
        <v>-3</v>
      </c>
      <c r="AR115" s="148">
        <v>-5</v>
      </c>
      <c r="AS115" s="148">
        <v>16</v>
      </c>
      <c r="AT115" s="148">
        <f>AU115-AS115-AR115-AQ115</f>
        <v>15</v>
      </c>
      <c r="AU115" s="167">
        <v>23</v>
      </c>
      <c r="AV115" s="148">
        <v>-9</v>
      </c>
      <c r="AW115" s="148">
        <v>-25</v>
      </c>
      <c r="AX115" s="148">
        <v>4</v>
      </c>
      <c r="AY115" s="148">
        <f>AZ115-AX115-AW115-AV115</f>
        <v>-4</v>
      </c>
      <c r="AZ115" s="167">
        <v>-34</v>
      </c>
      <c r="BA115" s="148">
        <v>1</v>
      </c>
      <c r="BB115" s="148">
        <v>-17</v>
      </c>
      <c r="BC115" s="148">
        <v>-2</v>
      </c>
      <c r="BD115" s="148">
        <v>18</v>
      </c>
      <c r="BE115" s="61">
        <v>0</v>
      </c>
      <c r="BF115" s="148">
        <v>-12</v>
      </c>
      <c r="BG115" s="148">
        <v>6</v>
      </c>
      <c r="BH115" s="148">
        <v>-11</v>
      </c>
      <c r="BI115" s="148">
        <v>18</v>
      </c>
      <c r="BJ115" s="167">
        <v>-8</v>
      </c>
      <c r="BK115" s="148">
        <v>-7</v>
      </c>
    </row>
    <row r="116" spans="1:63" ht="13.5" customHeight="1">
      <c r="A116" s="168" t="s">
        <v>161</v>
      </c>
      <c r="B116" s="169"/>
      <c r="C116" s="170"/>
      <c r="D116" s="170"/>
      <c r="E116" s="170"/>
      <c r="F116" s="170"/>
      <c r="G116" s="169"/>
      <c r="H116" s="170"/>
      <c r="I116" s="170"/>
      <c r="J116" s="170"/>
      <c r="K116" s="170"/>
      <c r="L116" s="169"/>
      <c r="M116" s="170"/>
      <c r="N116" s="170"/>
      <c r="O116" s="170"/>
      <c r="P116" s="170"/>
      <c r="Q116" s="169">
        <f>SUM(Q105:Q115)</f>
        <v>-588</v>
      </c>
      <c r="R116" s="170"/>
      <c r="S116" s="170"/>
      <c r="T116" s="170"/>
      <c r="U116" s="170"/>
      <c r="V116" s="169">
        <f>SUM(V105:V115)</f>
        <v>-852</v>
      </c>
      <c r="W116" s="171"/>
      <c r="X116" s="171"/>
      <c r="Y116" s="171"/>
      <c r="Z116" s="171"/>
      <c r="AA116" s="169">
        <f>SUM(AA105:AA115)</f>
        <v>141</v>
      </c>
      <c r="AB116" s="172"/>
      <c r="AC116" s="172"/>
      <c r="AD116" s="172"/>
      <c r="AE116" s="172"/>
      <c r="AF116" s="169">
        <f>SUM(AF105:AF115)</f>
        <v>666</v>
      </c>
      <c r="AG116" s="169"/>
      <c r="AH116" s="169"/>
      <c r="AI116" s="169"/>
      <c r="AJ116" s="169"/>
      <c r="AK116" s="169">
        <f>SUM(AK105:AK115)</f>
        <v>482</v>
      </c>
      <c r="AL116" s="169">
        <f>SUM(AL105:AL115)</f>
        <v>54</v>
      </c>
      <c r="AM116" s="169">
        <f>SUM(AM105:AM115)</f>
        <v>-110</v>
      </c>
      <c r="AN116" s="169">
        <f>SUM(AN105:AN115)</f>
        <v>82</v>
      </c>
      <c r="AO116" s="169">
        <f>AP116-AL116-AM116-AN116</f>
        <v>124</v>
      </c>
      <c r="AP116" s="169">
        <f>SUM(AP105:AP115)</f>
        <v>150</v>
      </c>
      <c r="AQ116" s="169">
        <f>SUM(AQ105:AQ115)</f>
        <v>4</v>
      </c>
      <c r="AR116" s="169">
        <f>SUM(AR105:AR115)</f>
        <v>-59</v>
      </c>
      <c r="AS116" s="169">
        <f>SUM(AS105:AS115)</f>
        <v>-36</v>
      </c>
      <c r="AT116" s="169">
        <f>AU116-AQ116-AR116-AS116</f>
        <v>92</v>
      </c>
      <c r="AU116" s="169">
        <f>SUM(AU105:AU115)</f>
        <v>1</v>
      </c>
      <c r="AV116" s="169">
        <f>SUM(AV105:AV115)</f>
        <v>-65</v>
      </c>
      <c r="AW116" s="169">
        <f>SUM(AW105:AW115)</f>
        <v>-2</v>
      </c>
      <c r="AX116" s="169">
        <f>SUM(AX105:AX115)</f>
        <v>165</v>
      </c>
      <c r="AY116" s="169">
        <f>AZ116-AV116-AW116-AX116</f>
        <v>18</v>
      </c>
      <c r="AZ116" s="169">
        <v>116</v>
      </c>
      <c r="BA116" s="169">
        <v>127</v>
      </c>
      <c r="BB116" s="169">
        <v>-7</v>
      </c>
      <c r="BC116" s="169">
        <v>-16</v>
      </c>
      <c r="BD116" s="169">
        <v>564</v>
      </c>
      <c r="BE116" s="169">
        <v>668</v>
      </c>
      <c r="BF116" s="169">
        <v>-116</v>
      </c>
      <c r="BG116" s="169">
        <v>-182</v>
      </c>
      <c r="BH116" s="169">
        <v>-19</v>
      </c>
      <c r="BI116" s="169">
        <v>172</v>
      </c>
      <c r="BJ116" s="169">
        <v>-145</v>
      </c>
      <c r="BK116" s="169">
        <v>-66</v>
      </c>
    </row>
    <row r="117" spans="1:63" ht="6.6" customHeight="1">
      <c r="A117" s="67"/>
      <c r="B117" s="167"/>
      <c r="C117" s="78"/>
      <c r="D117" s="78"/>
      <c r="E117" s="78"/>
      <c r="F117" s="78"/>
      <c r="G117" s="167"/>
      <c r="H117" s="78"/>
      <c r="I117" s="78"/>
      <c r="J117" s="78"/>
      <c r="K117" s="78"/>
      <c r="L117" s="167"/>
      <c r="M117" s="78"/>
      <c r="N117" s="78"/>
      <c r="O117" s="78"/>
      <c r="P117" s="78"/>
      <c r="Q117" s="167"/>
      <c r="R117" s="78"/>
      <c r="S117" s="78"/>
      <c r="T117" s="78"/>
      <c r="U117" s="78"/>
      <c r="V117" s="167"/>
      <c r="W117" s="68"/>
      <c r="X117" s="68"/>
      <c r="Y117" s="68"/>
      <c r="Z117" s="68"/>
      <c r="AA117" s="167"/>
      <c r="AB117" s="68"/>
      <c r="AC117" s="68"/>
      <c r="AD117" s="68"/>
      <c r="AE117" s="68"/>
      <c r="AF117" s="167"/>
      <c r="AG117" s="148"/>
      <c r="AH117" s="148"/>
      <c r="AI117" s="148"/>
      <c r="AJ117" s="148"/>
      <c r="AK117" s="167"/>
      <c r="AL117" s="148"/>
      <c r="AM117" s="148"/>
      <c r="AN117" s="148"/>
      <c r="AO117" s="148"/>
      <c r="AP117" s="167"/>
      <c r="AQ117" s="148"/>
      <c r="AR117" s="148"/>
      <c r="AS117" s="148"/>
      <c r="AT117" s="148"/>
      <c r="AU117" s="167"/>
      <c r="AV117" s="148"/>
      <c r="AW117" s="148"/>
      <c r="AX117" s="148"/>
      <c r="AY117" s="148"/>
      <c r="AZ117" s="167"/>
      <c r="BA117" s="148"/>
      <c r="BB117" s="148"/>
      <c r="BC117" s="148"/>
      <c r="BD117" s="148"/>
      <c r="BE117" s="167"/>
      <c r="BF117" s="148"/>
      <c r="BG117" s="148"/>
      <c r="BH117" s="148"/>
      <c r="BI117" s="148"/>
      <c r="BJ117" s="167"/>
      <c r="BK117" s="148"/>
    </row>
    <row r="118" spans="1:63" ht="13.5" customHeight="1">
      <c r="A118" s="67" t="s">
        <v>167</v>
      </c>
      <c r="B118" s="119" t="s">
        <v>40</v>
      </c>
      <c r="C118" s="78" t="s">
        <v>48</v>
      </c>
      <c r="D118" s="78" t="s">
        <v>48</v>
      </c>
      <c r="E118" s="78" t="s">
        <v>48</v>
      </c>
      <c r="F118" s="78" t="s">
        <v>48</v>
      </c>
      <c r="G118" s="119" t="s">
        <v>40</v>
      </c>
      <c r="H118" s="78" t="s">
        <v>48</v>
      </c>
      <c r="I118" s="78" t="s">
        <v>48</v>
      </c>
      <c r="J118" s="78" t="s">
        <v>48</v>
      </c>
      <c r="K118" s="78" t="s">
        <v>48</v>
      </c>
      <c r="L118" s="119" t="s">
        <v>40</v>
      </c>
      <c r="M118" s="78" t="s">
        <v>48</v>
      </c>
      <c r="N118" s="78" t="s">
        <v>48</v>
      </c>
      <c r="O118" s="78" t="s">
        <v>48</v>
      </c>
      <c r="P118" s="78" t="s">
        <v>48</v>
      </c>
      <c r="Q118" s="167">
        <v>690</v>
      </c>
      <c r="R118" s="78" t="s">
        <v>48</v>
      </c>
      <c r="S118" s="78" t="s">
        <v>48</v>
      </c>
      <c r="T118" s="78" t="s">
        <v>48</v>
      </c>
      <c r="U118" s="78" t="s">
        <v>48</v>
      </c>
      <c r="V118" s="167">
        <v>649</v>
      </c>
      <c r="W118" s="78" t="s">
        <v>48</v>
      </c>
      <c r="X118" s="78" t="s">
        <v>48</v>
      </c>
      <c r="Y118" s="78" t="s">
        <v>48</v>
      </c>
      <c r="Z118" s="78" t="s">
        <v>48</v>
      </c>
      <c r="AA118" s="167">
        <v>662</v>
      </c>
      <c r="AB118" s="78" t="s">
        <v>48</v>
      </c>
      <c r="AC118" s="78" t="s">
        <v>48</v>
      </c>
      <c r="AD118" s="78" t="s">
        <v>48</v>
      </c>
      <c r="AE118" s="78" t="s">
        <v>48</v>
      </c>
      <c r="AF118" s="167">
        <v>625</v>
      </c>
      <c r="AG118" s="78" t="s">
        <v>48</v>
      </c>
      <c r="AH118" s="78" t="s">
        <v>48</v>
      </c>
      <c r="AI118" s="78" t="s">
        <v>48</v>
      </c>
      <c r="AJ118" s="78" t="s">
        <v>48</v>
      </c>
      <c r="AK118" s="167">
        <v>527</v>
      </c>
      <c r="AL118" s="148">
        <v>53</v>
      </c>
      <c r="AM118" s="148">
        <v>154</v>
      </c>
      <c r="AN118" s="148">
        <v>130</v>
      </c>
      <c r="AO118" s="148">
        <f>AP118-AN118-AM118-AL118</f>
        <v>125</v>
      </c>
      <c r="AP118" s="167">
        <v>462</v>
      </c>
      <c r="AQ118" s="148">
        <v>105</v>
      </c>
      <c r="AR118" s="148">
        <v>100</v>
      </c>
      <c r="AS118" s="148">
        <v>92</v>
      </c>
      <c r="AT118" s="148">
        <f>AU118-AS118-AR118-AQ118</f>
        <v>158</v>
      </c>
      <c r="AU118" s="167">
        <v>455</v>
      </c>
      <c r="AV118" s="148">
        <v>106</v>
      </c>
      <c r="AW118" s="148">
        <v>122</v>
      </c>
      <c r="AX118" s="148">
        <v>118</v>
      </c>
      <c r="AY118" s="148">
        <f>AZ118-AX118-AW118-AV118</f>
        <v>100</v>
      </c>
      <c r="AZ118" s="167">
        <v>446</v>
      </c>
      <c r="BA118" s="148">
        <v>207</v>
      </c>
      <c r="BB118" s="148">
        <v>93</v>
      </c>
      <c r="BC118" s="148">
        <v>82</v>
      </c>
      <c r="BD118" s="148">
        <v>85</v>
      </c>
      <c r="BE118" s="167">
        <v>467</v>
      </c>
      <c r="BF118" s="148">
        <v>49</v>
      </c>
      <c r="BG118" s="148">
        <v>104</v>
      </c>
      <c r="BH118" s="148">
        <v>89</v>
      </c>
      <c r="BI118" s="148">
        <v>83</v>
      </c>
      <c r="BJ118" s="167">
        <v>325</v>
      </c>
      <c r="BK118" s="68">
        <v>0</v>
      </c>
    </row>
    <row r="119" spans="1:63" ht="4.1500000000000004" customHeight="1">
      <c r="A119" s="67"/>
      <c r="B119" s="167"/>
      <c r="C119" s="78"/>
      <c r="D119" s="78"/>
      <c r="E119" s="78"/>
      <c r="F119" s="78"/>
      <c r="G119" s="167"/>
      <c r="H119" s="78"/>
      <c r="I119" s="78"/>
      <c r="J119" s="78"/>
      <c r="K119" s="78"/>
      <c r="L119" s="167"/>
      <c r="M119" s="78"/>
      <c r="N119" s="78"/>
      <c r="O119" s="78"/>
      <c r="P119" s="78"/>
      <c r="Q119" s="167"/>
      <c r="R119" s="78"/>
      <c r="S119" s="78"/>
      <c r="T119" s="78"/>
      <c r="U119" s="78"/>
      <c r="V119" s="167"/>
      <c r="W119" s="78"/>
      <c r="X119" s="78"/>
      <c r="Y119" s="78"/>
      <c r="Z119" s="78"/>
      <c r="AA119" s="167"/>
      <c r="AB119" s="78"/>
      <c r="AC119" s="78"/>
      <c r="AD119" s="78"/>
      <c r="AE119" s="78"/>
      <c r="AF119" s="167"/>
      <c r="AG119" s="148"/>
      <c r="AH119" s="148"/>
      <c r="AI119" s="148"/>
      <c r="AJ119" s="148"/>
      <c r="AK119" s="167"/>
      <c r="AL119" s="148"/>
      <c r="AM119" s="148"/>
      <c r="AN119" s="148"/>
      <c r="AO119" s="148"/>
      <c r="AP119" s="167"/>
      <c r="AQ119" s="148"/>
      <c r="AR119" s="148"/>
      <c r="AS119" s="148"/>
      <c r="AT119" s="148"/>
      <c r="AU119" s="167"/>
      <c r="AV119" s="148"/>
      <c r="AW119" s="148"/>
      <c r="AX119" s="148"/>
      <c r="AY119" s="148"/>
      <c r="AZ119" s="167"/>
      <c r="BA119" s="148"/>
      <c r="BB119" s="148"/>
      <c r="BC119" s="148"/>
      <c r="BD119" s="148"/>
      <c r="BE119" s="167"/>
      <c r="BF119" s="148"/>
      <c r="BG119" s="148"/>
      <c r="BH119" s="148"/>
      <c r="BI119" s="148"/>
      <c r="BJ119" s="167"/>
      <c r="BK119" s="148"/>
    </row>
    <row r="120" spans="1:63" ht="11.45" customHeight="1">
      <c r="A120" s="67" t="s">
        <v>168</v>
      </c>
      <c r="B120" s="119" t="s">
        <v>40</v>
      </c>
      <c r="C120" s="78" t="s">
        <v>48</v>
      </c>
      <c r="D120" s="78" t="s">
        <v>48</v>
      </c>
      <c r="E120" s="78" t="s">
        <v>48</v>
      </c>
      <c r="F120" s="78" t="s">
        <v>48</v>
      </c>
      <c r="G120" s="119" t="s">
        <v>40</v>
      </c>
      <c r="H120" s="78" t="s">
        <v>48</v>
      </c>
      <c r="I120" s="78" t="s">
        <v>48</v>
      </c>
      <c r="J120" s="78" t="s">
        <v>48</v>
      </c>
      <c r="K120" s="78" t="s">
        <v>48</v>
      </c>
      <c r="L120" s="119" t="s">
        <v>40</v>
      </c>
      <c r="M120" s="78" t="s">
        <v>48</v>
      </c>
      <c r="N120" s="78" t="s">
        <v>48</v>
      </c>
      <c r="O120" s="78" t="s">
        <v>48</v>
      </c>
      <c r="P120" s="78" t="s">
        <v>48</v>
      </c>
      <c r="Q120" s="167">
        <v>237</v>
      </c>
      <c r="R120" s="78" t="s">
        <v>48</v>
      </c>
      <c r="S120" s="78" t="s">
        <v>48</v>
      </c>
      <c r="T120" s="78" t="s">
        <v>48</v>
      </c>
      <c r="U120" s="78" t="s">
        <v>48</v>
      </c>
      <c r="V120" s="167">
        <v>377</v>
      </c>
      <c r="W120" s="78" t="s">
        <v>48</v>
      </c>
      <c r="X120" s="78" t="s">
        <v>48</v>
      </c>
      <c r="Y120" s="78" t="s">
        <v>48</v>
      </c>
      <c r="Z120" s="78" t="s">
        <v>48</v>
      </c>
      <c r="AA120" s="167">
        <v>464</v>
      </c>
      <c r="AB120" s="78" t="s">
        <v>48</v>
      </c>
      <c r="AC120" s="78" t="s">
        <v>48</v>
      </c>
      <c r="AD120" s="78" t="s">
        <v>48</v>
      </c>
      <c r="AE120" s="78" t="s">
        <v>48</v>
      </c>
      <c r="AF120" s="167">
        <v>453</v>
      </c>
      <c r="AG120" s="78" t="s">
        <v>48</v>
      </c>
      <c r="AH120" s="78" t="s">
        <v>48</v>
      </c>
      <c r="AI120" s="78" t="s">
        <v>48</v>
      </c>
      <c r="AJ120" s="78" t="s">
        <v>48</v>
      </c>
      <c r="AK120" s="167">
        <v>431</v>
      </c>
      <c r="AL120" s="148">
        <v>20</v>
      </c>
      <c r="AM120" s="148">
        <v>223</v>
      </c>
      <c r="AN120" s="148">
        <v>41</v>
      </c>
      <c r="AO120" s="148">
        <f>AP120-AN120-AM120-AL120</f>
        <v>210</v>
      </c>
      <c r="AP120" s="167">
        <v>494</v>
      </c>
      <c r="AQ120" s="148">
        <v>32</v>
      </c>
      <c r="AR120" s="148">
        <v>192</v>
      </c>
      <c r="AS120" s="148">
        <v>32</v>
      </c>
      <c r="AT120" s="148">
        <f>AU120-AS120-AR120-AQ120</f>
        <v>202</v>
      </c>
      <c r="AU120" s="167">
        <v>458</v>
      </c>
      <c r="AV120" s="148">
        <v>22</v>
      </c>
      <c r="AW120" s="148">
        <v>177</v>
      </c>
      <c r="AX120" s="148">
        <v>18</v>
      </c>
      <c r="AY120" s="148">
        <f>AZ120-AX120-AW120-AV120</f>
        <v>198</v>
      </c>
      <c r="AZ120" s="167">
        <v>415</v>
      </c>
      <c r="BA120" s="148">
        <v>5</v>
      </c>
      <c r="BB120" s="148">
        <v>199</v>
      </c>
      <c r="BC120" s="148">
        <v>5</v>
      </c>
      <c r="BD120" s="148">
        <v>212</v>
      </c>
      <c r="BE120" s="167">
        <v>421</v>
      </c>
      <c r="BF120" s="148">
        <v>5</v>
      </c>
      <c r="BG120" s="148">
        <v>185</v>
      </c>
      <c r="BH120" s="148">
        <v>21</v>
      </c>
      <c r="BI120" s="148">
        <v>181</v>
      </c>
      <c r="BJ120" s="167">
        <v>392</v>
      </c>
      <c r="BK120" s="148">
        <v>5</v>
      </c>
    </row>
    <row r="121" spans="1:63" ht="14.45" customHeight="1">
      <c r="A121" s="77" t="s">
        <v>235</v>
      </c>
      <c r="B121" s="212"/>
      <c r="C121" s="213"/>
      <c r="D121" s="213"/>
      <c r="E121" s="213"/>
      <c r="F121" s="214"/>
      <c r="G121" s="212"/>
      <c r="H121" s="213"/>
      <c r="I121" s="213"/>
      <c r="J121" s="213"/>
      <c r="K121" s="214"/>
      <c r="L121" s="212"/>
      <c r="M121" s="213"/>
      <c r="N121" s="213"/>
      <c r="O121" s="213"/>
      <c r="P121" s="214"/>
      <c r="Q121" s="212"/>
      <c r="R121" s="213"/>
      <c r="S121" s="213"/>
      <c r="T121" s="213"/>
      <c r="U121" s="214"/>
      <c r="V121" s="212"/>
      <c r="W121" s="213"/>
      <c r="X121" s="213"/>
      <c r="Y121" s="213"/>
      <c r="Z121" s="214"/>
      <c r="AA121" s="212"/>
      <c r="AB121" s="213"/>
      <c r="AC121" s="213"/>
      <c r="AD121" s="213"/>
      <c r="AE121" s="214"/>
      <c r="AF121" s="212"/>
      <c r="AG121" s="213"/>
      <c r="AH121" s="213"/>
      <c r="AI121" s="213"/>
      <c r="AJ121" s="214"/>
      <c r="AK121" s="167">
        <f>AK85-AK116</f>
        <v>3314</v>
      </c>
      <c r="AL121" s="148">
        <f>AL85-AL116</f>
        <v>907</v>
      </c>
      <c r="AM121" s="148">
        <f>AM85-AM116</f>
        <v>950</v>
      </c>
      <c r="AN121" s="148">
        <f>AN85-AN116</f>
        <v>968</v>
      </c>
      <c r="AO121" s="148">
        <f>AP121-AN121-AM121-AL121</f>
        <v>765</v>
      </c>
      <c r="AP121" s="167">
        <f>AP85-AP116</f>
        <v>3590</v>
      </c>
      <c r="AQ121" s="148">
        <f>AQ85-AQ116</f>
        <v>918</v>
      </c>
      <c r="AR121" s="148">
        <f>AR85-AR116</f>
        <v>929</v>
      </c>
      <c r="AS121" s="148">
        <f>AS85-AS116</f>
        <v>938</v>
      </c>
      <c r="AT121" s="148">
        <f>AU121-AS121-AR121-AQ121</f>
        <v>740</v>
      </c>
      <c r="AU121" s="167">
        <f>AU85-AU116</f>
        <v>3525</v>
      </c>
      <c r="AV121" s="148">
        <f>AV85-AV116</f>
        <v>891</v>
      </c>
      <c r="AW121" s="148">
        <f>AW85-AW116</f>
        <v>877</v>
      </c>
      <c r="AX121" s="148">
        <f>AX85-AX116</f>
        <v>817</v>
      </c>
      <c r="AY121" s="148">
        <f>AZ121-AX121-AW121-AV121</f>
        <v>824</v>
      </c>
      <c r="AZ121" s="167">
        <v>3409</v>
      </c>
      <c r="BA121" s="148">
        <v>656</v>
      </c>
      <c r="BB121" s="148">
        <v>717</v>
      </c>
      <c r="BC121" s="148">
        <v>790</v>
      </c>
      <c r="BD121" s="148">
        <v>681</v>
      </c>
      <c r="BE121" s="167">
        <v>2844</v>
      </c>
      <c r="BF121" s="148">
        <v>764</v>
      </c>
      <c r="BG121" s="148">
        <v>716</v>
      </c>
      <c r="BH121" s="148">
        <v>691</v>
      </c>
      <c r="BI121" s="148">
        <v>898</v>
      </c>
      <c r="BJ121" s="167">
        <v>3069</v>
      </c>
      <c r="BK121" s="148">
        <v>832</v>
      </c>
    </row>
    <row r="122" spans="1:63" ht="3.75" customHeight="1">
      <c r="A122" s="77"/>
      <c r="B122" s="212"/>
      <c r="C122" s="213"/>
      <c r="D122" s="213"/>
      <c r="E122" s="213"/>
      <c r="F122" s="214"/>
      <c r="G122" s="212"/>
      <c r="H122" s="213"/>
      <c r="I122" s="213"/>
      <c r="J122" s="213"/>
      <c r="K122" s="214"/>
      <c r="L122" s="212"/>
      <c r="M122" s="213"/>
      <c r="N122" s="213"/>
      <c r="O122" s="213"/>
      <c r="P122" s="214"/>
      <c r="Q122" s="212"/>
      <c r="R122" s="213"/>
      <c r="S122" s="213"/>
      <c r="T122" s="213"/>
      <c r="U122" s="214"/>
      <c r="V122" s="212"/>
      <c r="W122" s="213"/>
      <c r="X122" s="213"/>
      <c r="Y122" s="213"/>
      <c r="Z122" s="214"/>
      <c r="AA122" s="212"/>
      <c r="AB122" s="213"/>
      <c r="AC122" s="213"/>
      <c r="AD122" s="213"/>
      <c r="AE122" s="214"/>
      <c r="AF122" s="212"/>
      <c r="AG122" s="213"/>
      <c r="AH122" s="213"/>
      <c r="AI122" s="213"/>
      <c r="AJ122" s="214"/>
      <c r="AK122" s="167"/>
      <c r="AL122" s="148"/>
      <c r="AM122" s="148"/>
      <c r="AN122" s="148"/>
      <c r="AO122" s="148"/>
      <c r="AP122" s="167"/>
      <c r="AQ122" s="148"/>
      <c r="AR122" s="148"/>
      <c r="AS122" s="148"/>
      <c r="AT122" s="148"/>
      <c r="AU122" s="167"/>
      <c r="AV122" s="148"/>
      <c r="AW122" s="148"/>
      <c r="AX122" s="148"/>
      <c r="AY122" s="148"/>
      <c r="AZ122" s="167"/>
      <c r="BA122" s="148"/>
      <c r="BB122" s="148"/>
      <c r="BC122" s="148"/>
      <c r="BD122" s="148"/>
      <c r="BE122" s="167"/>
      <c r="BF122" s="148"/>
      <c r="BG122" s="148"/>
      <c r="BH122" s="148"/>
      <c r="BI122" s="148"/>
      <c r="BJ122" s="167"/>
      <c r="BK122" s="148"/>
    </row>
    <row r="123" spans="1:63">
      <c r="A123" s="49" t="s">
        <v>42</v>
      </c>
      <c r="B123" s="40"/>
      <c r="C123" s="50"/>
      <c r="D123" s="50"/>
      <c r="E123" s="50"/>
      <c r="F123" s="50"/>
      <c r="G123" s="40"/>
      <c r="H123" s="50"/>
      <c r="I123" s="50"/>
      <c r="J123" s="50"/>
      <c r="K123" s="50"/>
      <c r="L123" s="40"/>
      <c r="M123" s="50"/>
      <c r="N123" s="50"/>
      <c r="O123" s="50"/>
      <c r="P123" s="50"/>
      <c r="Q123" s="40"/>
      <c r="R123" s="50"/>
      <c r="S123" s="50"/>
      <c r="T123" s="50"/>
      <c r="U123" s="50"/>
      <c r="V123" s="40"/>
      <c r="W123" s="50"/>
      <c r="X123" s="50"/>
      <c r="Y123" s="50"/>
      <c r="Z123" s="50"/>
      <c r="AA123" s="40"/>
      <c r="AB123" s="50"/>
      <c r="AC123" s="50"/>
      <c r="AD123" s="50"/>
      <c r="AE123" s="50"/>
      <c r="AF123" s="40"/>
      <c r="AG123" s="50"/>
      <c r="AH123" s="50"/>
      <c r="AI123" s="50"/>
      <c r="AJ123" s="50"/>
      <c r="AK123" s="40"/>
      <c r="AL123" s="50"/>
      <c r="AM123" s="50"/>
      <c r="AN123" s="50"/>
      <c r="AO123" s="50"/>
      <c r="AP123" s="40"/>
      <c r="AQ123" s="50"/>
      <c r="AR123" s="50"/>
      <c r="AS123" s="50"/>
      <c r="AT123" s="50"/>
      <c r="AU123" s="40"/>
      <c r="AV123" s="50"/>
      <c r="AW123" s="50"/>
      <c r="AX123" s="50"/>
      <c r="AY123" s="50"/>
      <c r="AZ123" s="40"/>
      <c r="BA123" s="50"/>
      <c r="BB123" s="50"/>
      <c r="BC123" s="50"/>
      <c r="BD123" s="50"/>
      <c r="BE123" s="40"/>
      <c r="BF123" s="50"/>
      <c r="BG123" s="50"/>
      <c r="BH123" s="50"/>
      <c r="BI123" s="50"/>
      <c r="BJ123" s="40"/>
      <c r="BK123" s="50"/>
    </row>
    <row r="124" spans="1:63" s="35" customFormat="1" ht="11.25" customHeight="1">
      <c r="A124" s="67" t="s">
        <v>28</v>
      </c>
      <c r="B124" s="54">
        <f t="shared" ref="B124:AG124" si="232">B20/B9</f>
        <v>0.20842313218390804</v>
      </c>
      <c r="C124" s="76">
        <f t="shared" si="232"/>
        <v>0.23224637681159421</v>
      </c>
      <c r="D124" s="76">
        <f t="shared" si="232"/>
        <v>0.28093158660844253</v>
      </c>
      <c r="E124" s="76">
        <f t="shared" si="232"/>
        <v>0.27619387027797576</v>
      </c>
      <c r="F124" s="76">
        <f t="shared" si="232"/>
        <v>0.16734542761940022</v>
      </c>
      <c r="G124" s="54">
        <f t="shared" si="232"/>
        <v>0.23967317294598275</v>
      </c>
      <c r="H124" s="76">
        <f t="shared" si="232"/>
        <v>0.28627731995700467</v>
      </c>
      <c r="I124" s="76">
        <f t="shared" si="232"/>
        <v>0.28481894150417825</v>
      </c>
      <c r="J124" s="76">
        <f t="shared" si="232"/>
        <v>0.29924760601915185</v>
      </c>
      <c r="K124" s="76">
        <f t="shared" si="232"/>
        <v>0.16371077762619374</v>
      </c>
      <c r="L124" s="54">
        <f t="shared" si="232"/>
        <v>0.25800850768295858</v>
      </c>
      <c r="M124" s="76">
        <f t="shared" si="232"/>
        <v>0.29982847341337909</v>
      </c>
      <c r="N124" s="76">
        <f t="shared" si="232"/>
        <v>0.33210332103321033</v>
      </c>
      <c r="O124" s="76">
        <f t="shared" si="232"/>
        <v>0.32278272337619518</v>
      </c>
      <c r="P124" s="76">
        <f t="shared" si="232"/>
        <v>0.2946370176586004</v>
      </c>
      <c r="Q124" s="54">
        <f t="shared" si="232"/>
        <v>0.31233836656377745</v>
      </c>
      <c r="R124" s="76">
        <f t="shared" si="232"/>
        <v>0.22828698935805011</v>
      </c>
      <c r="S124" s="76">
        <f t="shared" si="232"/>
        <v>0.32319391634980987</v>
      </c>
      <c r="T124" s="76">
        <f t="shared" si="232"/>
        <v>0.32362015769626329</v>
      </c>
      <c r="U124" s="76">
        <f t="shared" si="232"/>
        <v>0.26830188679245282</v>
      </c>
      <c r="V124" s="54">
        <f t="shared" si="232"/>
        <v>0.28620416776576102</v>
      </c>
      <c r="W124" s="76">
        <f t="shared" si="232"/>
        <v>0.31021897810218979</v>
      </c>
      <c r="X124" s="76">
        <f t="shared" si="232"/>
        <v>0.28747591522157995</v>
      </c>
      <c r="Y124" s="76">
        <f t="shared" si="232"/>
        <v>0.26744186046511625</v>
      </c>
      <c r="Z124" s="76">
        <f t="shared" si="232"/>
        <v>0.3176806859942834</v>
      </c>
      <c r="AA124" s="54">
        <f t="shared" si="232"/>
        <v>0.29587468379062076</v>
      </c>
      <c r="AB124" s="76">
        <f t="shared" si="232"/>
        <v>0.31642411642411644</v>
      </c>
      <c r="AC124" s="76">
        <f t="shared" si="232"/>
        <v>0.31646108039132287</v>
      </c>
      <c r="AD124" s="76">
        <f t="shared" si="232"/>
        <v>0.30066722268557133</v>
      </c>
      <c r="AE124" s="76">
        <f t="shared" si="232"/>
        <v>0.24616023246160232</v>
      </c>
      <c r="AF124" s="54">
        <f t="shared" si="232"/>
        <v>0.29478197218446095</v>
      </c>
      <c r="AG124" s="76">
        <f t="shared" si="232"/>
        <v>0.29770662051060148</v>
      </c>
      <c r="AH124" s="76">
        <f t="shared" ref="AH124:AY124" si="233">AH20/AH9</f>
        <v>0.5484444444444444</v>
      </c>
      <c r="AI124" s="76">
        <f t="shared" si="233"/>
        <v>0.30062724014336917</v>
      </c>
      <c r="AJ124" s="76">
        <f t="shared" si="233"/>
        <v>0.27984084880636606</v>
      </c>
      <c r="AK124" s="54">
        <f t="shared" si="233"/>
        <v>0.35626725565985645</v>
      </c>
      <c r="AL124" s="76">
        <f t="shared" si="233"/>
        <v>0.29254829806807725</v>
      </c>
      <c r="AM124" s="76">
        <f t="shared" si="233"/>
        <v>0.30503265462927392</v>
      </c>
      <c r="AN124" s="76">
        <f t="shared" si="233"/>
        <v>0.25057647963105306</v>
      </c>
      <c r="AO124" s="76">
        <f t="shared" si="233"/>
        <v>0.18726016884113583</v>
      </c>
      <c r="AP124" s="54">
        <f t="shared" si="233"/>
        <v>0.257386079118678</v>
      </c>
      <c r="AQ124" s="76">
        <f t="shared" si="233"/>
        <v>0.22430636967565457</v>
      </c>
      <c r="AR124" s="76">
        <f t="shared" si="233"/>
        <v>0.24532058940661092</v>
      </c>
      <c r="AS124" s="76">
        <f t="shared" si="233"/>
        <v>0.23864541832669323</v>
      </c>
      <c r="AT124" s="76">
        <f t="shared" si="233"/>
        <v>0.21246006389776359</v>
      </c>
      <c r="AU124" s="54">
        <f t="shared" si="233"/>
        <v>0.23016660055533519</v>
      </c>
      <c r="AV124" s="76">
        <f t="shared" si="233"/>
        <v>0.23073787199347737</v>
      </c>
      <c r="AW124" s="76">
        <f t="shared" si="233"/>
        <v>0.23264311814859928</v>
      </c>
      <c r="AX124" s="76">
        <f t="shared" si="233"/>
        <v>0.22525879917184266</v>
      </c>
      <c r="AY124" s="76">
        <f t="shared" si="233"/>
        <v>0.17371847030105778</v>
      </c>
      <c r="AZ124" s="54">
        <v>0.21554806415364183</v>
      </c>
      <c r="BA124" s="76">
        <v>0.19567979669631513</v>
      </c>
      <c r="BB124" s="76">
        <v>0.15902271753107586</v>
      </c>
      <c r="BC124" s="76">
        <v>0.1864406779661017</v>
      </c>
      <c r="BD124" s="76">
        <v>-0.77815993121238181</v>
      </c>
      <c r="BE124" s="54">
        <v>-5.879197510996674E-2</v>
      </c>
      <c r="BF124" s="76">
        <v>0.22650709219858156</v>
      </c>
      <c r="BG124" s="76">
        <v>-4.2266187050359713E-2</v>
      </c>
      <c r="BH124" s="76">
        <v>0.20427236315086783</v>
      </c>
      <c r="BI124" s="76">
        <v>5.1316984559491373E-2</v>
      </c>
      <c r="BJ124" s="54">
        <v>0.11076268339119723</v>
      </c>
      <c r="BK124" s="76">
        <v>0.21307727480566988</v>
      </c>
    </row>
    <row r="125" spans="1:63" s="35" customFormat="1" ht="11.25" customHeight="1">
      <c r="A125" s="67" t="s">
        <v>36</v>
      </c>
      <c r="B125" s="54">
        <f t="shared" ref="B125:AG125" si="234">B32/B9</f>
        <v>0.11943247126436782</v>
      </c>
      <c r="C125" s="76">
        <f t="shared" si="234"/>
        <v>0.14891304347826087</v>
      </c>
      <c r="D125" s="76">
        <f t="shared" si="234"/>
        <v>0.16593886462882096</v>
      </c>
      <c r="E125" s="76">
        <f t="shared" si="234"/>
        <v>0.1646471846044191</v>
      </c>
      <c r="F125" s="76">
        <f t="shared" si="234"/>
        <v>0.11032950758978156</v>
      </c>
      <c r="G125" s="54">
        <f t="shared" si="234"/>
        <v>0.14770767135724014</v>
      </c>
      <c r="H125" s="76">
        <f t="shared" si="234"/>
        <v>0.21784306700107489</v>
      </c>
      <c r="I125" s="76">
        <f t="shared" si="234"/>
        <v>0.18837047353760444</v>
      </c>
      <c r="J125" s="76">
        <f t="shared" si="234"/>
        <v>0.71409028727770174</v>
      </c>
      <c r="K125" s="76">
        <f t="shared" si="234"/>
        <v>0.12482946793997271</v>
      </c>
      <c r="L125" s="54">
        <f t="shared" si="234"/>
        <v>0.31278756836530947</v>
      </c>
      <c r="M125" s="76">
        <f t="shared" si="234"/>
        <v>0.22024013722126928</v>
      </c>
      <c r="N125" s="76">
        <f t="shared" si="234"/>
        <v>0.2140221402214022</v>
      </c>
      <c r="O125" s="76">
        <f t="shared" si="234"/>
        <v>0.19386745796241345</v>
      </c>
      <c r="P125" s="76">
        <f t="shared" si="234"/>
        <v>0.1880313930673643</v>
      </c>
      <c r="Q125" s="54">
        <f t="shared" si="234"/>
        <v>0.20380412113122551</v>
      </c>
      <c r="R125" s="76">
        <f t="shared" si="234"/>
        <v>0.13971850326124272</v>
      </c>
      <c r="S125" s="76">
        <f t="shared" si="234"/>
        <v>0.20221223643276875</v>
      </c>
      <c r="T125" s="76">
        <f t="shared" si="234"/>
        <v>0.18854988001371273</v>
      </c>
      <c r="U125" s="76">
        <f t="shared" si="234"/>
        <v>0.20075471698113206</v>
      </c>
      <c r="V125" s="54">
        <f t="shared" si="234"/>
        <v>0.18236173393124067</v>
      </c>
      <c r="W125" s="76">
        <f t="shared" si="234"/>
        <v>0.2124087591240876</v>
      </c>
      <c r="X125" s="76">
        <f t="shared" si="234"/>
        <v>0.15992292870905589</v>
      </c>
      <c r="Y125" s="76">
        <f t="shared" si="234"/>
        <v>0.13712910986367283</v>
      </c>
      <c r="Z125" s="76">
        <f t="shared" si="234"/>
        <v>0.21314822376480197</v>
      </c>
      <c r="AA125" s="54">
        <f t="shared" si="234"/>
        <v>0.1810663553220471</v>
      </c>
      <c r="AB125" s="76">
        <f t="shared" si="234"/>
        <v>0.20665280665280666</v>
      </c>
      <c r="AC125" s="76">
        <f t="shared" si="234"/>
        <v>0.20119098256061252</v>
      </c>
      <c r="AD125" s="76">
        <f t="shared" si="234"/>
        <v>0.18723936613844872</v>
      </c>
      <c r="AE125" s="76">
        <f t="shared" si="234"/>
        <v>0.14611872146118721</v>
      </c>
      <c r="AF125" s="54">
        <f t="shared" si="234"/>
        <v>0.18519293108857054</v>
      </c>
      <c r="AG125" s="76">
        <f t="shared" si="234"/>
        <v>0.1977498918217222</v>
      </c>
      <c r="AH125" s="76">
        <f t="shared" ref="AH125:AY125" si="235">AH32/AH9</f>
        <v>0.36</v>
      </c>
      <c r="AI125" s="76">
        <f t="shared" si="235"/>
        <v>0.1917562724014337</v>
      </c>
      <c r="AJ125" s="76">
        <f t="shared" si="235"/>
        <v>0.18390804597701149</v>
      </c>
      <c r="AK125" s="54">
        <f t="shared" si="235"/>
        <v>0.2331308669243512</v>
      </c>
      <c r="AL125" s="76">
        <f t="shared" si="235"/>
        <v>0.21297148114075437</v>
      </c>
      <c r="AM125" s="76">
        <f t="shared" si="235"/>
        <v>0.18517095658855168</v>
      </c>
      <c r="AN125" s="76">
        <f t="shared" si="235"/>
        <v>0.15641813989239048</v>
      </c>
      <c r="AO125" s="76">
        <f t="shared" si="235"/>
        <v>0.14159631619339985</v>
      </c>
      <c r="AP125" s="54">
        <f t="shared" si="235"/>
        <v>0.17235853780671007</v>
      </c>
      <c r="AQ125" s="76">
        <f t="shared" si="235"/>
        <v>0.11254396248534584</v>
      </c>
      <c r="AR125" s="76">
        <f t="shared" si="235"/>
        <v>0.15013938669852647</v>
      </c>
      <c r="AS125" s="76">
        <f t="shared" si="235"/>
        <v>0.15697211155378485</v>
      </c>
      <c r="AT125" s="76">
        <f t="shared" si="235"/>
        <v>7.3881789137380194E-2</v>
      </c>
      <c r="AU125" s="54">
        <f t="shared" si="235"/>
        <v>0.12336374454581515</v>
      </c>
      <c r="AV125" s="76">
        <f t="shared" si="235"/>
        <v>0.14268242967794537</v>
      </c>
      <c r="AW125" s="76">
        <f t="shared" si="235"/>
        <v>0.14535119772634997</v>
      </c>
      <c r="AX125" s="76">
        <f t="shared" si="235"/>
        <v>0.13333333333333333</v>
      </c>
      <c r="AY125" s="76">
        <f t="shared" si="235"/>
        <v>8.3401139137510169E-2</v>
      </c>
      <c r="AZ125" s="54">
        <v>0.12616201859229748</v>
      </c>
      <c r="BA125" s="76">
        <v>0.11012282930961458</v>
      </c>
      <c r="BB125" s="76">
        <v>8.3583369052721818E-2</v>
      </c>
      <c r="BC125" s="76">
        <v>0.10169491525423729</v>
      </c>
      <c r="BD125" s="76">
        <v>-0.75451418744625964</v>
      </c>
      <c r="BE125" s="54">
        <v>-0.11436541143654114</v>
      </c>
      <c r="BF125" s="76">
        <v>0.13297872340425532</v>
      </c>
      <c r="BG125" s="76">
        <v>-0.70728417266187049</v>
      </c>
      <c r="BH125" s="76">
        <v>8.5002225189141078E-2</v>
      </c>
      <c r="BI125" s="76">
        <v>-2.270663033605813E-3</v>
      </c>
      <c r="BJ125" s="54">
        <v>-0.12173815656848472</v>
      </c>
      <c r="BK125" s="76">
        <v>0.1518061271147691</v>
      </c>
    </row>
    <row r="126" spans="1:63" s="35" customFormat="1" ht="11.25" customHeight="1">
      <c r="A126" s="67" t="s">
        <v>10</v>
      </c>
      <c r="B126" s="54">
        <f t="shared" ref="B126:AG126" si="236">B36/B9</f>
        <v>0.34392959770114945</v>
      </c>
      <c r="C126" s="76">
        <f t="shared" si="236"/>
        <v>0.36557971014492752</v>
      </c>
      <c r="D126" s="76">
        <f t="shared" si="236"/>
        <v>0.41229985443959244</v>
      </c>
      <c r="E126" s="76">
        <f t="shared" si="236"/>
        <v>0.40627227369921598</v>
      </c>
      <c r="F126" s="76">
        <f t="shared" si="236"/>
        <v>0.30211032950758976</v>
      </c>
      <c r="G126" s="54">
        <f t="shared" si="236"/>
        <v>0.37203812982296869</v>
      </c>
      <c r="H126" s="76">
        <f t="shared" si="236"/>
        <v>0.41920458616983158</v>
      </c>
      <c r="I126" s="76">
        <f t="shared" si="236"/>
        <v>0.41608635097493035</v>
      </c>
      <c r="J126" s="76">
        <f t="shared" si="236"/>
        <v>0.42270861833105333</v>
      </c>
      <c r="K126" s="76">
        <f t="shared" si="236"/>
        <v>0.29195088676671216</v>
      </c>
      <c r="L126" s="54">
        <f t="shared" si="236"/>
        <v>0.38692594843302369</v>
      </c>
      <c r="M126" s="76">
        <f t="shared" si="236"/>
        <v>0.41749571183533446</v>
      </c>
      <c r="N126" s="76">
        <f t="shared" si="236"/>
        <v>0.44884267024488428</v>
      </c>
      <c r="O126" s="76">
        <f t="shared" si="236"/>
        <v>0.43818001978239368</v>
      </c>
      <c r="P126" s="76">
        <f t="shared" si="236"/>
        <v>0.41497710922171355</v>
      </c>
      <c r="Q126" s="54">
        <f t="shared" si="236"/>
        <v>0.4298823725702845</v>
      </c>
      <c r="R126" s="76">
        <f t="shared" si="236"/>
        <v>0.34328870580157911</v>
      </c>
      <c r="S126" s="76">
        <f t="shared" si="236"/>
        <v>0.44348427238161081</v>
      </c>
      <c r="T126" s="76">
        <f t="shared" si="236"/>
        <v>0.44600617072334592</v>
      </c>
      <c r="U126" s="76">
        <f t="shared" si="236"/>
        <v>0.40226415094339624</v>
      </c>
      <c r="V126" s="54">
        <f t="shared" si="236"/>
        <v>0.40886309680823002</v>
      </c>
      <c r="W126" s="76">
        <f t="shared" si="236"/>
        <v>0.44087591240875912</v>
      </c>
      <c r="X126" s="76">
        <f t="shared" si="236"/>
        <v>0.4254335260115607</v>
      </c>
      <c r="Y126" s="76">
        <f t="shared" si="236"/>
        <v>0.41138732959101842</v>
      </c>
      <c r="Z126" s="76">
        <f t="shared" si="236"/>
        <v>0.46508779093507552</v>
      </c>
      <c r="AA126" s="54">
        <f t="shared" si="236"/>
        <v>0.43559058182525784</v>
      </c>
      <c r="AB126" s="76">
        <f t="shared" si="236"/>
        <v>0.45280665280665283</v>
      </c>
      <c r="AC126" s="76">
        <f t="shared" si="236"/>
        <v>0.4551254785197788</v>
      </c>
      <c r="AD126" s="76">
        <f t="shared" si="236"/>
        <v>0.4378648874061718</v>
      </c>
      <c r="AE126" s="76">
        <f t="shared" si="236"/>
        <v>0.38231631382316311</v>
      </c>
      <c r="AF126" s="54">
        <f t="shared" si="236"/>
        <v>0.43187284325002612</v>
      </c>
      <c r="AG126" s="76">
        <f t="shared" si="236"/>
        <v>0.43357853742968411</v>
      </c>
      <c r="AH126" s="76">
        <f t="shared" ref="AH126:AY126" si="237">AH36/AH9</f>
        <v>0.69022222222222218</v>
      </c>
      <c r="AI126" s="76">
        <f t="shared" si="237"/>
        <v>0.44713261648745517</v>
      </c>
      <c r="AJ126" s="76">
        <f t="shared" si="237"/>
        <v>0.4217506631299735</v>
      </c>
      <c r="AK126" s="54">
        <f t="shared" si="237"/>
        <v>0.49773605742683602</v>
      </c>
      <c r="AL126" s="76">
        <f t="shared" si="237"/>
        <v>0.43836246550137997</v>
      </c>
      <c r="AM126" s="76">
        <f t="shared" si="237"/>
        <v>0.47829427583557432</v>
      </c>
      <c r="AN126" s="76">
        <f t="shared" si="237"/>
        <v>0.42621060722521137</v>
      </c>
      <c r="AO126" s="76">
        <f t="shared" si="237"/>
        <v>0.36339217191097467</v>
      </c>
      <c r="AP126" s="54">
        <f t="shared" si="237"/>
        <v>0.42603905858788182</v>
      </c>
      <c r="AQ126" s="76">
        <f t="shared" si="237"/>
        <v>0.39976553341148885</v>
      </c>
      <c r="AR126" s="76">
        <f t="shared" si="237"/>
        <v>0.42054958183990443</v>
      </c>
      <c r="AS126" s="76">
        <f t="shared" si="237"/>
        <v>0.41474103585657368</v>
      </c>
      <c r="AT126" s="76">
        <f t="shared" si="237"/>
        <v>0.37539936102236421</v>
      </c>
      <c r="AU126" s="54">
        <f t="shared" si="237"/>
        <v>0.40261800872669573</v>
      </c>
      <c r="AV126" s="76">
        <f t="shared" si="237"/>
        <v>0.40521810028536487</v>
      </c>
      <c r="AW126" s="76">
        <f t="shared" si="237"/>
        <v>0.4047909053999188</v>
      </c>
      <c r="AX126" s="76">
        <f t="shared" si="237"/>
        <v>0.40579710144927539</v>
      </c>
      <c r="AY126" s="76">
        <f t="shared" si="237"/>
        <v>0.34743694060211555</v>
      </c>
      <c r="AZ126" s="54">
        <v>0.39074471345387679</v>
      </c>
      <c r="BA126" s="76">
        <v>0.41804320203303685</v>
      </c>
      <c r="BB126" s="76">
        <v>0.3891984569224175</v>
      </c>
      <c r="BC126" s="76">
        <v>0.42416340721425466</v>
      </c>
      <c r="BD126" s="76">
        <v>-0.52880481513327604</v>
      </c>
      <c r="BE126" s="54">
        <v>0.17605407145156099</v>
      </c>
      <c r="BF126" s="76">
        <v>0.43306737588652483</v>
      </c>
      <c r="BG126" s="76">
        <v>0.17266187050359713</v>
      </c>
      <c r="BH126" s="76">
        <v>0.41833555852247439</v>
      </c>
      <c r="BI126" s="76">
        <v>0.27247956403269757</v>
      </c>
      <c r="BJ126" s="54">
        <v>0.32489640497256134</v>
      </c>
      <c r="BK126" s="76">
        <v>0.41975308641975306</v>
      </c>
    </row>
    <row r="127" spans="1:63" s="35" customFormat="1" ht="11.25" customHeight="1">
      <c r="A127" s="67" t="s">
        <v>18</v>
      </c>
      <c r="B127" s="54">
        <f t="shared" ref="B127:AG127" si="238">B91/B9</f>
        <v>8.9031070402298851E-2</v>
      </c>
      <c r="C127" s="76">
        <f t="shared" si="238"/>
        <v>0.10384057971014493</v>
      </c>
      <c r="D127" s="76">
        <f t="shared" si="238"/>
        <v>0.12607205240174674</v>
      </c>
      <c r="E127" s="76">
        <f t="shared" si="238"/>
        <v>0.19214183891660727</v>
      </c>
      <c r="F127" s="76">
        <f t="shared" si="238"/>
        <v>0.13301110699740837</v>
      </c>
      <c r="G127" s="54">
        <f t="shared" si="238"/>
        <v>0.1390339536995007</v>
      </c>
      <c r="H127" s="76">
        <f t="shared" si="238"/>
        <v>0.14674453600859907</v>
      </c>
      <c r="I127" s="76">
        <f t="shared" si="238"/>
        <v>0.13269080779944289</v>
      </c>
      <c r="J127" s="76">
        <f t="shared" si="238"/>
        <v>0.13132694938440492</v>
      </c>
      <c r="K127" s="76">
        <f t="shared" si="238"/>
        <v>0.12290177353342428</v>
      </c>
      <c r="L127" s="54">
        <f t="shared" si="238"/>
        <v>0.13325809532077437</v>
      </c>
      <c r="M127" s="76">
        <f t="shared" si="238"/>
        <v>0.12658662092624356</v>
      </c>
      <c r="N127" s="76">
        <f t="shared" si="238"/>
        <v>0.13284132841328414</v>
      </c>
      <c r="O127" s="76">
        <f t="shared" si="238"/>
        <v>0.12396966699637323</v>
      </c>
      <c r="P127" s="76">
        <f t="shared" si="238"/>
        <v>0.15729234793982996</v>
      </c>
      <c r="Q127" s="54">
        <f t="shared" si="238"/>
        <v>0.13531325602736297</v>
      </c>
      <c r="R127" s="76">
        <f t="shared" si="238"/>
        <v>0.17164435290078955</v>
      </c>
      <c r="S127" s="76">
        <f t="shared" si="238"/>
        <v>0.15727618389215348</v>
      </c>
      <c r="T127" s="76">
        <f t="shared" si="238"/>
        <v>0.16420980459376072</v>
      </c>
      <c r="U127" s="76">
        <f t="shared" si="238"/>
        <v>0.1769811320754717</v>
      </c>
      <c r="V127" s="54">
        <f t="shared" si="238"/>
        <v>0.16732612327442187</v>
      </c>
      <c r="W127" s="76">
        <f t="shared" si="238"/>
        <v>0.16788321167883211</v>
      </c>
      <c r="X127" s="76">
        <f t="shared" si="238"/>
        <v>0.14720616570327552</v>
      </c>
      <c r="Y127" s="76">
        <f t="shared" si="238"/>
        <v>0.14715316760224539</v>
      </c>
      <c r="Z127" s="76">
        <f t="shared" si="238"/>
        <v>0.1351572070232748</v>
      </c>
      <c r="AA127" s="54">
        <f t="shared" si="238"/>
        <v>0.14983459817085035</v>
      </c>
      <c r="AB127" s="76">
        <f t="shared" si="238"/>
        <v>0.12016632016632017</v>
      </c>
      <c r="AC127" s="76">
        <f t="shared" si="238"/>
        <v>0.12803062526584433</v>
      </c>
      <c r="AD127" s="76">
        <f t="shared" si="238"/>
        <v>0.13344453711426188</v>
      </c>
      <c r="AE127" s="76">
        <f t="shared" si="238"/>
        <v>0.13200498132004981</v>
      </c>
      <c r="AF127" s="54">
        <f t="shared" si="238"/>
        <v>0.1284115863222838</v>
      </c>
      <c r="AG127" s="76">
        <f t="shared" si="238"/>
        <v>0.13630463003028992</v>
      </c>
      <c r="AH127" s="76">
        <f t="shared" ref="AH127:AY127" si="239">AH91/AH9</f>
        <v>0.14355555555555555</v>
      </c>
      <c r="AI127" s="76">
        <f t="shared" si="239"/>
        <v>0.1442652329749104</v>
      </c>
      <c r="AJ127" s="76">
        <f t="shared" si="239"/>
        <v>0.13925729442970822</v>
      </c>
      <c r="AK127" s="54">
        <f t="shared" si="239"/>
        <v>0.14080618442849255</v>
      </c>
      <c r="AL127" s="76">
        <f t="shared" si="239"/>
        <v>0.16927322907083717</v>
      </c>
      <c r="AM127" s="76">
        <f t="shared" si="239"/>
        <v>0.19631194775259317</v>
      </c>
      <c r="AN127" s="76">
        <f t="shared" si="239"/>
        <v>0.16410453497309763</v>
      </c>
      <c r="AO127" s="76">
        <f t="shared" si="239"/>
        <v>0.12624712202609362</v>
      </c>
      <c r="AP127" s="54">
        <f t="shared" si="239"/>
        <v>0.16374561842764146</v>
      </c>
      <c r="AQ127" s="76">
        <f t="shared" si="239"/>
        <v>0.13481828839390386</v>
      </c>
      <c r="AR127" s="76">
        <f t="shared" si="239"/>
        <v>0.15412186379928317</v>
      </c>
      <c r="AS127" s="76">
        <f t="shared" si="239"/>
        <v>0.13904382470119522</v>
      </c>
      <c r="AT127" s="76">
        <f t="shared" si="239"/>
        <v>0.13378594249201278</v>
      </c>
      <c r="AU127" s="54">
        <f t="shared" si="239"/>
        <v>0.14042046806822689</v>
      </c>
      <c r="AV127" s="76">
        <f t="shared" si="239"/>
        <v>0.15491235222176927</v>
      </c>
      <c r="AW127" s="76">
        <f t="shared" si="239"/>
        <v>0.16483962647178238</v>
      </c>
      <c r="AX127" s="76">
        <f t="shared" si="239"/>
        <v>0.14616977225672878</v>
      </c>
      <c r="AY127" s="76">
        <f t="shared" si="239"/>
        <v>0.15907241659886087</v>
      </c>
      <c r="AZ127" s="54">
        <v>0.15629788538155073</v>
      </c>
      <c r="BA127" s="76">
        <v>0.15586615840745446</v>
      </c>
      <c r="BB127" s="76">
        <v>0.22760394342048865</v>
      </c>
      <c r="BC127" s="76">
        <v>0.17905258583224684</v>
      </c>
      <c r="BD127" s="76">
        <v>0.17884780739466896</v>
      </c>
      <c r="BE127" s="54">
        <v>0.18528054929728571</v>
      </c>
      <c r="BF127" s="76">
        <v>0.16533687943262412</v>
      </c>
      <c r="BG127" s="76">
        <v>0.23606115107913669</v>
      </c>
      <c r="BH127" s="76">
        <v>0.14641744548286603</v>
      </c>
      <c r="BI127" s="76">
        <v>0.14713896457765668</v>
      </c>
      <c r="BJ127" s="54">
        <v>0.17370366222421324</v>
      </c>
      <c r="BK127" s="76">
        <v>0.1545496113397348</v>
      </c>
    </row>
    <row r="128" spans="1:63" s="35" customFormat="1" ht="11.25" customHeight="1">
      <c r="AZ128" s="167"/>
      <c r="BE128" s="167"/>
      <c r="BJ128" s="167"/>
    </row>
    <row r="129" spans="1:63">
      <c r="A129" s="49" t="s">
        <v>343</v>
      </c>
      <c r="B129" s="40"/>
      <c r="C129" s="50"/>
      <c r="D129" s="50"/>
      <c r="E129" s="50"/>
      <c r="F129" s="50"/>
      <c r="G129" s="40"/>
      <c r="H129" s="50"/>
      <c r="I129" s="50"/>
      <c r="J129" s="50"/>
      <c r="K129" s="50"/>
      <c r="L129" s="40"/>
      <c r="M129" s="50"/>
      <c r="N129" s="50"/>
      <c r="O129" s="50"/>
      <c r="P129" s="50"/>
      <c r="Q129" s="40"/>
      <c r="R129" s="50"/>
      <c r="S129" s="50"/>
      <c r="T129" s="50"/>
      <c r="U129" s="50"/>
      <c r="V129" s="40"/>
      <c r="W129" s="50"/>
      <c r="X129" s="50"/>
      <c r="Y129" s="50"/>
      <c r="Z129" s="50"/>
      <c r="AA129" s="40"/>
      <c r="AB129" s="50"/>
      <c r="AC129" s="50"/>
      <c r="AD129" s="50"/>
      <c r="AE129" s="50"/>
      <c r="AF129" s="40"/>
      <c r="AG129" s="50"/>
      <c r="AH129" s="50"/>
      <c r="AI129" s="50"/>
      <c r="AJ129" s="50"/>
      <c r="AK129" s="40"/>
      <c r="AL129" s="50"/>
      <c r="AM129" s="50"/>
      <c r="AN129" s="50"/>
      <c r="AO129" s="50"/>
      <c r="AP129" s="40"/>
      <c r="AQ129" s="50"/>
      <c r="AR129" s="50"/>
      <c r="AS129" s="50"/>
      <c r="AT129" s="50"/>
      <c r="AU129" s="40"/>
      <c r="AV129" s="50"/>
      <c r="AW129" s="50"/>
      <c r="AX129" s="50"/>
      <c r="AY129" s="50"/>
      <c r="AZ129" s="40"/>
      <c r="BA129" s="50"/>
      <c r="BB129" s="50"/>
      <c r="BC129" s="50"/>
      <c r="BD129" s="50"/>
      <c r="BE129" s="40"/>
      <c r="BF129" s="50"/>
      <c r="BG129" s="50"/>
      <c r="BH129" s="50"/>
      <c r="BI129" s="50"/>
      <c r="BJ129" s="40"/>
      <c r="BK129" s="50"/>
    </row>
    <row r="130" spans="1:63">
      <c r="A130" s="67" t="s">
        <v>240</v>
      </c>
      <c r="B130" s="54"/>
      <c r="C130" s="76"/>
      <c r="D130" s="76"/>
      <c r="E130" s="76"/>
      <c r="F130" s="76"/>
      <c r="G130" s="54"/>
      <c r="H130" s="76"/>
      <c r="I130" s="76"/>
      <c r="J130" s="76"/>
      <c r="K130" s="76"/>
      <c r="L130" s="54"/>
      <c r="M130" s="76"/>
      <c r="N130" s="76"/>
      <c r="O130" s="76"/>
      <c r="P130" s="76"/>
      <c r="Q130" s="54"/>
      <c r="R130" s="76"/>
      <c r="S130" s="76"/>
      <c r="T130" s="76"/>
      <c r="U130" s="76"/>
      <c r="V130" s="54"/>
      <c r="W130" s="76"/>
      <c r="X130" s="76"/>
      <c r="Y130" s="76"/>
      <c r="Z130" s="76"/>
      <c r="AA130" s="54"/>
      <c r="AB130" s="76"/>
      <c r="AC130" s="76"/>
      <c r="AD130" s="76"/>
      <c r="AE130" s="76"/>
      <c r="AF130" s="54"/>
      <c r="AG130" s="76"/>
      <c r="AH130" s="76"/>
      <c r="AI130" s="76"/>
      <c r="AJ130" s="76"/>
      <c r="AK130" s="54"/>
      <c r="AL130" s="76"/>
      <c r="AM130" s="76"/>
      <c r="AN130" s="76"/>
      <c r="AO130" s="76"/>
      <c r="AP130" s="54"/>
      <c r="AQ130" s="76"/>
      <c r="AR130" s="76"/>
      <c r="AS130" s="76"/>
      <c r="AT130" s="76"/>
      <c r="AU130" s="54"/>
      <c r="AV130" s="76"/>
      <c r="AW130" s="76"/>
      <c r="AX130" s="76"/>
      <c r="AY130" s="76"/>
      <c r="AZ130" s="167">
        <v>3825</v>
      </c>
      <c r="BA130" s="183">
        <v>987</v>
      </c>
      <c r="BB130" s="183">
        <v>908</v>
      </c>
      <c r="BC130" s="183">
        <v>976</v>
      </c>
      <c r="BD130" s="183">
        <v>-1230</v>
      </c>
      <c r="BE130" s="167">
        <v>1641</v>
      </c>
      <c r="BF130" s="183">
        <v>977</v>
      </c>
      <c r="BG130" s="183">
        <v>384</v>
      </c>
      <c r="BH130" s="183">
        <v>940</v>
      </c>
      <c r="BI130" s="183">
        <v>600</v>
      </c>
      <c r="BJ130" s="167">
        <v>2901</v>
      </c>
      <c r="BK130" s="183">
        <v>918</v>
      </c>
    </row>
    <row r="131" spans="1:63" s="35" customFormat="1" ht="12.95" customHeight="1">
      <c r="A131" s="67" t="s">
        <v>255</v>
      </c>
      <c r="B131" s="54"/>
      <c r="C131" s="76"/>
      <c r="D131" s="76"/>
      <c r="E131" s="76"/>
      <c r="F131" s="76"/>
      <c r="G131" s="54"/>
      <c r="H131" s="76"/>
      <c r="I131" s="76"/>
      <c r="J131" s="76"/>
      <c r="K131" s="76"/>
      <c r="L131" s="54"/>
      <c r="M131" s="76"/>
      <c r="N131" s="76"/>
      <c r="O131" s="76"/>
      <c r="P131" s="76"/>
      <c r="Q131" s="54"/>
      <c r="R131" s="76"/>
      <c r="S131" s="76"/>
      <c r="T131" s="76"/>
      <c r="U131" s="76"/>
      <c r="V131" s="54"/>
      <c r="W131" s="76"/>
      <c r="X131" s="76"/>
      <c r="Y131" s="76"/>
      <c r="Z131" s="76"/>
      <c r="AA131" s="54"/>
      <c r="AB131" s="76"/>
      <c r="AC131" s="76"/>
      <c r="AD131" s="76"/>
      <c r="AE131" s="76"/>
      <c r="AF131" s="54"/>
      <c r="AG131" s="76"/>
      <c r="AH131" s="76"/>
      <c r="AI131" s="76"/>
      <c r="AJ131" s="76"/>
      <c r="AK131" s="54"/>
      <c r="AL131" s="76"/>
      <c r="AM131" s="76"/>
      <c r="AN131" s="76"/>
      <c r="AO131" s="76"/>
      <c r="AP131" s="54"/>
      <c r="AQ131" s="76"/>
      <c r="AR131" s="76"/>
      <c r="AS131" s="76"/>
      <c r="AT131" s="76"/>
      <c r="AU131" s="54"/>
      <c r="AV131" s="76"/>
      <c r="AW131" s="76"/>
      <c r="AX131" s="76"/>
      <c r="AY131" s="76"/>
      <c r="AZ131" s="167">
        <v>-19</v>
      </c>
      <c r="BA131" s="183">
        <v>23</v>
      </c>
      <c r="BB131" s="183">
        <v>84</v>
      </c>
      <c r="BC131" s="183">
        <v>6</v>
      </c>
      <c r="BD131" s="183">
        <v>521</v>
      </c>
      <c r="BE131" s="167">
        <v>634</v>
      </c>
      <c r="BF131" s="183">
        <v>-25</v>
      </c>
      <c r="BG131" s="183">
        <v>-414</v>
      </c>
      <c r="BH131" s="183">
        <v>39</v>
      </c>
      <c r="BI131" s="183">
        <v>179</v>
      </c>
      <c r="BJ131" s="167">
        <v>-221</v>
      </c>
      <c r="BK131" s="183">
        <v>-3</v>
      </c>
    </row>
    <row r="132" spans="1:63" s="35" customFormat="1" ht="12.95" customHeight="1">
      <c r="A132" s="67" t="s">
        <v>233</v>
      </c>
      <c r="B132" s="54"/>
      <c r="C132" s="76"/>
      <c r="D132" s="76"/>
      <c r="E132" s="76"/>
      <c r="F132" s="76"/>
      <c r="G132" s="54"/>
      <c r="H132" s="76"/>
      <c r="I132" s="76"/>
      <c r="J132" s="76"/>
      <c r="K132" s="76"/>
      <c r="L132" s="54"/>
      <c r="M132" s="76"/>
      <c r="N132" s="76"/>
      <c r="O132" s="76"/>
      <c r="P132" s="76"/>
      <c r="Q132" s="54"/>
      <c r="R132" s="76"/>
      <c r="S132" s="76"/>
      <c r="T132" s="76"/>
      <c r="U132" s="76"/>
      <c r="V132" s="54"/>
      <c r="W132" s="76"/>
      <c r="X132" s="76"/>
      <c r="Y132" s="76"/>
      <c r="Z132" s="76"/>
      <c r="AA132" s="54"/>
      <c r="AB132" s="76"/>
      <c r="AC132" s="76"/>
      <c r="AD132" s="76"/>
      <c r="AE132" s="76"/>
      <c r="AF132" s="54"/>
      <c r="AG132" s="76"/>
      <c r="AH132" s="76"/>
      <c r="AI132" s="76"/>
      <c r="AJ132" s="76"/>
      <c r="AK132" s="54"/>
      <c r="AL132" s="76"/>
      <c r="AM132" s="76"/>
      <c r="AN132" s="76"/>
      <c r="AO132" s="76"/>
      <c r="AP132" s="54"/>
      <c r="AQ132" s="76"/>
      <c r="AR132" s="76"/>
      <c r="AS132" s="76"/>
      <c r="AT132" s="76"/>
      <c r="AU132" s="54"/>
      <c r="AV132" s="76"/>
      <c r="AW132" s="76"/>
      <c r="AX132" s="76"/>
      <c r="AY132" s="76"/>
      <c r="AZ132" s="263">
        <v>87</v>
      </c>
      <c r="BA132" s="182" t="s">
        <v>138</v>
      </c>
      <c r="BB132" s="182" t="s">
        <v>138</v>
      </c>
      <c r="BC132" s="265">
        <v>10</v>
      </c>
      <c r="BD132" s="265">
        <v>1665</v>
      </c>
      <c r="BE132" s="263">
        <v>1675</v>
      </c>
      <c r="BF132" s="182" t="s">
        <v>138</v>
      </c>
      <c r="BG132" s="265">
        <v>951</v>
      </c>
      <c r="BH132" s="182" t="s">
        <v>138</v>
      </c>
      <c r="BI132" s="182">
        <v>102</v>
      </c>
      <c r="BJ132" s="263">
        <v>1053</v>
      </c>
      <c r="BK132" s="182" t="s">
        <v>138</v>
      </c>
    </row>
    <row r="133" spans="1:63" s="35" customFormat="1" ht="12.95" customHeight="1">
      <c r="A133" s="67" t="s">
        <v>338</v>
      </c>
      <c r="B133" s="54"/>
      <c r="C133" s="76"/>
      <c r="D133" s="76"/>
      <c r="E133" s="76"/>
      <c r="F133" s="76"/>
      <c r="G133" s="54"/>
      <c r="H133" s="76"/>
      <c r="I133" s="76"/>
      <c r="J133" s="76"/>
      <c r="K133" s="76"/>
      <c r="L133" s="54"/>
      <c r="M133" s="76"/>
      <c r="N133" s="76"/>
      <c r="O133" s="76"/>
      <c r="P133" s="76"/>
      <c r="Q133" s="54"/>
      <c r="R133" s="76"/>
      <c r="S133" s="76"/>
      <c r="T133" s="76"/>
      <c r="U133" s="76"/>
      <c r="V133" s="54"/>
      <c r="W133" s="76"/>
      <c r="X133" s="76"/>
      <c r="Y133" s="76"/>
      <c r="Z133" s="76"/>
      <c r="AA133" s="54"/>
      <c r="AB133" s="76"/>
      <c r="AC133" s="76"/>
      <c r="AD133" s="76"/>
      <c r="AE133" s="76"/>
      <c r="AF133" s="54"/>
      <c r="AG133" s="76"/>
      <c r="AH133" s="76"/>
      <c r="AI133" s="76"/>
      <c r="AJ133" s="76"/>
      <c r="AK133" s="54"/>
      <c r="AL133" s="76"/>
      <c r="AM133" s="76"/>
      <c r="AN133" s="76"/>
      <c r="AO133" s="76"/>
      <c r="AP133" s="54"/>
      <c r="AQ133" s="76"/>
      <c r="AR133" s="76"/>
      <c r="AS133" s="76"/>
      <c r="AT133" s="76"/>
      <c r="AU133" s="54"/>
      <c r="AV133" s="76"/>
      <c r="AW133" s="76"/>
      <c r="AX133" s="76"/>
      <c r="AY133" s="76"/>
      <c r="AZ133" s="264">
        <v>3893</v>
      </c>
      <c r="BA133" s="184">
        <v>1010</v>
      </c>
      <c r="BB133" s="184">
        <v>992</v>
      </c>
      <c r="BC133" s="184">
        <v>992</v>
      </c>
      <c r="BD133" s="184">
        <v>956</v>
      </c>
      <c r="BE133" s="264">
        <v>3950</v>
      </c>
      <c r="BF133" s="184">
        <v>952</v>
      </c>
      <c r="BG133" s="184">
        <v>921</v>
      </c>
      <c r="BH133" s="184">
        <v>979</v>
      </c>
      <c r="BI133" s="184">
        <v>881</v>
      </c>
      <c r="BJ133" s="264">
        <v>3733</v>
      </c>
      <c r="BK133" s="184">
        <v>915</v>
      </c>
    </row>
    <row r="134" spans="1:63" s="35" customFormat="1" ht="12.95" customHeight="1">
      <c r="A134" s="67"/>
      <c r="B134" s="54"/>
      <c r="C134" s="76"/>
      <c r="D134" s="76"/>
      <c r="E134" s="76"/>
      <c r="F134" s="76"/>
      <c r="G134" s="54"/>
      <c r="H134" s="76"/>
      <c r="I134" s="76"/>
      <c r="J134" s="76"/>
      <c r="K134" s="76"/>
      <c r="L134" s="54"/>
      <c r="M134" s="76"/>
      <c r="N134" s="76"/>
      <c r="O134" s="76"/>
      <c r="P134" s="76"/>
      <c r="Q134" s="54"/>
      <c r="R134" s="76"/>
      <c r="S134" s="76"/>
      <c r="T134" s="76"/>
      <c r="U134" s="76"/>
      <c r="V134" s="54"/>
      <c r="W134" s="76"/>
      <c r="X134" s="76"/>
      <c r="Y134" s="76"/>
      <c r="Z134" s="76"/>
      <c r="AA134" s="54"/>
      <c r="AB134" s="76"/>
      <c r="AC134" s="76"/>
      <c r="AD134" s="76"/>
      <c r="AE134" s="76"/>
      <c r="AF134" s="54"/>
      <c r="AG134" s="76"/>
      <c r="AH134" s="76"/>
      <c r="AI134" s="76"/>
      <c r="AJ134" s="76"/>
      <c r="AK134" s="54"/>
      <c r="AL134" s="76"/>
      <c r="AM134" s="76"/>
      <c r="AN134" s="76"/>
      <c r="AO134" s="76"/>
      <c r="AP134" s="54"/>
      <c r="AQ134" s="76"/>
      <c r="AR134" s="76"/>
      <c r="AS134" s="76"/>
      <c r="AT134" s="76"/>
      <c r="AU134" s="54"/>
      <c r="AV134" s="76"/>
      <c r="AW134" s="76"/>
      <c r="AX134" s="76"/>
      <c r="AY134" s="76"/>
      <c r="AZ134" s="167"/>
      <c r="BA134" s="183"/>
      <c r="BB134" s="183"/>
      <c r="BC134" s="183"/>
      <c r="BD134" s="183"/>
      <c r="BE134" s="167"/>
      <c r="BF134" s="183"/>
      <c r="BG134" s="183"/>
      <c r="BH134" s="183"/>
      <c r="BI134" s="183"/>
      <c r="BJ134" s="167"/>
      <c r="BK134" s="183"/>
    </row>
    <row r="135" spans="1:63" s="35" customFormat="1" ht="12.95" customHeight="1">
      <c r="A135" s="67" t="s">
        <v>356</v>
      </c>
      <c r="B135" s="54"/>
      <c r="C135" s="76"/>
      <c r="D135" s="76"/>
      <c r="E135" s="76"/>
      <c r="F135" s="76"/>
      <c r="G135" s="54"/>
      <c r="H135" s="76"/>
      <c r="I135" s="76"/>
      <c r="J135" s="76"/>
      <c r="K135" s="76"/>
      <c r="L135" s="54"/>
      <c r="M135" s="76"/>
      <c r="N135" s="76"/>
      <c r="O135" s="76"/>
      <c r="P135" s="76"/>
      <c r="Q135" s="54"/>
      <c r="R135" s="76"/>
      <c r="S135" s="76"/>
      <c r="T135" s="76"/>
      <c r="U135" s="76"/>
      <c r="V135" s="54"/>
      <c r="W135" s="76"/>
      <c r="X135" s="76"/>
      <c r="Y135" s="76"/>
      <c r="Z135" s="76"/>
      <c r="AA135" s="54"/>
      <c r="AB135" s="76"/>
      <c r="AC135" s="76"/>
      <c r="AD135" s="76"/>
      <c r="AE135" s="76"/>
      <c r="AF135" s="54"/>
      <c r="AG135" s="76"/>
      <c r="AH135" s="76"/>
      <c r="AI135" s="76"/>
      <c r="AJ135" s="76"/>
      <c r="AK135" s="54"/>
      <c r="AL135" s="76"/>
      <c r="AM135" s="76"/>
      <c r="AN135" s="76"/>
      <c r="AO135" s="76"/>
      <c r="AP135" s="54"/>
      <c r="AQ135" s="76"/>
      <c r="AR135" s="76"/>
      <c r="AS135" s="76"/>
      <c r="AT135" s="76"/>
      <c r="AU135" s="54"/>
      <c r="AV135" s="76"/>
      <c r="AW135" s="76"/>
      <c r="AX135" s="76"/>
      <c r="AY135" s="76"/>
      <c r="AZ135" s="167">
        <v>1235</v>
      </c>
      <c r="BA135" s="183">
        <v>260</v>
      </c>
      <c r="BB135" s="183">
        <v>195</v>
      </c>
      <c r="BC135" s="183">
        <v>234</v>
      </c>
      <c r="BD135" s="183">
        <v>-1755</v>
      </c>
      <c r="BE135" s="167">
        <v>-1066</v>
      </c>
      <c r="BF135" s="183">
        <v>300</v>
      </c>
      <c r="BG135" s="183">
        <v>-1573</v>
      </c>
      <c r="BH135" s="183">
        <v>191</v>
      </c>
      <c r="BI135" s="183">
        <v>-5</v>
      </c>
      <c r="BJ135" s="167">
        <v>-1087</v>
      </c>
      <c r="BK135" s="183">
        <v>332</v>
      </c>
    </row>
    <row r="136" spans="1:63" s="35" customFormat="1" ht="12.95" customHeight="1">
      <c r="A136" s="67" t="s">
        <v>341</v>
      </c>
      <c r="B136" s="54"/>
      <c r="C136" s="76"/>
      <c r="D136" s="76"/>
      <c r="E136" s="76"/>
      <c r="F136" s="76"/>
      <c r="G136" s="54"/>
      <c r="H136" s="76"/>
      <c r="I136" s="76"/>
      <c r="J136" s="76"/>
      <c r="K136" s="76"/>
      <c r="L136" s="54"/>
      <c r="M136" s="76"/>
      <c r="N136" s="76"/>
      <c r="O136" s="76"/>
      <c r="P136" s="76"/>
      <c r="Q136" s="54"/>
      <c r="R136" s="76"/>
      <c r="S136" s="76"/>
      <c r="T136" s="76"/>
      <c r="U136" s="76"/>
      <c r="V136" s="54"/>
      <c r="W136" s="76"/>
      <c r="X136" s="76"/>
      <c r="Y136" s="76"/>
      <c r="Z136" s="76"/>
      <c r="AA136" s="54"/>
      <c r="AB136" s="76"/>
      <c r="AC136" s="76"/>
      <c r="AD136" s="76"/>
      <c r="AE136" s="76"/>
      <c r="AF136" s="54"/>
      <c r="AG136" s="76"/>
      <c r="AH136" s="76"/>
      <c r="AI136" s="76"/>
      <c r="AJ136" s="76"/>
      <c r="AK136" s="54"/>
      <c r="AL136" s="76"/>
      <c r="AM136" s="76"/>
      <c r="AN136" s="76"/>
      <c r="AO136" s="76"/>
      <c r="AP136" s="54"/>
      <c r="AQ136" s="76"/>
      <c r="AR136" s="76"/>
      <c r="AS136" s="76"/>
      <c r="AT136" s="76"/>
      <c r="AU136" s="54"/>
      <c r="AV136" s="76"/>
      <c r="AW136" s="76"/>
      <c r="AX136" s="76"/>
      <c r="AY136" s="76"/>
      <c r="AZ136" s="167">
        <v>-14.44</v>
      </c>
      <c r="BA136" s="183">
        <v>17.71</v>
      </c>
      <c r="BB136" s="183">
        <v>64.680000000000007</v>
      </c>
      <c r="BC136" s="183">
        <v>4.62</v>
      </c>
      <c r="BD136" s="183">
        <v>401.17</v>
      </c>
      <c r="BE136" s="167">
        <v>488.18</v>
      </c>
      <c r="BF136" s="183">
        <v>-8.8999999999999986</v>
      </c>
      <c r="BG136" s="183">
        <v>-318.78000000000003</v>
      </c>
      <c r="BH136" s="183">
        <v>30.03</v>
      </c>
      <c r="BI136" s="183">
        <v>137.83000000000004</v>
      </c>
      <c r="BJ136" s="167">
        <v>-159.82</v>
      </c>
      <c r="BK136" s="183">
        <v>-2.31</v>
      </c>
    </row>
    <row r="137" spans="1:63" s="35" customFormat="1" ht="12.95" customHeight="1">
      <c r="A137" s="35" t="s">
        <v>358</v>
      </c>
      <c r="AZ137" s="167">
        <v>87</v>
      </c>
      <c r="BA137" s="182" t="s">
        <v>138</v>
      </c>
      <c r="BB137" s="182" t="s">
        <v>138</v>
      </c>
      <c r="BC137" s="183">
        <v>10</v>
      </c>
      <c r="BD137" s="183">
        <v>1551</v>
      </c>
      <c r="BE137" s="167">
        <v>1561</v>
      </c>
      <c r="BF137" s="182" t="s">
        <v>138</v>
      </c>
      <c r="BG137" s="182" t="s">
        <v>138</v>
      </c>
      <c r="BH137" s="182" t="s">
        <v>138</v>
      </c>
      <c r="BI137" s="182" t="s">
        <v>138</v>
      </c>
      <c r="BJ137" s="61" t="s">
        <v>138</v>
      </c>
      <c r="BK137" s="182" t="s">
        <v>138</v>
      </c>
    </row>
    <row r="138" spans="1:63" s="35" customFormat="1" ht="12.95" customHeight="1">
      <c r="A138" s="67" t="s">
        <v>351</v>
      </c>
      <c r="B138" s="54"/>
      <c r="C138" s="76"/>
      <c r="D138" s="76"/>
      <c r="E138" s="76"/>
      <c r="F138" s="76"/>
      <c r="G138" s="54"/>
      <c r="H138" s="76"/>
      <c r="I138" s="76"/>
      <c r="J138" s="76"/>
      <c r="K138" s="76"/>
      <c r="L138" s="54"/>
      <c r="M138" s="76"/>
      <c r="N138" s="76"/>
      <c r="O138" s="76"/>
      <c r="P138" s="76"/>
      <c r="Q138" s="54"/>
      <c r="R138" s="76"/>
      <c r="S138" s="76"/>
      <c r="T138" s="76"/>
      <c r="U138" s="76"/>
      <c r="V138" s="54"/>
      <c r="W138" s="76"/>
      <c r="X138" s="76"/>
      <c r="Y138" s="76"/>
      <c r="Z138" s="76"/>
      <c r="AA138" s="54"/>
      <c r="AB138" s="76"/>
      <c r="AC138" s="76"/>
      <c r="AD138" s="76"/>
      <c r="AE138" s="76"/>
      <c r="AF138" s="54"/>
      <c r="AG138" s="76"/>
      <c r="AH138" s="76"/>
      <c r="AI138" s="76"/>
      <c r="AJ138" s="76"/>
      <c r="AK138" s="54"/>
      <c r="AL138" s="76"/>
      <c r="AM138" s="76"/>
      <c r="AN138" s="76"/>
      <c r="AO138" s="76"/>
      <c r="AP138" s="54"/>
      <c r="AQ138" s="76"/>
      <c r="AR138" s="76"/>
      <c r="AS138" s="76"/>
      <c r="AT138" s="76"/>
      <c r="AU138" s="54"/>
      <c r="AV138" s="76"/>
      <c r="AW138" s="76"/>
      <c r="AX138" s="76"/>
      <c r="AY138" s="76"/>
      <c r="AZ138" s="61" t="s">
        <v>138</v>
      </c>
      <c r="BA138" s="182" t="s">
        <v>138</v>
      </c>
      <c r="BB138" s="182" t="s">
        <v>138</v>
      </c>
      <c r="BC138" s="182" t="s">
        <v>138</v>
      </c>
      <c r="BD138" s="182" t="s">
        <v>138</v>
      </c>
      <c r="BE138" s="61" t="s">
        <v>138</v>
      </c>
      <c r="BF138" s="182" t="s">
        <v>138</v>
      </c>
      <c r="BG138" s="183">
        <v>951</v>
      </c>
      <c r="BH138" s="182" t="s">
        <v>138</v>
      </c>
      <c r="BI138" s="182" t="s">
        <v>138</v>
      </c>
      <c r="BJ138" s="167">
        <v>951</v>
      </c>
      <c r="BK138" s="182" t="s">
        <v>138</v>
      </c>
    </row>
    <row r="139" spans="1:63" s="35" customFormat="1" ht="12" customHeight="1">
      <c r="A139" s="87" t="s">
        <v>357</v>
      </c>
      <c r="AZ139" s="61" t="s">
        <v>138</v>
      </c>
      <c r="BA139" s="182" t="s">
        <v>138</v>
      </c>
      <c r="BB139" s="182" t="s">
        <v>138</v>
      </c>
      <c r="BC139" s="182" t="s">
        <v>138</v>
      </c>
      <c r="BD139" s="182" t="s">
        <v>138</v>
      </c>
      <c r="BE139" s="61" t="s">
        <v>138</v>
      </c>
      <c r="BF139" s="182" t="s">
        <v>138</v>
      </c>
      <c r="BG139" s="182" t="s">
        <v>138</v>
      </c>
      <c r="BH139" s="182" t="s">
        <v>138</v>
      </c>
      <c r="BI139" s="182">
        <v>80</v>
      </c>
      <c r="BJ139" s="167">
        <v>80</v>
      </c>
      <c r="BK139" s="182" t="s">
        <v>138</v>
      </c>
    </row>
    <row r="140" spans="1:63" s="35" customFormat="1" ht="12.95" customHeight="1">
      <c r="A140" s="67" t="s">
        <v>339</v>
      </c>
      <c r="B140" s="54"/>
      <c r="C140" s="76"/>
      <c r="D140" s="76"/>
      <c r="E140" s="76"/>
      <c r="F140" s="76"/>
      <c r="G140" s="54"/>
      <c r="H140" s="76"/>
      <c r="I140" s="76"/>
      <c r="J140" s="76"/>
      <c r="K140" s="76"/>
      <c r="L140" s="54"/>
      <c r="M140" s="76"/>
      <c r="N140" s="76"/>
      <c r="O140" s="76"/>
      <c r="P140" s="76"/>
      <c r="Q140" s="54"/>
      <c r="R140" s="76"/>
      <c r="S140" s="76"/>
      <c r="T140" s="76"/>
      <c r="U140" s="76"/>
      <c r="V140" s="54"/>
      <c r="W140" s="76"/>
      <c r="X140" s="76"/>
      <c r="Y140" s="76"/>
      <c r="Z140" s="76"/>
      <c r="AA140" s="54"/>
      <c r="AB140" s="76"/>
      <c r="AC140" s="76"/>
      <c r="AD140" s="76"/>
      <c r="AE140" s="76"/>
      <c r="AF140" s="54"/>
      <c r="AG140" s="76"/>
      <c r="AH140" s="76"/>
      <c r="AI140" s="76"/>
      <c r="AJ140" s="76"/>
      <c r="AK140" s="54"/>
      <c r="AL140" s="76"/>
      <c r="AM140" s="76"/>
      <c r="AN140" s="76"/>
      <c r="AO140" s="76"/>
      <c r="AP140" s="54"/>
      <c r="AQ140" s="76"/>
      <c r="AR140" s="76"/>
      <c r="AS140" s="76"/>
      <c r="AT140" s="76"/>
      <c r="AU140" s="54"/>
      <c r="AV140" s="76"/>
      <c r="AW140" s="76"/>
      <c r="AX140" s="76"/>
      <c r="AY140" s="76"/>
      <c r="AZ140" s="61" t="s">
        <v>138</v>
      </c>
      <c r="BA140" s="182" t="s">
        <v>138</v>
      </c>
      <c r="BB140" s="182" t="s">
        <v>138</v>
      </c>
      <c r="BC140" s="182" t="s">
        <v>138</v>
      </c>
      <c r="BD140" s="182" t="s">
        <v>138</v>
      </c>
      <c r="BE140" s="61" t="s">
        <v>138</v>
      </c>
      <c r="BF140" s="182" t="s">
        <v>138</v>
      </c>
      <c r="BG140" s="183">
        <v>1166</v>
      </c>
      <c r="BH140" s="182" t="s">
        <v>138</v>
      </c>
      <c r="BI140" s="182" t="s">
        <v>138</v>
      </c>
      <c r="BJ140" s="167">
        <v>1166</v>
      </c>
      <c r="BK140" s="182" t="s">
        <v>138</v>
      </c>
    </row>
    <row r="141" spans="1:63" s="35" customFormat="1" ht="11.25" customHeight="1">
      <c r="A141" s="67" t="s">
        <v>340</v>
      </c>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264">
        <v>1307.56</v>
      </c>
      <c r="BA141" s="184">
        <v>277.70999999999998</v>
      </c>
      <c r="BB141" s="184">
        <v>259.68</v>
      </c>
      <c r="BC141" s="184">
        <v>248.62</v>
      </c>
      <c r="BD141" s="184">
        <v>197.17000000000007</v>
      </c>
      <c r="BE141" s="264">
        <v>983.18000000000006</v>
      </c>
      <c r="BF141" s="184">
        <v>291.10000000000002</v>
      </c>
      <c r="BG141" s="184">
        <v>225.22000000000003</v>
      </c>
      <c r="BH141" s="184">
        <v>221.03</v>
      </c>
      <c r="BI141" s="184">
        <v>212.83000000000004</v>
      </c>
      <c r="BJ141" s="264">
        <v>950.18000000000006</v>
      </c>
      <c r="BK141" s="184">
        <v>329.69</v>
      </c>
    </row>
    <row r="142" spans="1:63" ht="3" customHeight="1">
      <c r="A142" s="43"/>
      <c r="B142" s="43"/>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row>
    <row r="143" spans="1:63" ht="3" customHeight="1">
      <c r="A143" s="43"/>
      <c r="B143" s="43"/>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row>
    <row r="144" spans="1:63" ht="3" customHeight="1">
      <c r="A144" s="43"/>
      <c r="B144" s="43"/>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row>
    <row r="145" spans="1:63" ht="18" customHeight="1">
      <c r="A145" s="34" t="s">
        <v>92</v>
      </c>
      <c r="B145" s="34"/>
      <c r="C145" s="26"/>
      <c r="D145" s="26"/>
      <c r="E145" s="26"/>
      <c r="F145" s="26"/>
      <c r="G145" s="26"/>
      <c r="H145" s="26"/>
      <c r="I145" s="26"/>
      <c r="J145" s="26"/>
      <c r="K145" s="26"/>
      <c r="L145" s="26"/>
      <c r="M145" s="26"/>
      <c r="N145" s="26"/>
      <c r="O145" s="26"/>
      <c r="P145" s="26"/>
      <c r="Q145" s="26"/>
      <c r="R145" s="26"/>
      <c r="S145" s="26"/>
      <c r="T145" s="26"/>
      <c r="U145" s="20"/>
      <c r="V145" s="20"/>
      <c r="W145" s="26"/>
      <c r="X145" s="26"/>
      <c r="Y145" s="26"/>
      <c r="Z145" s="20"/>
      <c r="AA145" s="20"/>
      <c r="AB145" s="20"/>
      <c r="AC145" s="26"/>
      <c r="AD145" s="26"/>
      <c r="AE145" s="20"/>
      <c r="AF145" s="20"/>
      <c r="AG145" s="20"/>
      <c r="AH145" s="26"/>
      <c r="AI145" s="26"/>
      <c r="AJ145" s="20"/>
      <c r="AK145" s="20"/>
      <c r="AL145" s="20"/>
      <c r="AM145" s="26"/>
      <c r="AN145" s="26"/>
      <c r="AO145" s="20"/>
      <c r="AP145" s="20"/>
      <c r="AQ145" s="20"/>
      <c r="AR145" s="26"/>
      <c r="AS145" s="26"/>
      <c r="AT145" s="20"/>
      <c r="AU145" s="20"/>
      <c r="AV145" s="20"/>
      <c r="AW145" s="20"/>
      <c r="AX145" s="20"/>
      <c r="AY145" s="20"/>
      <c r="AZ145" s="20"/>
      <c r="BA145" s="20"/>
      <c r="BB145" s="20"/>
      <c r="BC145" s="20"/>
      <c r="BD145" s="20"/>
      <c r="BE145" s="20"/>
      <c r="BF145" s="20"/>
      <c r="BG145" s="20"/>
      <c r="BH145" s="20"/>
      <c r="BI145" s="20"/>
      <c r="BJ145" s="20"/>
      <c r="BK145" s="20"/>
    </row>
    <row r="146" spans="1:63" ht="15" customHeight="1">
      <c r="A146" s="39" t="s">
        <v>226</v>
      </c>
      <c r="B146" s="40"/>
      <c r="C146" s="48"/>
      <c r="D146" s="48"/>
      <c r="E146" s="48"/>
      <c r="F146" s="48"/>
      <c r="G146" s="40"/>
      <c r="H146" s="48"/>
      <c r="I146" s="48"/>
      <c r="J146" s="48"/>
      <c r="K146" s="48"/>
      <c r="L146" s="40"/>
      <c r="M146" s="48"/>
      <c r="N146" s="48"/>
      <c r="O146" s="48"/>
      <c r="P146" s="48"/>
      <c r="Q146" s="40"/>
      <c r="R146" s="48"/>
      <c r="S146" s="48"/>
      <c r="T146" s="48"/>
      <c r="U146" s="48"/>
      <c r="V146" s="40"/>
      <c r="W146" s="48"/>
      <c r="X146" s="48"/>
      <c r="Y146" s="48"/>
      <c r="Z146" s="48"/>
      <c r="AA146" s="40"/>
      <c r="AB146" s="48"/>
      <c r="AC146" s="48"/>
      <c r="AD146" s="48"/>
      <c r="AE146" s="48"/>
      <c r="AF146" s="40"/>
      <c r="AG146" s="48"/>
      <c r="AH146" s="48"/>
      <c r="AI146" s="48"/>
      <c r="AJ146" s="48"/>
      <c r="AK146" s="40"/>
      <c r="AL146" s="48"/>
      <c r="AM146" s="48"/>
      <c r="AN146" s="48"/>
      <c r="AO146" s="48"/>
      <c r="AP146" s="40"/>
      <c r="AQ146" s="48"/>
      <c r="AR146" s="48"/>
      <c r="AS146" s="48"/>
      <c r="AT146" s="48"/>
      <c r="AU146" s="40"/>
      <c r="AV146" s="48"/>
      <c r="AW146" s="48"/>
      <c r="AX146" s="48"/>
      <c r="AY146" s="48"/>
      <c r="AZ146" s="40"/>
      <c r="BA146" s="48"/>
      <c r="BB146" s="48"/>
      <c r="BC146" s="48"/>
      <c r="BD146" s="48"/>
      <c r="BE146" s="40"/>
      <c r="BF146" s="48"/>
      <c r="BG146" s="48"/>
      <c r="BH146" s="48"/>
      <c r="BI146" s="48"/>
      <c r="BJ146" s="40"/>
      <c r="BK146" s="48"/>
    </row>
    <row r="147" spans="1:63" ht="15" customHeight="1">
      <c r="A147" s="67" t="s">
        <v>197</v>
      </c>
      <c r="B147" s="119" t="s">
        <v>40</v>
      </c>
      <c r="C147" s="78" t="s">
        <v>48</v>
      </c>
      <c r="D147" s="78" t="s">
        <v>48</v>
      </c>
      <c r="E147" s="78" t="s">
        <v>48</v>
      </c>
      <c r="F147" s="78" t="s">
        <v>48</v>
      </c>
      <c r="G147" s="119" t="s">
        <v>40</v>
      </c>
      <c r="H147" s="78" t="s">
        <v>48</v>
      </c>
      <c r="I147" s="78" t="s">
        <v>48</v>
      </c>
      <c r="J147" s="78" t="s">
        <v>48</v>
      </c>
      <c r="K147" s="78" t="s">
        <v>48</v>
      </c>
      <c r="L147" s="119" t="s">
        <v>40</v>
      </c>
      <c r="M147" s="78" t="s">
        <v>48</v>
      </c>
      <c r="N147" s="78" t="s">
        <v>48</v>
      </c>
      <c r="O147" s="78" t="s">
        <v>48</v>
      </c>
      <c r="P147" s="78" t="s">
        <v>48</v>
      </c>
      <c r="Q147" s="119" t="s">
        <v>40</v>
      </c>
      <c r="R147" s="78" t="s">
        <v>48</v>
      </c>
      <c r="S147" s="78" t="s">
        <v>48</v>
      </c>
      <c r="T147" s="78" t="s">
        <v>48</v>
      </c>
      <c r="U147" s="78" t="s">
        <v>48</v>
      </c>
      <c r="V147" s="119" t="s">
        <v>40</v>
      </c>
      <c r="W147" s="78" t="s">
        <v>48</v>
      </c>
      <c r="X147" s="78" t="s">
        <v>48</v>
      </c>
      <c r="Y147" s="78" t="s">
        <v>48</v>
      </c>
      <c r="Z147" s="78" t="s">
        <v>48</v>
      </c>
      <c r="AA147" s="119" t="s">
        <v>40</v>
      </c>
      <c r="AB147" s="78" t="s">
        <v>48</v>
      </c>
      <c r="AC147" s="78" t="s">
        <v>48</v>
      </c>
      <c r="AD147" s="78" t="s">
        <v>48</v>
      </c>
      <c r="AE147" s="78" t="s">
        <v>48</v>
      </c>
      <c r="AF147" s="119" t="s">
        <v>40</v>
      </c>
      <c r="AG147" s="78" t="s">
        <v>48</v>
      </c>
      <c r="AH147" s="78" t="s">
        <v>48</v>
      </c>
      <c r="AI147" s="78" t="s">
        <v>48</v>
      </c>
      <c r="AJ147" s="78" t="s">
        <v>48</v>
      </c>
      <c r="AK147" s="119" t="s">
        <v>40</v>
      </c>
      <c r="AL147" s="78" t="s">
        <v>48</v>
      </c>
      <c r="AM147" s="78" t="s">
        <v>48</v>
      </c>
      <c r="AN147" s="78" t="s">
        <v>48</v>
      </c>
      <c r="AO147" s="78" t="s">
        <v>48</v>
      </c>
      <c r="AP147" s="167">
        <v>555</v>
      </c>
      <c r="AQ147" s="148">
        <v>1221</v>
      </c>
      <c r="AR147" s="148">
        <v>1338</v>
      </c>
      <c r="AS147" s="148">
        <v>938</v>
      </c>
      <c r="AT147" s="148">
        <v>648</v>
      </c>
      <c r="AU147" s="167">
        <v>648</v>
      </c>
      <c r="AV147" s="148">
        <v>792</v>
      </c>
      <c r="AW147" s="148">
        <v>1854</v>
      </c>
      <c r="AX147" s="148">
        <v>2471</v>
      </c>
      <c r="AY147" s="148">
        <v>2181</v>
      </c>
      <c r="AZ147" s="167">
        <v>2181</v>
      </c>
      <c r="BA147" s="148">
        <v>1826</v>
      </c>
      <c r="BB147" s="148">
        <v>923</v>
      </c>
      <c r="BC147" s="148">
        <v>1408</v>
      </c>
      <c r="BD147" s="148">
        <v>890</v>
      </c>
      <c r="BE147" s="167">
        <v>890</v>
      </c>
      <c r="BF147" s="148">
        <v>1265</v>
      </c>
      <c r="BG147" s="148">
        <v>971</v>
      </c>
      <c r="BH147" s="148">
        <v>639</v>
      </c>
      <c r="BI147" s="148">
        <v>400</v>
      </c>
      <c r="BJ147" s="167">
        <v>400</v>
      </c>
      <c r="BK147" s="148">
        <v>927</v>
      </c>
    </row>
    <row r="148" spans="1:63" ht="15" customHeight="1">
      <c r="A148" s="67" t="s">
        <v>198</v>
      </c>
      <c r="B148" s="119" t="s">
        <v>40</v>
      </c>
      <c r="C148" s="78" t="s">
        <v>48</v>
      </c>
      <c r="D148" s="78" t="s">
        <v>48</v>
      </c>
      <c r="E148" s="78" t="s">
        <v>48</v>
      </c>
      <c r="F148" s="78" t="s">
        <v>48</v>
      </c>
      <c r="G148" s="119" t="s">
        <v>40</v>
      </c>
      <c r="H148" s="78" t="s">
        <v>48</v>
      </c>
      <c r="I148" s="78" t="s">
        <v>48</v>
      </c>
      <c r="J148" s="78" t="s">
        <v>48</v>
      </c>
      <c r="K148" s="78" t="s">
        <v>48</v>
      </c>
      <c r="L148" s="119" t="s">
        <v>40</v>
      </c>
      <c r="M148" s="78" t="s">
        <v>48</v>
      </c>
      <c r="N148" s="78" t="s">
        <v>48</v>
      </c>
      <c r="O148" s="78" t="s">
        <v>48</v>
      </c>
      <c r="P148" s="78" t="s">
        <v>48</v>
      </c>
      <c r="Q148" s="119" t="s">
        <v>40</v>
      </c>
      <c r="R148" s="78" t="s">
        <v>48</v>
      </c>
      <c r="S148" s="78" t="s">
        <v>48</v>
      </c>
      <c r="T148" s="78" t="s">
        <v>48</v>
      </c>
      <c r="U148" s="78" t="s">
        <v>48</v>
      </c>
      <c r="V148" s="119" t="s">
        <v>40</v>
      </c>
      <c r="W148" s="78" t="s">
        <v>48</v>
      </c>
      <c r="X148" s="78" t="s">
        <v>48</v>
      </c>
      <c r="Y148" s="78" t="s">
        <v>48</v>
      </c>
      <c r="Z148" s="78" t="s">
        <v>48</v>
      </c>
      <c r="AA148" s="119" t="s">
        <v>40</v>
      </c>
      <c r="AB148" s="78" t="s">
        <v>48</v>
      </c>
      <c r="AC148" s="78" t="s">
        <v>48</v>
      </c>
      <c r="AD148" s="78" t="s">
        <v>48</v>
      </c>
      <c r="AE148" s="78" t="s">
        <v>48</v>
      </c>
      <c r="AF148" s="119" t="s">
        <v>40</v>
      </c>
      <c r="AG148" s="78" t="s">
        <v>48</v>
      </c>
      <c r="AH148" s="78" t="s">
        <v>48</v>
      </c>
      <c r="AI148" s="78" t="s">
        <v>48</v>
      </c>
      <c r="AJ148" s="78" t="s">
        <v>48</v>
      </c>
      <c r="AK148" s="119" t="s">
        <v>40</v>
      </c>
      <c r="AL148" s="78" t="s">
        <v>48</v>
      </c>
      <c r="AM148" s="78" t="s">
        <v>48</v>
      </c>
      <c r="AN148" s="78" t="s">
        <v>48</v>
      </c>
      <c r="AO148" s="78" t="s">
        <v>48</v>
      </c>
      <c r="AP148" s="167">
        <v>762</v>
      </c>
      <c r="AQ148" s="148">
        <v>556</v>
      </c>
      <c r="AR148" s="148">
        <v>912</v>
      </c>
      <c r="AS148" s="148">
        <v>908</v>
      </c>
      <c r="AT148" s="148">
        <v>586</v>
      </c>
      <c r="AU148" s="167">
        <v>586</v>
      </c>
      <c r="AV148" s="148">
        <v>578</v>
      </c>
      <c r="AW148" s="148">
        <v>19</v>
      </c>
      <c r="AX148" s="148">
        <v>94</v>
      </c>
      <c r="AY148" s="148">
        <v>289</v>
      </c>
      <c r="AZ148" s="167">
        <v>289</v>
      </c>
      <c r="BA148" s="148">
        <v>1390</v>
      </c>
      <c r="BB148" s="148">
        <v>1676</v>
      </c>
      <c r="BC148" s="148">
        <v>1517</v>
      </c>
      <c r="BD148" s="148">
        <v>1404</v>
      </c>
      <c r="BE148" s="167">
        <v>1404</v>
      </c>
      <c r="BF148" s="148">
        <v>1347</v>
      </c>
      <c r="BG148" s="148">
        <v>1944</v>
      </c>
      <c r="BH148" s="148">
        <v>1750</v>
      </c>
      <c r="BI148" s="148">
        <v>1195</v>
      </c>
      <c r="BJ148" s="167">
        <v>1195</v>
      </c>
      <c r="BK148" s="148">
        <v>1114</v>
      </c>
    </row>
    <row r="149" spans="1:63" ht="15" customHeight="1">
      <c r="A149" s="67" t="s">
        <v>199</v>
      </c>
      <c r="B149" s="119" t="s">
        <v>40</v>
      </c>
      <c r="C149" s="78" t="s">
        <v>48</v>
      </c>
      <c r="D149" s="78" t="s">
        <v>48</v>
      </c>
      <c r="E149" s="78" t="s">
        <v>48</v>
      </c>
      <c r="F149" s="78" t="s">
        <v>48</v>
      </c>
      <c r="G149" s="119" t="s">
        <v>40</v>
      </c>
      <c r="H149" s="78" t="s">
        <v>48</v>
      </c>
      <c r="I149" s="78" t="s">
        <v>48</v>
      </c>
      <c r="J149" s="78" t="s">
        <v>48</v>
      </c>
      <c r="K149" s="78" t="s">
        <v>48</v>
      </c>
      <c r="L149" s="119" t="s">
        <v>40</v>
      </c>
      <c r="M149" s="78" t="s">
        <v>48</v>
      </c>
      <c r="N149" s="78" t="s">
        <v>48</v>
      </c>
      <c r="O149" s="78" t="s">
        <v>48</v>
      </c>
      <c r="P149" s="78" t="s">
        <v>48</v>
      </c>
      <c r="Q149" s="119" t="s">
        <v>40</v>
      </c>
      <c r="R149" s="78" t="s">
        <v>48</v>
      </c>
      <c r="S149" s="78" t="s">
        <v>48</v>
      </c>
      <c r="T149" s="78" t="s">
        <v>48</v>
      </c>
      <c r="U149" s="78" t="s">
        <v>48</v>
      </c>
      <c r="V149" s="119" t="s">
        <v>40</v>
      </c>
      <c r="W149" s="78" t="s">
        <v>48</v>
      </c>
      <c r="X149" s="78" t="s">
        <v>48</v>
      </c>
      <c r="Y149" s="78" t="s">
        <v>48</v>
      </c>
      <c r="Z149" s="78" t="s">
        <v>48</v>
      </c>
      <c r="AA149" s="119" t="s">
        <v>40</v>
      </c>
      <c r="AB149" s="78" t="s">
        <v>48</v>
      </c>
      <c r="AC149" s="78" t="s">
        <v>48</v>
      </c>
      <c r="AD149" s="78" t="s">
        <v>48</v>
      </c>
      <c r="AE149" s="78" t="s">
        <v>48</v>
      </c>
      <c r="AF149" s="119" t="s">
        <v>40</v>
      </c>
      <c r="AG149" s="78" t="s">
        <v>48</v>
      </c>
      <c r="AH149" s="78" t="s">
        <v>48</v>
      </c>
      <c r="AI149" s="78" t="s">
        <v>48</v>
      </c>
      <c r="AJ149" s="78" t="s">
        <v>48</v>
      </c>
      <c r="AK149" s="119" t="s">
        <v>40</v>
      </c>
      <c r="AL149" s="78" t="s">
        <v>48</v>
      </c>
      <c r="AM149" s="78" t="s">
        <v>48</v>
      </c>
      <c r="AN149" s="78" t="s">
        <v>48</v>
      </c>
      <c r="AO149" s="78" t="s">
        <v>48</v>
      </c>
      <c r="AP149" s="167">
        <v>2058</v>
      </c>
      <c r="AQ149" s="148">
        <v>2042</v>
      </c>
      <c r="AR149" s="148">
        <v>2029</v>
      </c>
      <c r="AS149" s="148">
        <v>1998</v>
      </c>
      <c r="AT149" s="148">
        <v>2000</v>
      </c>
      <c r="AU149" s="167">
        <v>2000</v>
      </c>
      <c r="AV149" s="148">
        <v>1976</v>
      </c>
      <c r="AW149" s="148">
        <v>1991</v>
      </c>
      <c r="AX149" s="148">
        <v>1948</v>
      </c>
      <c r="AY149" s="148">
        <v>1915</v>
      </c>
      <c r="AZ149" s="167">
        <v>1915</v>
      </c>
      <c r="BA149" s="148">
        <v>1827</v>
      </c>
      <c r="BB149" s="148">
        <v>1822</v>
      </c>
      <c r="BC149" s="148">
        <v>1792</v>
      </c>
      <c r="BD149" s="148">
        <v>1773</v>
      </c>
      <c r="BE149" s="167">
        <v>1773</v>
      </c>
      <c r="BF149" s="148">
        <v>1760</v>
      </c>
      <c r="BG149" s="148">
        <v>1744</v>
      </c>
      <c r="BH149" s="148">
        <v>1746</v>
      </c>
      <c r="BI149" s="148">
        <v>1689</v>
      </c>
      <c r="BJ149" s="167">
        <v>1689</v>
      </c>
      <c r="BK149" s="148">
        <v>1680</v>
      </c>
    </row>
    <row r="150" spans="1:63" ht="15" customHeight="1">
      <c r="A150" s="67" t="s">
        <v>200</v>
      </c>
      <c r="B150" s="119" t="s">
        <v>40</v>
      </c>
      <c r="C150" s="78" t="s">
        <v>48</v>
      </c>
      <c r="D150" s="78" t="s">
        <v>48</v>
      </c>
      <c r="E150" s="78" t="s">
        <v>48</v>
      </c>
      <c r="F150" s="78" t="s">
        <v>48</v>
      </c>
      <c r="G150" s="119" t="s">
        <v>40</v>
      </c>
      <c r="H150" s="78" t="s">
        <v>48</v>
      </c>
      <c r="I150" s="78" t="s">
        <v>48</v>
      </c>
      <c r="J150" s="78" t="s">
        <v>48</v>
      </c>
      <c r="K150" s="78" t="s">
        <v>48</v>
      </c>
      <c r="L150" s="119" t="s">
        <v>40</v>
      </c>
      <c r="M150" s="78" t="s">
        <v>48</v>
      </c>
      <c r="N150" s="78" t="s">
        <v>48</v>
      </c>
      <c r="O150" s="78" t="s">
        <v>48</v>
      </c>
      <c r="P150" s="78" t="s">
        <v>48</v>
      </c>
      <c r="Q150" s="119" t="s">
        <v>40</v>
      </c>
      <c r="R150" s="78" t="s">
        <v>48</v>
      </c>
      <c r="S150" s="78" t="s">
        <v>48</v>
      </c>
      <c r="T150" s="78" t="s">
        <v>48</v>
      </c>
      <c r="U150" s="78" t="s">
        <v>48</v>
      </c>
      <c r="V150" s="119" t="s">
        <v>40</v>
      </c>
      <c r="W150" s="78" t="s">
        <v>48</v>
      </c>
      <c r="X150" s="78" t="s">
        <v>48</v>
      </c>
      <c r="Y150" s="78" t="s">
        <v>48</v>
      </c>
      <c r="Z150" s="78" t="s">
        <v>48</v>
      </c>
      <c r="AA150" s="119" t="s">
        <v>40</v>
      </c>
      <c r="AB150" s="78" t="s">
        <v>48</v>
      </c>
      <c r="AC150" s="78" t="s">
        <v>48</v>
      </c>
      <c r="AD150" s="78" t="s">
        <v>48</v>
      </c>
      <c r="AE150" s="78" t="s">
        <v>48</v>
      </c>
      <c r="AF150" s="119" t="s">
        <v>40</v>
      </c>
      <c r="AG150" s="78" t="s">
        <v>48</v>
      </c>
      <c r="AH150" s="78" t="s">
        <v>48</v>
      </c>
      <c r="AI150" s="78" t="s">
        <v>48</v>
      </c>
      <c r="AJ150" s="78" t="s">
        <v>48</v>
      </c>
      <c r="AK150" s="119" t="s">
        <v>40</v>
      </c>
      <c r="AL150" s="78" t="s">
        <v>48</v>
      </c>
      <c r="AM150" s="78" t="s">
        <v>48</v>
      </c>
      <c r="AN150" s="78" t="s">
        <v>48</v>
      </c>
      <c r="AO150" s="78" t="s">
        <v>48</v>
      </c>
      <c r="AP150" s="167">
        <v>269</v>
      </c>
      <c r="AQ150" s="148">
        <v>299</v>
      </c>
      <c r="AR150" s="148">
        <v>205</v>
      </c>
      <c r="AS150" s="148">
        <v>191</v>
      </c>
      <c r="AT150" s="148">
        <v>219</v>
      </c>
      <c r="AU150" s="167">
        <v>219</v>
      </c>
      <c r="AV150" s="148">
        <v>297</v>
      </c>
      <c r="AW150" s="148">
        <v>347</v>
      </c>
      <c r="AX150" s="148">
        <v>294</v>
      </c>
      <c r="AY150" s="148">
        <v>270</v>
      </c>
      <c r="AZ150" s="167">
        <v>270</v>
      </c>
      <c r="BA150" s="148">
        <v>306</v>
      </c>
      <c r="BB150" s="148">
        <v>288</v>
      </c>
      <c r="BC150" s="148">
        <v>292</v>
      </c>
      <c r="BD150" s="148">
        <v>267</v>
      </c>
      <c r="BE150" s="167">
        <v>267</v>
      </c>
      <c r="BF150" s="148">
        <v>279</v>
      </c>
      <c r="BG150" s="148">
        <v>288</v>
      </c>
      <c r="BH150" s="148">
        <v>317</v>
      </c>
      <c r="BI150" s="148">
        <v>313</v>
      </c>
      <c r="BJ150" s="167">
        <v>313</v>
      </c>
      <c r="BK150" s="148">
        <v>319</v>
      </c>
    </row>
    <row r="151" spans="1:63" ht="15" customHeight="1">
      <c r="A151" s="67" t="s">
        <v>201</v>
      </c>
      <c r="B151" s="119" t="s">
        <v>40</v>
      </c>
      <c r="C151" s="78" t="s">
        <v>48</v>
      </c>
      <c r="D151" s="78" t="s">
        <v>48</v>
      </c>
      <c r="E151" s="78" t="s">
        <v>48</v>
      </c>
      <c r="F151" s="78" t="s">
        <v>48</v>
      </c>
      <c r="G151" s="119" t="s">
        <v>40</v>
      </c>
      <c r="H151" s="78" t="s">
        <v>48</v>
      </c>
      <c r="I151" s="78" t="s">
        <v>48</v>
      </c>
      <c r="J151" s="78" t="s">
        <v>48</v>
      </c>
      <c r="K151" s="78" t="s">
        <v>48</v>
      </c>
      <c r="L151" s="119" t="s">
        <v>40</v>
      </c>
      <c r="M151" s="78" t="s">
        <v>48</v>
      </c>
      <c r="N151" s="78" t="s">
        <v>48</v>
      </c>
      <c r="O151" s="78" t="s">
        <v>48</v>
      </c>
      <c r="P151" s="78" t="s">
        <v>48</v>
      </c>
      <c r="Q151" s="119" t="s">
        <v>40</v>
      </c>
      <c r="R151" s="78" t="s">
        <v>48</v>
      </c>
      <c r="S151" s="78" t="s">
        <v>48</v>
      </c>
      <c r="T151" s="78" t="s">
        <v>48</v>
      </c>
      <c r="U151" s="78" t="s">
        <v>48</v>
      </c>
      <c r="V151" s="119" t="s">
        <v>40</v>
      </c>
      <c r="W151" s="78" t="s">
        <v>48</v>
      </c>
      <c r="X151" s="78" t="s">
        <v>48</v>
      </c>
      <c r="Y151" s="78" t="s">
        <v>48</v>
      </c>
      <c r="Z151" s="78" t="s">
        <v>48</v>
      </c>
      <c r="AA151" s="119" t="s">
        <v>40</v>
      </c>
      <c r="AB151" s="78" t="s">
        <v>48</v>
      </c>
      <c r="AC151" s="78" t="s">
        <v>48</v>
      </c>
      <c r="AD151" s="78" t="s">
        <v>48</v>
      </c>
      <c r="AE151" s="78" t="s">
        <v>48</v>
      </c>
      <c r="AF151" s="119" t="s">
        <v>40</v>
      </c>
      <c r="AG151" s="78" t="s">
        <v>48</v>
      </c>
      <c r="AH151" s="78" t="s">
        <v>48</v>
      </c>
      <c r="AI151" s="78" t="s">
        <v>48</v>
      </c>
      <c r="AJ151" s="78" t="s">
        <v>48</v>
      </c>
      <c r="AK151" s="119" t="s">
        <v>40</v>
      </c>
      <c r="AL151" s="78" t="s">
        <v>48</v>
      </c>
      <c r="AM151" s="78" t="s">
        <v>48</v>
      </c>
      <c r="AN151" s="78" t="s">
        <v>48</v>
      </c>
      <c r="AO151" s="78" t="s">
        <v>48</v>
      </c>
      <c r="AP151" s="211" t="s">
        <v>138</v>
      </c>
      <c r="AQ151" s="147" t="s">
        <v>138</v>
      </c>
      <c r="AR151" s="148">
        <v>29</v>
      </c>
      <c r="AS151" s="148">
        <v>29</v>
      </c>
      <c r="AT151" s="147" t="s">
        <v>138</v>
      </c>
      <c r="AU151" s="211" t="s">
        <v>138</v>
      </c>
      <c r="AV151" s="147">
        <v>35</v>
      </c>
      <c r="AW151" s="148">
        <v>56</v>
      </c>
      <c r="AX151" s="148">
        <v>43</v>
      </c>
      <c r="AY151" s="148">
        <v>43</v>
      </c>
      <c r="AZ151" s="167">
        <v>43</v>
      </c>
      <c r="BA151" s="147">
        <v>25</v>
      </c>
      <c r="BB151" s="148">
        <v>25</v>
      </c>
      <c r="BC151" s="148">
        <v>20</v>
      </c>
      <c r="BD151" s="147" t="s">
        <v>138</v>
      </c>
      <c r="BE151" s="211" t="s">
        <v>138</v>
      </c>
      <c r="BF151" s="147" t="s">
        <v>138</v>
      </c>
      <c r="BG151" s="147" t="s">
        <v>138</v>
      </c>
      <c r="BH151" s="147" t="s">
        <v>138</v>
      </c>
      <c r="BI151" s="147" t="s">
        <v>138</v>
      </c>
      <c r="BJ151" s="211" t="s">
        <v>138</v>
      </c>
      <c r="BK151" s="147" t="s">
        <v>138</v>
      </c>
    </row>
    <row r="152" spans="1:63" ht="15" customHeight="1">
      <c r="A152" s="67" t="s">
        <v>202</v>
      </c>
      <c r="B152" s="119" t="s">
        <v>40</v>
      </c>
      <c r="C152" s="78" t="s">
        <v>48</v>
      </c>
      <c r="D152" s="78" t="s">
        <v>48</v>
      </c>
      <c r="E152" s="78" t="s">
        <v>48</v>
      </c>
      <c r="F152" s="78" t="s">
        <v>48</v>
      </c>
      <c r="G152" s="119" t="s">
        <v>40</v>
      </c>
      <c r="H152" s="78" t="s">
        <v>48</v>
      </c>
      <c r="I152" s="78" t="s">
        <v>48</v>
      </c>
      <c r="J152" s="78" t="s">
        <v>48</v>
      </c>
      <c r="K152" s="78" t="s">
        <v>48</v>
      </c>
      <c r="L152" s="119" t="s">
        <v>40</v>
      </c>
      <c r="M152" s="78" t="s">
        <v>48</v>
      </c>
      <c r="N152" s="78" t="s">
        <v>48</v>
      </c>
      <c r="O152" s="78" t="s">
        <v>48</v>
      </c>
      <c r="P152" s="78" t="s">
        <v>48</v>
      </c>
      <c r="Q152" s="119" t="s">
        <v>40</v>
      </c>
      <c r="R152" s="78" t="s">
        <v>48</v>
      </c>
      <c r="S152" s="78" t="s">
        <v>48</v>
      </c>
      <c r="T152" s="78" t="s">
        <v>48</v>
      </c>
      <c r="U152" s="78" t="s">
        <v>48</v>
      </c>
      <c r="V152" s="119" t="s">
        <v>40</v>
      </c>
      <c r="W152" s="78" t="s">
        <v>48</v>
      </c>
      <c r="X152" s="78" t="s">
        <v>48</v>
      </c>
      <c r="Y152" s="78" t="s">
        <v>48</v>
      </c>
      <c r="Z152" s="78" t="s">
        <v>48</v>
      </c>
      <c r="AA152" s="119" t="s">
        <v>40</v>
      </c>
      <c r="AB152" s="78" t="s">
        <v>48</v>
      </c>
      <c r="AC152" s="78" t="s">
        <v>48</v>
      </c>
      <c r="AD152" s="78" t="s">
        <v>48</v>
      </c>
      <c r="AE152" s="78" t="s">
        <v>48</v>
      </c>
      <c r="AF152" s="119" t="s">
        <v>40</v>
      </c>
      <c r="AG152" s="78" t="s">
        <v>48</v>
      </c>
      <c r="AH152" s="78" t="s">
        <v>48</v>
      </c>
      <c r="AI152" s="78" t="s">
        <v>48</v>
      </c>
      <c r="AJ152" s="78" t="s">
        <v>48</v>
      </c>
      <c r="AK152" s="119" t="s">
        <v>40</v>
      </c>
      <c r="AL152" s="78" t="s">
        <v>48</v>
      </c>
      <c r="AM152" s="78" t="s">
        <v>48</v>
      </c>
      <c r="AN152" s="78" t="s">
        <v>48</v>
      </c>
      <c r="AO152" s="78" t="s">
        <v>48</v>
      </c>
      <c r="AP152" s="167">
        <v>115</v>
      </c>
      <c r="AQ152" s="148">
        <v>123</v>
      </c>
      <c r="AR152" s="148">
        <v>109</v>
      </c>
      <c r="AS152" s="148">
        <v>96</v>
      </c>
      <c r="AT152" s="148">
        <v>106</v>
      </c>
      <c r="AU152" s="167">
        <v>106</v>
      </c>
      <c r="AV152" s="148">
        <v>114</v>
      </c>
      <c r="AW152" s="148">
        <v>105</v>
      </c>
      <c r="AX152" s="148">
        <v>101</v>
      </c>
      <c r="AY152" s="148">
        <v>125</v>
      </c>
      <c r="AZ152" s="167">
        <v>125</v>
      </c>
      <c r="BA152" s="148">
        <v>130</v>
      </c>
      <c r="BB152" s="148">
        <v>96</v>
      </c>
      <c r="BC152" s="148">
        <v>86</v>
      </c>
      <c r="BD152" s="148">
        <v>97</v>
      </c>
      <c r="BE152" s="167">
        <v>97</v>
      </c>
      <c r="BF152" s="148">
        <v>102</v>
      </c>
      <c r="BG152" s="148">
        <v>100</v>
      </c>
      <c r="BH152" s="148">
        <v>94</v>
      </c>
      <c r="BI152" s="148">
        <v>93</v>
      </c>
      <c r="BJ152" s="167">
        <v>93</v>
      </c>
      <c r="BK152" s="148">
        <v>112</v>
      </c>
    </row>
    <row r="153" spans="1:63" ht="15" customHeight="1">
      <c r="A153" s="67" t="s">
        <v>342</v>
      </c>
      <c r="B153" s="3"/>
      <c r="BE153" s="211" t="s">
        <v>138</v>
      </c>
      <c r="BF153" s="147" t="s">
        <v>138</v>
      </c>
      <c r="BG153" s="147" t="s">
        <v>138</v>
      </c>
      <c r="BH153" s="147" t="s">
        <v>138</v>
      </c>
      <c r="BI153" s="147">
        <v>43</v>
      </c>
      <c r="BJ153" s="211">
        <v>43</v>
      </c>
      <c r="BK153" s="147">
        <v>45</v>
      </c>
    </row>
    <row r="154" spans="1:63" ht="15" customHeight="1">
      <c r="A154" s="39" t="s">
        <v>203</v>
      </c>
      <c r="B154" s="39"/>
      <c r="C154" s="210"/>
      <c r="D154" s="210"/>
      <c r="E154" s="210"/>
      <c r="F154" s="210"/>
      <c r="G154" s="39"/>
      <c r="H154" s="210"/>
      <c r="I154" s="210"/>
      <c r="J154" s="210"/>
      <c r="K154" s="210"/>
      <c r="L154" s="39"/>
      <c r="M154" s="210"/>
      <c r="N154" s="210"/>
      <c r="O154" s="210"/>
      <c r="P154" s="210"/>
      <c r="Q154" s="39"/>
      <c r="R154" s="210"/>
      <c r="S154" s="210"/>
      <c r="T154" s="210"/>
      <c r="U154" s="210"/>
      <c r="V154" s="39"/>
      <c r="W154" s="210"/>
      <c r="X154" s="210"/>
      <c r="Y154" s="210"/>
      <c r="Z154" s="210"/>
      <c r="AA154" s="39"/>
      <c r="AB154" s="210"/>
      <c r="AC154" s="210"/>
      <c r="AD154" s="210"/>
      <c r="AE154" s="210"/>
      <c r="AF154" s="39"/>
      <c r="AG154" s="210"/>
      <c r="AH154" s="210"/>
      <c r="AI154" s="210"/>
      <c r="AJ154" s="210"/>
      <c r="AK154" s="210"/>
      <c r="AL154" s="210"/>
      <c r="AM154" s="210"/>
      <c r="AN154" s="210"/>
      <c r="AO154" s="210"/>
      <c r="AP154" s="210">
        <f t="shared" ref="AP154:AY154" si="240">SUM(AP147:AP152)</f>
        <v>3759</v>
      </c>
      <c r="AQ154" s="210">
        <f t="shared" si="240"/>
        <v>4241</v>
      </c>
      <c r="AR154" s="210">
        <f t="shared" si="240"/>
        <v>4622</v>
      </c>
      <c r="AS154" s="210">
        <f t="shared" si="240"/>
        <v>4160</v>
      </c>
      <c r="AT154" s="210">
        <f t="shared" si="240"/>
        <v>3559</v>
      </c>
      <c r="AU154" s="210">
        <f t="shared" si="240"/>
        <v>3559</v>
      </c>
      <c r="AV154" s="210">
        <f t="shared" si="240"/>
        <v>3792</v>
      </c>
      <c r="AW154" s="210">
        <f t="shared" si="240"/>
        <v>4372</v>
      </c>
      <c r="AX154" s="210">
        <f t="shared" si="240"/>
        <v>4951</v>
      </c>
      <c r="AY154" s="210">
        <f t="shared" si="240"/>
        <v>4823</v>
      </c>
      <c r="AZ154" s="210">
        <v>4823</v>
      </c>
      <c r="BA154" s="210">
        <v>5504</v>
      </c>
      <c r="BB154" s="210">
        <v>4830</v>
      </c>
      <c r="BC154" s="210">
        <v>5115</v>
      </c>
      <c r="BD154" s="210">
        <v>4431</v>
      </c>
      <c r="BE154" s="210">
        <v>4431</v>
      </c>
      <c r="BF154" s="210">
        <v>4753</v>
      </c>
      <c r="BG154" s="210">
        <v>5047</v>
      </c>
      <c r="BH154" s="210">
        <v>4546</v>
      </c>
      <c r="BI154" s="210">
        <v>3733</v>
      </c>
      <c r="BJ154" s="210">
        <v>3733</v>
      </c>
      <c r="BK154" s="210">
        <v>4197</v>
      </c>
    </row>
    <row r="155" spans="1:63" ht="15" customHeight="1">
      <c r="A155" s="67" t="s">
        <v>204</v>
      </c>
      <c r="B155" s="119" t="s">
        <v>40</v>
      </c>
      <c r="C155" s="78" t="s">
        <v>48</v>
      </c>
      <c r="D155" s="78" t="s">
        <v>48</v>
      </c>
      <c r="E155" s="78" t="s">
        <v>48</v>
      </c>
      <c r="F155" s="78" t="s">
        <v>48</v>
      </c>
      <c r="G155" s="119" t="s">
        <v>40</v>
      </c>
      <c r="H155" s="78" t="s">
        <v>48</v>
      </c>
      <c r="I155" s="78" t="s">
        <v>48</v>
      </c>
      <c r="J155" s="78" t="s">
        <v>48</v>
      </c>
      <c r="K155" s="78" t="s">
        <v>48</v>
      </c>
      <c r="L155" s="119" t="s">
        <v>40</v>
      </c>
      <c r="M155" s="78" t="s">
        <v>48</v>
      </c>
      <c r="N155" s="78" t="s">
        <v>48</v>
      </c>
      <c r="O155" s="78" t="s">
        <v>48</v>
      </c>
      <c r="P155" s="78" t="s">
        <v>48</v>
      </c>
      <c r="Q155" s="119" t="s">
        <v>40</v>
      </c>
      <c r="R155" s="78" t="s">
        <v>48</v>
      </c>
      <c r="S155" s="78" t="s">
        <v>48</v>
      </c>
      <c r="T155" s="78" t="s">
        <v>48</v>
      </c>
      <c r="U155" s="78" t="s">
        <v>48</v>
      </c>
      <c r="V155" s="119" t="s">
        <v>40</v>
      </c>
      <c r="W155" s="78" t="s">
        <v>48</v>
      </c>
      <c r="X155" s="78" t="s">
        <v>48</v>
      </c>
      <c r="Y155" s="78" t="s">
        <v>48</v>
      </c>
      <c r="Z155" s="78" t="s">
        <v>48</v>
      </c>
      <c r="AA155" s="119" t="s">
        <v>40</v>
      </c>
      <c r="AB155" s="78" t="s">
        <v>48</v>
      </c>
      <c r="AC155" s="78" t="s">
        <v>48</v>
      </c>
      <c r="AD155" s="78" t="s">
        <v>48</v>
      </c>
      <c r="AE155" s="78" t="s">
        <v>48</v>
      </c>
      <c r="AF155" s="119" t="s">
        <v>40</v>
      </c>
      <c r="AG155" s="78" t="s">
        <v>48</v>
      </c>
      <c r="AH155" s="78" t="s">
        <v>48</v>
      </c>
      <c r="AI155" s="78" t="s">
        <v>48</v>
      </c>
      <c r="AJ155" s="78" t="s">
        <v>48</v>
      </c>
      <c r="AK155" s="119" t="s">
        <v>40</v>
      </c>
      <c r="AL155" s="78" t="s">
        <v>48</v>
      </c>
      <c r="AM155" s="78" t="s">
        <v>48</v>
      </c>
      <c r="AN155" s="78" t="s">
        <v>48</v>
      </c>
      <c r="AO155" s="78" t="s">
        <v>48</v>
      </c>
      <c r="AP155" s="167">
        <v>674</v>
      </c>
      <c r="AQ155" s="148">
        <v>662</v>
      </c>
      <c r="AR155" s="148">
        <v>647</v>
      </c>
      <c r="AS155" s="148">
        <v>641</v>
      </c>
      <c r="AT155" s="148">
        <v>644</v>
      </c>
      <c r="AU155" s="167">
        <v>644</v>
      </c>
      <c r="AV155" s="148">
        <v>595</v>
      </c>
      <c r="AW155" s="148">
        <v>507</v>
      </c>
      <c r="AX155" s="148">
        <v>520</v>
      </c>
      <c r="AY155" s="148">
        <v>493</v>
      </c>
      <c r="AZ155" s="167">
        <v>493</v>
      </c>
      <c r="BA155" s="148">
        <v>466</v>
      </c>
      <c r="BB155" s="148">
        <v>447</v>
      </c>
      <c r="BC155" s="148">
        <v>423</v>
      </c>
      <c r="BD155" s="148">
        <v>470</v>
      </c>
      <c r="BE155" s="167">
        <v>470</v>
      </c>
      <c r="BF155" s="148">
        <v>511</v>
      </c>
      <c r="BG155" s="148">
        <v>535</v>
      </c>
      <c r="BH155" s="148">
        <v>442</v>
      </c>
      <c r="BI155" s="148">
        <v>477</v>
      </c>
      <c r="BJ155" s="167">
        <v>477</v>
      </c>
      <c r="BK155" s="148">
        <v>476</v>
      </c>
    </row>
    <row r="156" spans="1:63" ht="15" customHeight="1">
      <c r="A156" s="67" t="s">
        <v>205</v>
      </c>
      <c r="B156" s="119" t="s">
        <v>40</v>
      </c>
      <c r="C156" s="78" t="s">
        <v>48</v>
      </c>
      <c r="D156" s="78" t="s">
        <v>48</v>
      </c>
      <c r="E156" s="78" t="s">
        <v>48</v>
      </c>
      <c r="F156" s="78" t="s">
        <v>48</v>
      </c>
      <c r="G156" s="119" t="s">
        <v>40</v>
      </c>
      <c r="H156" s="78" t="s">
        <v>48</v>
      </c>
      <c r="I156" s="78" t="s">
        <v>48</v>
      </c>
      <c r="J156" s="78" t="s">
        <v>48</v>
      </c>
      <c r="K156" s="78" t="s">
        <v>48</v>
      </c>
      <c r="L156" s="119" t="s">
        <v>40</v>
      </c>
      <c r="M156" s="78" t="s">
        <v>48</v>
      </c>
      <c r="N156" s="78" t="s">
        <v>48</v>
      </c>
      <c r="O156" s="78" t="s">
        <v>48</v>
      </c>
      <c r="P156" s="78" t="s">
        <v>48</v>
      </c>
      <c r="Q156" s="119" t="s">
        <v>40</v>
      </c>
      <c r="R156" s="78" t="s">
        <v>48</v>
      </c>
      <c r="S156" s="78" t="s">
        <v>48</v>
      </c>
      <c r="T156" s="78" t="s">
        <v>48</v>
      </c>
      <c r="U156" s="78" t="s">
        <v>48</v>
      </c>
      <c r="V156" s="119" t="s">
        <v>40</v>
      </c>
      <c r="W156" s="78" t="s">
        <v>48</v>
      </c>
      <c r="X156" s="78" t="s">
        <v>48</v>
      </c>
      <c r="Y156" s="78" t="s">
        <v>48</v>
      </c>
      <c r="Z156" s="78" t="s">
        <v>48</v>
      </c>
      <c r="AA156" s="119" t="s">
        <v>40</v>
      </c>
      <c r="AB156" s="78" t="s">
        <v>48</v>
      </c>
      <c r="AC156" s="78" t="s">
        <v>48</v>
      </c>
      <c r="AD156" s="78" t="s">
        <v>48</v>
      </c>
      <c r="AE156" s="78" t="s">
        <v>48</v>
      </c>
      <c r="AF156" s="119" t="s">
        <v>40</v>
      </c>
      <c r="AG156" s="78" t="s">
        <v>48</v>
      </c>
      <c r="AH156" s="78" t="s">
        <v>48</v>
      </c>
      <c r="AI156" s="78" t="s">
        <v>48</v>
      </c>
      <c r="AJ156" s="78" t="s">
        <v>48</v>
      </c>
      <c r="AK156" s="119" t="s">
        <v>40</v>
      </c>
      <c r="AL156" s="78" t="s">
        <v>48</v>
      </c>
      <c r="AM156" s="78" t="s">
        <v>48</v>
      </c>
      <c r="AN156" s="78" t="s">
        <v>48</v>
      </c>
      <c r="AO156" s="78" t="s">
        <v>48</v>
      </c>
      <c r="AP156" s="167">
        <v>456</v>
      </c>
      <c r="AQ156" s="148">
        <v>456</v>
      </c>
      <c r="AR156" s="148">
        <v>455</v>
      </c>
      <c r="AS156" s="148">
        <v>450</v>
      </c>
      <c r="AT156" s="148">
        <v>432</v>
      </c>
      <c r="AU156" s="167">
        <v>432</v>
      </c>
      <c r="AV156" s="148">
        <v>438</v>
      </c>
      <c r="AW156" s="148">
        <v>456</v>
      </c>
      <c r="AX156" s="148">
        <v>457</v>
      </c>
      <c r="AY156" s="148">
        <v>454</v>
      </c>
      <c r="AZ156" s="167">
        <v>454</v>
      </c>
      <c r="BA156" s="148">
        <v>451</v>
      </c>
      <c r="BB156" s="148">
        <v>467</v>
      </c>
      <c r="BC156" s="148">
        <v>470</v>
      </c>
      <c r="BD156" s="148">
        <v>60</v>
      </c>
      <c r="BE156" s="167">
        <v>60</v>
      </c>
      <c r="BF156" s="148">
        <v>69</v>
      </c>
      <c r="BG156" s="148">
        <v>59</v>
      </c>
      <c r="BH156" s="148">
        <v>63</v>
      </c>
      <c r="BI156" s="148">
        <v>59</v>
      </c>
      <c r="BJ156" s="167">
        <v>59</v>
      </c>
      <c r="BK156" s="148">
        <v>65</v>
      </c>
    </row>
    <row r="157" spans="1:63" ht="15" customHeight="1">
      <c r="A157" s="67" t="s">
        <v>239</v>
      </c>
      <c r="B157" s="119"/>
      <c r="C157" s="78"/>
      <c r="D157" s="78"/>
      <c r="E157" s="78"/>
      <c r="F157" s="78"/>
      <c r="G157" s="119"/>
      <c r="H157" s="78"/>
      <c r="I157" s="78"/>
      <c r="J157" s="78"/>
      <c r="K157" s="78"/>
      <c r="L157" s="119"/>
      <c r="M157" s="78"/>
      <c r="N157" s="78"/>
      <c r="O157" s="78"/>
      <c r="P157" s="78"/>
      <c r="Q157" s="119"/>
      <c r="R157" s="78"/>
      <c r="S157" s="78"/>
      <c r="T157" s="78"/>
      <c r="U157" s="78"/>
      <c r="V157" s="119"/>
      <c r="W157" s="78"/>
      <c r="X157" s="78"/>
      <c r="Y157" s="78"/>
      <c r="Z157" s="78"/>
      <c r="AA157" s="119"/>
      <c r="AB157" s="78"/>
      <c r="AC157" s="78"/>
      <c r="AD157" s="78"/>
      <c r="AE157" s="78"/>
      <c r="AF157" s="119"/>
      <c r="AG157" s="78"/>
      <c r="AH157" s="78"/>
      <c r="AI157" s="78"/>
      <c r="AJ157" s="78"/>
      <c r="AK157" s="119"/>
      <c r="AL157" s="78"/>
      <c r="AM157" s="78"/>
      <c r="AN157" s="78"/>
      <c r="AO157" s="78"/>
      <c r="AP157" s="167"/>
      <c r="AQ157" s="148"/>
      <c r="AR157" s="148"/>
      <c r="AS157" s="148"/>
      <c r="AT157" s="148"/>
      <c r="AU157" s="167"/>
      <c r="AV157" s="148"/>
      <c r="AW157" s="148"/>
      <c r="AX157" s="148"/>
      <c r="AY157" s="148"/>
      <c r="AZ157" s="167"/>
      <c r="BA157" s="148">
        <v>1417</v>
      </c>
      <c r="BB157" s="148">
        <v>1424</v>
      </c>
      <c r="BC157" s="148">
        <v>1434</v>
      </c>
      <c r="BD157" s="148">
        <v>1504</v>
      </c>
      <c r="BE157" s="167">
        <v>1504</v>
      </c>
      <c r="BF157" s="148">
        <v>1444</v>
      </c>
      <c r="BG157" s="148">
        <v>1394</v>
      </c>
      <c r="BH157" s="148">
        <v>1361</v>
      </c>
      <c r="BI157" s="148">
        <v>1292</v>
      </c>
      <c r="BJ157" s="167">
        <v>1292</v>
      </c>
      <c r="BK157" s="148">
        <v>1378</v>
      </c>
    </row>
    <row r="158" spans="1:63" ht="15" customHeight="1">
      <c r="A158" s="67" t="s">
        <v>206</v>
      </c>
      <c r="B158" s="119" t="s">
        <v>40</v>
      </c>
      <c r="C158" s="78" t="s">
        <v>48</v>
      </c>
      <c r="D158" s="78" t="s">
        <v>48</v>
      </c>
      <c r="E158" s="78" t="s">
        <v>48</v>
      </c>
      <c r="F158" s="78" t="s">
        <v>48</v>
      </c>
      <c r="G158" s="119" t="s">
        <v>40</v>
      </c>
      <c r="H158" s="78" t="s">
        <v>48</v>
      </c>
      <c r="I158" s="78" t="s">
        <v>48</v>
      </c>
      <c r="J158" s="78" t="s">
        <v>48</v>
      </c>
      <c r="K158" s="78" t="s">
        <v>48</v>
      </c>
      <c r="L158" s="119" t="s">
        <v>40</v>
      </c>
      <c r="M158" s="78" t="s">
        <v>48</v>
      </c>
      <c r="N158" s="78" t="s">
        <v>48</v>
      </c>
      <c r="O158" s="78" t="s">
        <v>48</v>
      </c>
      <c r="P158" s="78" t="s">
        <v>48</v>
      </c>
      <c r="Q158" s="119" t="s">
        <v>40</v>
      </c>
      <c r="R158" s="78" t="s">
        <v>48</v>
      </c>
      <c r="S158" s="78" t="s">
        <v>48</v>
      </c>
      <c r="T158" s="78" t="s">
        <v>48</v>
      </c>
      <c r="U158" s="78" t="s">
        <v>48</v>
      </c>
      <c r="V158" s="119" t="s">
        <v>40</v>
      </c>
      <c r="W158" s="78" t="s">
        <v>48</v>
      </c>
      <c r="X158" s="78" t="s">
        <v>48</v>
      </c>
      <c r="Y158" s="78" t="s">
        <v>48</v>
      </c>
      <c r="Z158" s="78" t="s">
        <v>48</v>
      </c>
      <c r="AA158" s="119" t="s">
        <v>40</v>
      </c>
      <c r="AB158" s="78" t="s">
        <v>48</v>
      </c>
      <c r="AC158" s="78" t="s">
        <v>48</v>
      </c>
      <c r="AD158" s="78" t="s">
        <v>48</v>
      </c>
      <c r="AE158" s="78" t="s">
        <v>48</v>
      </c>
      <c r="AF158" s="119" t="s">
        <v>40</v>
      </c>
      <c r="AG158" s="78" t="s">
        <v>48</v>
      </c>
      <c r="AH158" s="78" t="s">
        <v>48</v>
      </c>
      <c r="AI158" s="78" t="s">
        <v>48</v>
      </c>
      <c r="AJ158" s="78" t="s">
        <v>48</v>
      </c>
      <c r="AK158" s="119" t="s">
        <v>40</v>
      </c>
      <c r="AL158" s="78" t="s">
        <v>48</v>
      </c>
      <c r="AM158" s="78" t="s">
        <v>48</v>
      </c>
      <c r="AN158" s="78" t="s">
        <v>48</v>
      </c>
      <c r="AO158" s="78" t="s">
        <v>48</v>
      </c>
      <c r="AP158" s="167">
        <v>6894</v>
      </c>
      <c r="AQ158" s="148">
        <v>6902</v>
      </c>
      <c r="AR158" s="148">
        <v>6872</v>
      </c>
      <c r="AS158" s="148">
        <v>6840</v>
      </c>
      <c r="AT158" s="148">
        <v>6876</v>
      </c>
      <c r="AU158" s="167">
        <v>6876</v>
      </c>
      <c r="AV158" s="148">
        <v>6886</v>
      </c>
      <c r="AW158" s="148">
        <v>6868</v>
      </c>
      <c r="AX158" s="148">
        <v>6817</v>
      </c>
      <c r="AY158" s="148">
        <v>6798</v>
      </c>
      <c r="AZ158" s="167">
        <v>6798</v>
      </c>
      <c r="BA158" s="148">
        <v>6782</v>
      </c>
      <c r="BB158" s="148">
        <v>6811</v>
      </c>
      <c r="BC158" s="148">
        <v>6789</v>
      </c>
      <c r="BD158" s="148">
        <v>6214</v>
      </c>
      <c r="BE158" s="167">
        <v>6214</v>
      </c>
      <c r="BF158" s="148">
        <v>6215</v>
      </c>
      <c r="BG158" s="148">
        <v>6245</v>
      </c>
      <c r="BH158" s="148">
        <v>6217</v>
      </c>
      <c r="BI158" s="148">
        <v>6096</v>
      </c>
      <c r="BJ158" s="167">
        <v>6096</v>
      </c>
      <c r="BK158" s="148">
        <v>6127</v>
      </c>
    </row>
    <row r="159" spans="1:63" ht="15" customHeight="1">
      <c r="A159" s="67" t="s">
        <v>207</v>
      </c>
      <c r="B159" s="119" t="s">
        <v>40</v>
      </c>
      <c r="C159" s="78" t="s">
        <v>48</v>
      </c>
      <c r="D159" s="78" t="s">
        <v>48</v>
      </c>
      <c r="E159" s="78" t="s">
        <v>48</v>
      </c>
      <c r="F159" s="78" t="s">
        <v>48</v>
      </c>
      <c r="G159" s="119" t="s">
        <v>40</v>
      </c>
      <c r="H159" s="78" t="s">
        <v>48</v>
      </c>
      <c r="I159" s="78" t="s">
        <v>48</v>
      </c>
      <c r="J159" s="78" t="s">
        <v>48</v>
      </c>
      <c r="K159" s="78" t="s">
        <v>48</v>
      </c>
      <c r="L159" s="119" t="s">
        <v>40</v>
      </c>
      <c r="M159" s="78" t="s">
        <v>48</v>
      </c>
      <c r="N159" s="78" t="s">
        <v>48</v>
      </c>
      <c r="O159" s="78" t="s">
        <v>48</v>
      </c>
      <c r="P159" s="78" t="s">
        <v>48</v>
      </c>
      <c r="Q159" s="119" t="s">
        <v>40</v>
      </c>
      <c r="R159" s="78" t="s">
        <v>48</v>
      </c>
      <c r="S159" s="78" t="s">
        <v>48</v>
      </c>
      <c r="T159" s="78" t="s">
        <v>48</v>
      </c>
      <c r="U159" s="78" t="s">
        <v>48</v>
      </c>
      <c r="V159" s="119" t="s">
        <v>40</v>
      </c>
      <c r="W159" s="78" t="s">
        <v>48</v>
      </c>
      <c r="X159" s="78" t="s">
        <v>48</v>
      </c>
      <c r="Y159" s="78" t="s">
        <v>48</v>
      </c>
      <c r="Z159" s="78" t="s">
        <v>48</v>
      </c>
      <c r="AA159" s="119" t="s">
        <v>40</v>
      </c>
      <c r="AB159" s="78" t="s">
        <v>48</v>
      </c>
      <c r="AC159" s="78" t="s">
        <v>48</v>
      </c>
      <c r="AD159" s="78" t="s">
        <v>48</v>
      </c>
      <c r="AE159" s="78" t="s">
        <v>48</v>
      </c>
      <c r="AF159" s="119" t="s">
        <v>40</v>
      </c>
      <c r="AG159" s="78" t="s">
        <v>48</v>
      </c>
      <c r="AH159" s="78" t="s">
        <v>48</v>
      </c>
      <c r="AI159" s="78" t="s">
        <v>48</v>
      </c>
      <c r="AJ159" s="78" t="s">
        <v>48</v>
      </c>
      <c r="AK159" s="119" t="s">
        <v>40</v>
      </c>
      <c r="AL159" s="78" t="s">
        <v>48</v>
      </c>
      <c r="AM159" s="78" t="s">
        <v>48</v>
      </c>
      <c r="AN159" s="78" t="s">
        <v>48</v>
      </c>
      <c r="AO159" s="78" t="s">
        <v>48</v>
      </c>
      <c r="AP159" s="167">
        <v>3332</v>
      </c>
      <c r="AQ159" s="148">
        <v>3260</v>
      </c>
      <c r="AR159" s="148">
        <v>3195</v>
      </c>
      <c r="AS159" s="148">
        <v>3121</v>
      </c>
      <c r="AT159" s="148">
        <v>3047</v>
      </c>
      <c r="AU159" s="167">
        <v>3047</v>
      </c>
      <c r="AV159" s="148">
        <v>2986</v>
      </c>
      <c r="AW159" s="148">
        <v>2943</v>
      </c>
      <c r="AX159" s="148">
        <v>2894</v>
      </c>
      <c r="AY159" s="148">
        <v>2768</v>
      </c>
      <c r="AZ159" s="167">
        <v>2768</v>
      </c>
      <c r="BA159" s="148">
        <v>2728</v>
      </c>
      <c r="BB159" s="148">
        <v>2687</v>
      </c>
      <c r="BC159" s="148">
        <v>2627</v>
      </c>
      <c r="BD159" s="148">
        <v>1919</v>
      </c>
      <c r="BE159" s="167">
        <v>1919</v>
      </c>
      <c r="BF159" s="148">
        <v>1923</v>
      </c>
      <c r="BG159" s="148">
        <v>977</v>
      </c>
      <c r="BH159" s="148">
        <v>968</v>
      </c>
      <c r="BI159" s="148">
        <v>935</v>
      </c>
      <c r="BJ159" s="167">
        <v>935</v>
      </c>
      <c r="BK159" s="148">
        <v>934</v>
      </c>
    </row>
    <row r="160" spans="1:63" ht="15" customHeight="1">
      <c r="A160" s="67" t="s">
        <v>208</v>
      </c>
      <c r="B160" s="119" t="s">
        <v>40</v>
      </c>
      <c r="C160" s="78" t="s">
        <v>48</v>
      </c>
      <c r="D160" s="78" t="s">
        <v>48</v>
      </c>
      <c r="E160" s="78" t="s">
        <v>48</v>
      </c>
      <c r="F160" s="78" t="s">
        <v>48</v>
      </c>
      <c r="G160" s="119" t="s">
        <v>40</v>
      </c>
      <c r="H160" s="78" t="s">
        <v>48</v>
      </c>
      <c r="I160" s="78" t="s">
        <v>48</v>
      </c>
      <c r="J160" s="78" t="s">
        <v>48</v>
      </c>
      <c r="K160" s="78" t="s">
        <v>48</v>
      </c>
      <c r="L160" s="119" t="s">
        <v>40</v>
      </c>
      <c r="M160" s="78" t="s">
        <v>48</v>
      </c>
      <c r="N160" s="78" t="s">
        <v>48</v>
      </c>
      <c r="O160" s="78" t="s">
        <v>48</v>
      </c>
      <c r="P160" s="78" t="s">
        <v>48</v>
      </c>
      <c r="Q160" s="119" t="s">
        <v>40</v>
      </c>
      <c r="R160" s="78" t="s">
        <v>48</v>
      </c>
      <c r="S160" s="78" t="s">
        <v>48</v>
      </c>
      <c r="T160" s="78" t="s">
        <v>48</v>
      </c>
      <c r="U160" s="78" t="s">
        <v>48</v>
      </c>
      <c r="V160" s="119" t="s">
        <v>40</v>
      </c>
      <c r="W160" s="78" t="s">
        <v>48</v>
      </c>
      <c r="X160" s="78" t="s">
        <v>48</v>
      </c>
      <c r="Y160" s="78" t="s">
        <v>48</v>
      </c>
      <c r="Z160" s="78" t="s">
        <v>48</v>
      </c>
      <c r="AA160" s="119" t="s">
        <v>40</v>
      </c>
      <c r="AB160" s="78" t="s">
        <v>48</v>
      </c>
      <c r="AC160" s="78" t="s">
        <v>48</v>
      </c>
      <c r="AD160" s="78" t="s">
        <v>48</v>
      </c>
      <c r="AE160" s="78" t="s">
        <v>48</v>
      </c>
      <c r="AF160" s="119" t="s">
        <v>40</v>
      </c>
      <c r="AG160" s="78" t="s">
        <v>48</v>
      </c>
      <c r="AH160" s="78" t="s">
        <v>48</v>
      </c>
      <c r="AI160" s="78" t="s">
        <v>48</v>
      </c>
      <c r="AJ160" s="78" t="s">
        <v>48</v>
      </c>
      <c r="AK160" s="119" t="s">
        <v>40</v>
      </c>
      <c r="AL160" s="78" t="s">
        <v>48</v>
      </c>
      <c r="AM160" s="78" t="s">
        <v>48</v>
      </c>
      <c r="AN160" s="78" t="s">
        <v>48</v>
      </c>
      <c r="AO160" s="78" t="s">
        <v>48</v>
      </c>
      <c r="AP160" s="167">
        <v>1178</v>
      </c>
      <c r="AQ160" s="148">
        <v>1105</v>
      </c>
      <c r="AR160" s="148">
        <v>1099</v>
      </c>
      <c r="AS160" s="148">
        <v>1103</v>
      </c>
      <c r="AT160" s="148">
        <v>1007</v>
      </c>
      <c r="AU160" s="167">
        <v>1007</v>
      </c>
      <c r="AV160" s="148">
        <v>1008</v>
      </c>
      <c r="AW160" s="148">
        <v>1015</v>
      </c>
      <c r="AX160" s="148">
        <v>1014</v>
      </c>
      <c r="AY160" s="148">
        <v>1019</v>
      </c>
      <c r="AZ160" s="167">
        <v>1019</v>
      </c>
      <c r="BA160" s="148">
        <v>1027</v>
      </c>
      <c r="BB160" s="148">
        <v>1035</v>
      </c>
      <c r="BC160" s="148">
        <v>1041</v>
      </c>
      <c r="BD160" s="148">
        <v>1205</v>
      </c>
      <c r="BE160" s="167">
        <v>1205</v>
      </c>
      <c r="BF160" s="148">
        <v>1193</v>
      </c>
      <c r="BG160" s="148">
        <v>12</v>
      </c>
      <c r="BH160" s="148">
        <v>18</v>
      </c>
      <c r="BI160" s="148">
        <v>59</v>
      </c>
      <c r="BJ160" s="167">
        <v>59</v>
      </c>
      <c r="BK160" s="148">
        <v>40</v>
      </c>
    </row>
    <row r="161" spans="1:63" ht="15" customHeight="1">
      <c r="A161" s="67" t="s">
        <v>209</v>
      </c>
      <c r="B161" s="119" t="s">
        <v>40</v>
      </c>
      <c r="C161" s="78" t="s">
        <v>48</v>
      </c>
      <c r="D161" s="78" t="s">
        <v>48</v>
      </c>
      <c r="E161" s="78" t="s">
        <v>48</v>
      </c>
      <c r="F161" s="78" t="s">
        <v>48</v>
      </c>
      <c r="G161" s="119" t="s">
        <v>40</v>
      </c>
      <c r="H161" s="78" t="s">
        <v>48</v>
      </c>
      <c r="I161" s="78" t="s">
        <v>48</v>
      </c>
      <c r="J161" s="78" t="s">
        <v>48</v>
      </c>
      <c r="K161" s="78" t="s">
        <v>48</v>
      </c>
      <c r="L161" s="119" t="s">
        <v>40</v>
      </c>
      <c r="M161" s="78" t="s">
        <v>48</v>
      </c>
      <c r="N161" s="78" t="s">
        <v>48</v>
      </c>
      <c r="O161" s="78" t="s">
        <v>48</v>
      </c>
      <c r="P161" s="78" t="s">
        <v>48</v>
      </c>
      <c r="Q161" s="119" t="s">
        <v>40</v>
      </c>
      <c r="R161" s="78" t="s">
        <v>48</v>
      </c>
      <c r="S161" s="78" t="s">
        <v>48</v>
      </c>
      <c r="T161" s="78" t="s">
        <v>48</v>
      </c>
      <c r="U161" s="78" t="s">
        <v>48</v>
      </c>
      <c r="V161" s="119" t="s">
        <v>40</v>
      </c>
      <c r="W161" s="78" t="s">
        <v>48</v>
      </c>
      <c r="X161" s="78" t="s">
        <v>48</v>
      </c>
      <c r="Y161" s="78" t="s">
        <v>48</v>
      </c>
      <c r="Z161" s="78" t="s">
        <v>48</v>
      </c>
      <c r="AA161" s="119" t="s">
        <v>40</v>
      </c>
      <c r="AB161" s="78" t="s">
        <v>48</v>
      </c>
      <c r="AC161" s="78" t="s">
        <v>48</v>
      </c>
      <c r="AD161" s="78" t="s">
        <v>48</v>
      </c>
      <c r="AE161" s="78" t="s">
        <v>48</v>
      </c>
      <c r="AF161" s="119" t="s">
        <v>40</v>
      </c>
      <c r="AG161" s="78" t="s">
        <v>48</v>
      </c>
      <c r="AH161" s="78" t="s">
        <v>48</v>
      </c>
      <c r="AI161" s="78" t="s">
        <v>48</v>
      </c>
      <c r="AJ161" s="78" t="s">
        <v>48</v>
      </c>
      <c r="AK161" s="119" t="s">
        <v>40</v>
      </c>
      <c r="AL161" s="78" t="s">
        <v>48</v>
      </c>
      <c r="AM161" s="78" t="s">
        <v>48</v>
      </c>
      <c r="AN161" s="78" t="s">
        <v>48</v>
      </c>
      <c r="AO161" s="78" t="s">
        <v>48</v>
      </c>
      <c r="AP161" s="167">
        <v>386</v>
      </c>
      <c r="AQ161" s="148">
        <v>407</v>
      </c>
      <c r="AR161" s="148">
        <v>397</v>
      </c>
      <c r="AS161" s="148">
        <v>388</v>
      </c>
      <c r="AT161" s="148">
        <v>382</v>
      </c>
      <c r="AU161" s="167">
        <v>382</v>
      </c>
      <c r="AV161" s="148">
        <v>429</v>
      </c>
      <c r="AW161" s="148">
        <v>457</v>
      </c>
      <c r="AX161" s="148">
        <v>489</v>
      </c>
      <c r="AY161" s="148">
        <v>494</v>
      </c>
      <c r="AZ161" s="167">
        <v>494</v>
      </c>
      <c r="BA161" s="148">
        <v>547</v>
      </c>
      <c r="BB161" s="148">
        <v>530</v>
      </c>
      <c r="BC161" s="148">
        <v>519</v>
      </c>
      <c r="BD161" s="148">
        <v>462</v>
      </c>
      <c r="BE161" s="167">
        <v>462</v>
      </c>
      <c r="BF161" s="148">
        <v>463</v>
      </c>
      <c r="BG161" s="148">
        <v>465</v>
      </c>
      <c r="BH161" s="148">
        <v>469</v>
      </c>
      <c r="BI161" s="148">
        <v>386</v>
      </c>
      <c r="BJ161" s="167">
        <v>386</v>
      </c>
      <c r="BK161" s="148">
        <v>386</v>
      </c>
    </row>
    <row r="162" spans="1:63" ht="15" customHeight="1">
      <c r="A162" s="67" t="s">
        <v>245</v>
      </c>
      <c r="B162" s="119" t="s">
        <v>40</v>
      </c>
      <c r="C162" s="78" t="s">
        <v>48</v>
      </c>
      <c r="D162" s="78" t="s">
        <v>48</v>
      </c>
      <c r="E162" s="78" t="s">
        <v>48</v>
      </c>
      <c r="F162" s="78" t="s">
        <v>48</v>
      </c>
      <c r="G162" s="119" t="s">
        <v>40</v>
      </c>
      <c r="H162" s="78" t="s">
        <v>48</v>
      </c>
      <c r="I162" s="78" t="s">
        <v>48</v>
      </c>
      <c r="J162" s="78" t="s">
        <v>48</v>
      </c>
      <c r="K162" s="78" t="s">
        <v>48</v>
      </c>
      <c r="L162" s="119" t="s">
        <v>40</v>
      </c>
      <c r="M162" s="78" t="s">
        <v>48</v>
      </c>
      <c r="N162" s="78" t="s">
        <v>48</v>
      </c>
      <c r="O162" s="78" t="s">
        <v>48</v>
      </c>
      <c r="P162" s="78" t="s">
        <v>48</v>
      </c>
      <c r="Q162" s="119" t="s">
        <v>40</v>
      </c>
      <c r="R162" s="78" t="s">
        <v>48</v>
      </c>
      <c r="S162" s="78" t="s">
        <v>48</v>
      </c>
      <c r="T162" s="78" t="s">
        <v>48</v>
      </c>
      <c r="U162" s="78" t="s">
        <v>48</v>
      </c>
      <c r="V162" s="119" t="s">
        <v>40</v>
      </c>
      <c r="W162" s="78" t="s">
        <v>48</v>
      </c>
      <c r="X162" s="78" t="s">
        <v>48</v>
      </c>
      <c r="Y162" s="78" t="s">
        <v>48</v>
      </c>
      <c r="Z162" s="78" t="s">
        <v>48</v>
      </c>
      <c r="AA162" s="119" t="s">
        <v>40</v>
      </c>
      <c r="AB162" s="78" t="s">
        <v>48</v>
      </c>
      <c r="AC162" s="78" t="s">
        <v>48</v>
      </c>
      <c r="AD162" s="78" t="s">
        <v>48</v>
      </c>
      <c r="AE162" s="78" t="s">
        <v>48</v>
      </c>
      <c r="AF162" s="119" t="s">
        <v>40</v>
      </c>
      <c r="AG162" s="78" t="s">
        <v>48</v>
      </c>
      <c r="AH162" s="78" t="s">
        <v>48</v>
      </c>
      <c r="AI162" s="78" t="s">
        <v>48</v>
      </c>
      <c r="AJ162" s="78" t="s">
        <v>48</v>
      </c>
      <c r="AK162" s="119" t="s">
        <v>40</v>
      </c>
      <c r="AL162" s="78" t="s">
        <v>48</v>
      </c>
      <c r="AM162" s="78" t="s">
        <v>48</v>
      </c>
      <c r="AN162" s="78" t="s">
        <v>48</v>
      </c>
      <c r="AO162" s="78" t="s">
        <v>48</v>
      </c>
      <c r="AP162" s="211" t="s">
        <v>138</v>
      </c>
      <c r="AQ162" s="147" t="s">
        <v>138</v>
      </c>
      <c r="AR162" s="147" t="s">
        <v>138</v>
      </c>
      <c r="AS162" s="147" t="s">
        <v>138</v>
      </c>
      <c r="AT162" s="147" t="s">
        <v>138</v>
      </c>
      <c r="AU162" s="211" t="s">
        <v>138</v>
      </c>
      <c r="AV162" s="147" t="s">
        <v>138</v>
      </c>
      <c r="AW162" s="147" t="s">
        <v>138</v>
      </c>
      <c r="AX162" s="147" t="s">
        <v>138</v>
      </c>
      <c r="AY162" s="147" t="s">
        <v>138</v>
      </c>
      <c r="AZ162" s="211" t="s">
        <v>138</v>
      </c>
      <c r="BA162" s="147" t="s">
        <v>138</v>
      </c>
      <c r="BB162" s="148">
        <v>130</v>
      </c>
      <c r="BC162" s="148">
        <v>140</v>
      </c>
      <c r="BD162" s="148">
        <v>58</v>
      </c>
      <c r="BE162" s="167">
        <v>58</v>
      </c>
      <c r="BF162" s="148">
        <v>58</v>
      </c>
      <c r="BG162" s="147" t="s">
        <v>138</v>
      </c>
      <c r="BH162" s="147" t="s">
        <v>138</v>
      </c>
      <c r="BI162" s="147" t="s">
        <v>138</v>
      </c>
      <c r="BJ162" s="211" t="s">
        <v>138</v>
      </c>
      <c r="BK162" s="147" t="s">
        <v>138</v>
      </c>
    </row>
    <row r="163" spans="1:63" ht="15" customHeight="1">
      <c r="A163" s="39" t="s">
        <v>210</v>
      </c>
      <c r="B163" s="39"/>
      <c r="C163" s="210"/>
      <c r="D163" s="210"/>
      <c r="E163" s="210"/>
      <c r="F163" s="210"/>
      <c r="G163" s="39"/>
      <c r="H163" s="210"/>
      <c r="I163" s="210"/>
      <c r="J163" s="210"/>
      <c r="K163" s="210"/>
      <c r="L163" s="39"/>
      <c r="M163" s="210"/>
      <c r="N163" s="210"/>
      <c r="O163" s="210"/>
      <c r="P163" s="210"/>
      <c r="Q163" s="39"/>
      <c r="R163" s="210"/>
      <c r="S163" s="210"/>
      <c r="T163" s="210"/>
      <c r="U163" s="210"/>
      <c r="V163" s="39"/>
      <c r="W163" s="210"/>
      <c r="X163" s="210"/>
      <c r="Y163" s="210"/>
      <c r="Z163" s="210"/>
      <c r="AA163" s="39"/>
      <c r="AB163" s="210"/>
      <c r="AC163" s="210"/>
      <c r="AD163" s="210"/>
      <c r="AE163" s="210"/>
      <c r="AF163" s="39"/>
      <c r="AG163" s="210"/>
      <c r="AH163" s="210"/>
      <c r="AI163" s="210"/>
      <c r="AJ163" s="210"/>
      <c r="AK163" s="39"/>
      <c r="AL163" s="210"/>
      <c r="AM163" s="210"/>
      <c r="AN163" s="210"/>
      <c r="AO163" s="210"/>
      <c r="AP163" s="210">
        <f>SUM(AP155:AP162)</f>
        <v>12920</v>
      </c>
      <c r="AQ163" s="210">
        <f t="shared" ref="AQ163:AT163" si="241">SUM(AQ155:AQ162)</f>
        <v>12792</v>
      </c>
      <c r="AR163" s="210">
        <f t="shared" si="241"/>
        <v>12665</v>
      </c>
      <c r="AS163" s="210">
        <f t="shared" si="241"/>
        <v>12543</v>
      </c>
      <c r="AT163" s="210">
        <f t="shared" si="241"/>
        <v>12388</v>
      </c>
      <c r="AU163" s="210">
        <f>SUM(AU155:AU162)</f>
        <v>12388</v>
      </c>
      <c r="AV163" s="210">
        <f t="shared" ref="AV163:AW163" si="242">SUM(AV155:AV162)</f>
        <v>12342</v>
      </c>
      <c r="AW163" s="210">
        <f t="shared" si="242"/>
        <v>12246</v>
      </c>
      <c r="AX163" s="210">
        <f>SUM(AX155:AX162)</f>
        <v>12191</v>
      </c>
      <c r="AY163" s="210">
        <f>SUM(AY155:AY162)</f>
        <v>12026</v>
      </c>
      <c r="AZ163" s="210">
        <v>12026</v>
      </c>
      <c r="BA163" s="210">
        <v>13418</v>
      </c>
      <c r="BB163" s="210">
        <v>13531</v>
      </c>
      <c r="BC163" s="210">
        <v>13443</v>
      </c>
      <c r="BD163" s="210">
        <v>11892</v>
      </c>
      <c r="BE163" s="210">
        <v>11892</v>
      </c>
      <c r="BF163" s="210">
        <v>11876</v>
      </c>
      <c r="BG163" s="210">
        <v>9687</v>
      </c>
      <c r="BH163" s="210">
        <v>9538</v>
      </c>
      <c r="BI163" s="210">
        <v>9304</v>
      </c>
      <c r="BJ163" s="210">
        <v>9304</v>
      </c>
      <c r="BK163" s="210">
        <v>9406</v>
      </c>
    </row>
    <row r="164" spans="1:63" ht="15" customHeight="1">
      <c r="A164" s="39" t="s">
        <v>211</v>
      </c>
      <c r="B164" s="39"/>
      <c r="C164" s="210"/>
      <c r="D164" s="210"/>
      <c r="E164" s="210"/>
      <c r="F164" s="210"/>
      <c r="G164" s="39"/>
      <c r="H164" s="210"/>
      <c r="I164" s="210"/>
      <c r="J164" s="210"/>
      <c r="K164" s="210"/>
      <c r="L164" s="39"/>
      <c r="M164" s="210"/>
      <c r="N164" s="210"/>
      <c r="O164" s="210"/>
      <c r="P164" s="210"/>
      <c r="Q164" s="39"/>
      <c r="R164" s="210"/>
      <c r="S164" s="210"/>
      <c r="T164" s="210"/>
      <c r="U164" s="210"/>
      <c r="V164" s="39"/>
      <c r="W164" s="210"/>
      <c r="X164" s="210"/>
      <c r="Y164" s="210"/>
      <c r="Z164" s="210"/>
      <c r="AA164" s="39"/>
      <c r="AB164" s="210"/>
      <c r="AC164" s="210"/>
      <c r="AD164" s="210"/>
      <c r="AE164" s="210"/>
      <c r="AF164" s="39"/>
      <c r="AG164" s="210"/>
      <c r="AH164" s="210"/>
      <c r="AI164" s="210"/>
      <c r="AJ164" s="210"/>
      <c r="AK164" s="39"/>
      <c r="AL164" s="210"/>
      <c r="AM164" s="210"/>
      <c r="AN164" s="210"/>
      <c r="AO164" s="210"/>
      <c r="AP164" s="210">
        <f>AP163+AP154</f>
        <v>16679</v>
      </c>
      <c r="AQ164" s="210">
        <f t="shared" ref="AQ164:AT164" si="243">AQ163+AQ154</f>
        <v>17033</v>
      </c>
      <c r="AR164" s="210">
        <f t="shared" si="243"/>
        <v>17287</v>
      </c>
      <c r="AS164" s="210">
        <f t="shared" si="243"/>
        <v>16703</v>
      </c>
      <c r="AT164" s="210">
        <f t="shared" si="243"/>
        <v>15947</v>
      </c>
      <c r="AU164" s="210">
        <f>AU163+AU154</f>
        <v>15947</v>
      </c>
      <c r="AV164" s="210">
        <f t="shared" ref="AV164:AW164" si="244">AV163+AV154</f>
        <v>16134</v>
      </c>
      <c r="AW164" s="210">
        <f t="shared" si="244"/>
        <v>16618</v>
      </c>
      <c r="AX164" s="210">
        <f>AX163+AX154</f>
        <v>17142</v>
      </c>
      <c r="AY164" s="210">
        <f>AY163+AY154</f>
        <v>16849</v>
      </c>
      <c r="AZ164" s="210">
        <v>16849</v>
      </c>
      <c r="BA164" s="210">
        <v>18922</v>
      </c>
      <c r="BB164" s="210">
        <v>18361</v>
      </c>
      <c r="BC164" s="210">
        <v>18558</v>
      </c>
      <c r="BD164" s="210">
        <v>16323</v>
      </c>
      <c r="BE164" s="210">
        <v>16323</v>
      </c>
      <c r="BF164" s="210">
        <v>16629</v>
      </c>
      <c r="BG164" s="210">
        <v>14734</v>
      </c>
      <c r="BH164" s="210">
        <v>14084</v>
      </c>
      <c r="BI164" s="210">
        <v>13037</v>
      </c>
      <c r="BJ164" s="210">
        <v>13037</v>
      </c>
      <c r="BK164" s="210">
        <v>13603</v>
      </c>
    </row>
    <row r="165" spans="1:63" ht="15" customHeight="1">
      <c r="A165" s="67" t="s">
        <v>212</v>
      </c>
      <c r="B165" s="119" t="s">
        <v>40</v>
      </c>
      <c r="C165" s="78" t="s">
        <v>48</v>
      </c>
      <c r="D165" s="78" t="s">
        <v>48</v>
      </c>
      <c r="E165" s="78" t="s">
        <v>48</v>
      </c>
      <c r="F165" s="78" t="s">
        <v>48</v>
      </c>
      <c r="G165" s="119" t="s">
        <v>40</v>
      </c>
      <c r="H165" s="78" t="s">
        <v>48</v>
      </c>
      <c r="I165" s="78" t="s">
        <v>48</v>
      </c>
      <c r="J165" s="78" t="s">
        <v>48</v>
      </c>
      <c r="K165" s="78" t="s">
        <v>48</v>
      </c>
      <c r="L165" s="119" t="s">
        <v>40</v>
      </c>
      <c r="M165" s="78" t="s">
        <v>48</v>
      </c>
      <c r="N165" s="78" t="s">
        <v>48</v>
      </c>
      <c r="O165" s="78" t="s">
        <v>48</v>
      </c>
      <c r="P165" s="78" t="s">
        <v>48</v>
      </c>
      <c r="Q165" s="119" t="s">
        <v>40</v>
      </c>
      <c r="R165" s="78" t="s">
        <v>48</v>
      </c>
      <c r="S165" s="78" t="s">
        <v>48</v>
      </c>
      <c r="T165" s="78" t="s">
        <v>48</v>
      </c>
      <c r="U165" s="78" t="s">
        <v>48</v>
      </c>
      <c r="V165" s="119" t="s">
        <v>40</v>
      </c>
      <c r="W165" s="78" t="s">
        <v>48</v>
      </c>
      <c r="X165" s="78" t="s">
        <v>48</v>
      </c>
      <c r="Y165" s="78" t="s">
        <v>48</v>
      </c>
      <c r="Z165" s="78" t="s">
        <v>48</v>
      </c>
      <c r="AA165" s="119" t="s">
        <v>40</v>
      </c>
      <c r="AB165" s="78" t="s">
        <v>48</v>
      </c>
      <c r="AC165" s="78" t="s">
        <v>48</v>
      </c>
      <c r="AD165" s="78" t="s">
        <v>48</v>
      </c>
      <c r="AE165" s="78" t="s">
        <v>48</v>
      </c>
      <c r="AF165" s="119" t="s">
        <v>40</v>
      </c>
      <c r="AG165" s="78" t="s">
        <v>48</v>
      </c>
      <c r="AH165" s="78" t="s">
        <v>48</v>
      </c>
      <c r="AI165" s="78" t="s">
        <v>48</v>
      </c>
      <c r="AJ165" s="78" t="s">
        <v>48</v>
      </c>
      <c r="AK165" s="119" t="s">
        <v>40</v>
      </c>
      <c r="AL165" s="78" t="s">
        <v>48</v>
      </c>
      <c r="AM165" s="78" t="s">
        <v>48</v>
      </c>
      <c r="AN165" s="78" t="s">
        <v>48</v>
      </c>
      <c r="AO165" s="78" t="s">
        <v>48</v>
      </c>
      <c r="AP165" s="167">
        <v>1913</v>
      </c>
      <c r="AQ165" s="148">
        <v>2073</v>
      </c>
      <c r="AR165" s="148">
        <v>1958</v>
      </c>
      <c r="AS165" s="148">
        <v>2135</v>
      </c>
      <c r="AT165" s="148">
        <v>1825</v>
      </c>
      <c r="AU165" s="167">
        <v>1825</v>
      </c>
      <c r="AV165" s="148">
        <v>1594</v>
      </c>
      <c r="AW165" s="148">
        <v>958</v>
      </c>
      <c r="AX165" s="148">
        <v>555</v>
      </c>
      <c r="AY165" s="148">
        <v>1632</v>
      </c>
      <c r="AZ165" s="167">
        <v>1632</v>
      </c>
      <c r="BA165" s="148">
        <v>1609</v>
      </c>
      <c r="BB165" s="148">
        <v>1796</v>
      </c>
      <c r="BC165" s="148">
        <v>1798</v>
      </c>
      <c r="BD165" s="148">
        <v>1542</v>
      </c>
      <c r="BE165" s="167">
        <v>1542</v>
      </c>
      <c r="BF165" s="148">
        <v>1538</v>
      </c>
      <c r="BG165" s="148">
        <v>1625</v>
      </c>
      <c r="BH165" s="148">
        <v>1126</v>
      </c>
      <c r="BI165" s="148">
        <v>1007</v>
      </c>
      <c r="BJ165" s="167">
        <v>1007</v>
      </c>
      <c r="BK165" s="148">
        <v>1002</v>
      </c>
    </row>
    <row r="166" spans="1:63" ht="15" customHeight="1">
      <c r="A166" s="67" t="s">
        <v>238</v>
      </c>
      <c r="B166" s="119"/>
      <c r="C166" s="78"/>
      <c r="D166" s="78"/>
      <c r="E166" s="78"/>
      <c r="F166" s="78"/>
      <c r="G166" s="119"/>
      <c r="H166" s="78"/>
      <c r="I166" s="78"/>
      <c r="J166" s="78"/>
      <c r="K166" s="78"/>
      <c r="L166" s="119"/>
      <c r="M166" s="78"/>
      <c r="N166" s="78"/>
      <c r="O166" s="78"/>
      <c r="P166" s="78"/>
      <c r="Q166" s="119"/>
      <c r="R166" s="78"/>
      <c r="S166" s="78"/>
      <c r="T166" s="78"/>
      <c r="U166" s="78"/>
      <c r="V166" s="119"/>
      <c r="W166" s="78"/>
      <c r="X166" s="78"/>
      <c r="Y166" s="78"/>
      <c r="Z166" s="78"/>
      <c r="AA166" s="119"/>
      <c r="AB166" s="78"/>
      <c r="AC166" s="78"/>
      <c r="AD166" s="78"/>
      <c r="AE166" s="78"/>
      <c r="AF166" s="119"/>
      <c r="AG166" s="78"/>
      <c r="AH166" s="78"/>
      <c r="AI166" s="78"/>
      <c r="AJ166" s="78"/>
      <c r="AK166" s="119"/>
      <c r="AL166" s="78"/>
      <c r="AM166" s="78"/>
      <c r="AN166" s="78"/>
      <c r="AO166" s="78"/>
      <c r="AP166" s="167"/>
      <c r="AQ166" s="148"/>
      <c r="AR166" s="148"/>
      <c r="AS166" s="148"/>
      <c r="AT166" s="148"/>
      <c r="AU166" s="167"/>
      <c r="AV166" s="148"/>
      <c r="AW166" s="148"/>
      <c r="AX166" s="148"/>
      <c r="AY166" s="148"/>
      <c r="AZ166" s="167"/>
      <c r="BA166" s="148">
        <v>428</v>
      </c>
      <c r="BB166" s="148">
        <v>417</v>
      </c>
      <c r="BC166" s="148">
        <v>443</v>
      </c>
      <c r="BD166" s="148">
        <v>445</v>
      </c>
      <c r="BE166" s="167">
        <v>445</v>
      </c>
      <c r="BF166" s="148">
        <v>422</v>
      </c>
      <c r="BG166" s="148">
        <v>434</v>
      </c>
      <c r="BH166" s="148">
        <v>427</v>
      </c>
      <c r="BI166" s="148">
        <v>416</v>
      </c>
      <c r="BJ166" s="167">
        <v>416</v>
      </c>
      <c r="BK166" s="148">
        <v>415</v>
      </c>
    </row>
    <row r="167" spans="1:63" ht="15" customHeight="1">
      <c r="A167" s="67" t="s">
        <v>213</v>
      </c>
      <c r="B167" s="119" t="s">
        <v>40</v>
      </c>
      <c r="C167" s="78" t="s">
        <v>48</v>
      </c>
      <c r="D167" s="78" t="s">
        <v>48</v>
      </c>
      <c r="E167" s="78" t="s">
        <v>48</v>
      </c>
      <c r="F167" s="78" t="s">
        <v>48</v>
      </c>
      <c r="G167" s="119" t="s">
        <v>40</v>
      </c>
      <c r="H167" s="78" t="s">
        <v>48</v>
      </c>
      <c r="I167" s="78" t="s">
        <v>48</v>
      </c>
      <c r="J167" s="78" t="s">
        <v>48</v>
      </c>
      <c r="K167" s="78" t="s">
        <v>48</v>
      </c>
      <c r="L167" s="119" t="s">
        <v>40</v>
      </c>
      <c r="M167" s="78" t="s">
        <v>48</v>
      </c>
      <c r="N167" s="78" t="s">
        <v>48</v>
      </c>
      <c r="O167" s="78" t="s">
        <v>48</v>
      </c>
      <c r="P167" s="78" t="s">
        <v>48</v>
      </c>
      <c r="Q167" s="119" t="s">
        <v>40</v>
      </c>
      <c r="R167" s="78" t="s">
        <v>48</v>
      </c>
      <c r="S167" s="78" t="s">
        <v>48</v>
      </c>
      <c r="T167" s="78" t="s">
        <v>48</v>
      </c>
      <c r="U167" s="78" t="s">
        <v>48</v>
      </c>
      <c r="V167" s="119" t="s">
        <v>40</v>
      </c>
      <c r="W167" s="78" t="s">
        <v>48</v>
      </c>
      <c r="X167" s="78" t="s">
        <v>48</v>
      </c>
      <c r="Y167" s="78" t="s">
        <v>48</v>
      </c>
      <c r="Z167" s="78" t="s">
        <v>48</v>
      </c>
      <c r="AA167" s="119" t="s">
        <v>40</v>
      </c>
      <c r="AB167" s="78" t="s">
        <v>48</v>
      </c>
      <c r="AC167" s="78" t="s">
        <v>48</v>
      </c>
      <c r="AD167" s="78" t="s">
        <v>48</v>
      </c>
      <c r="AE167" s="78" t="s">
        <v>48</v>
      </c>
      <c r="AF167" s="119" t="s">
        <v>40</v>
      </c>
      <c r="AG167" s="78" t="s">
        <v>48</v>
      </c>
      <c r="AH167" s="78" t="s">
        <v>48</v>
      </c>
      <c r="AI167" s="78" t="s">
        <v>48</v>
      </c>
      <c r="AJ167" s="78" t="s">
        <v>48</v>
      </c>
      <c r="AK167" s="119" t="s">
        <v>40</v>
      </c>
      <c r="AL167" s="78" t="s">
        <v>48</v>
      </c>
      <c r="AM167" s="78" t="s">
        <v>48</v>
      </c>
      <c r="AN167" s="78" t="s">
        <v>48</v>
      </c>
      <c r="AO167" s="78" t="s">
        <v>48</v>
      </c>
      <c r="AP167" s="167">
        <v>1657</v>
      </c>
      <c r="AQ167" s="148">
        <v>1843</v>
      </c>
      <c r="AR167" s="148">
        <v>1576</v>
      </c>
      <c r="AS167" s="148">
        <v>1599</v>
      </c>
      <c r="AT167" s="148">
        <v>1610</v>
      </c>
      <c r="AU167" s="167">
        <v>1610</v>
      </c>
      <c r="AV167" s="148">
        <v>1705</v>
      </c>
      <c r="AW167" s="148">
        <v>1608</v>
      </c>
      <c r="AX167" s="148">
        <v>1807</v>
      </c>
      <c r="AY167" s="148">
        <v>1699</v>
      </c>
      <c r="AZ167" s="167">
        <v>1699</v>
      </c>
      <c r="BA167" s="148">
        <v>1820</v>
      </c>
      <c r="BB167" s="148">
        <v>1583</v>
      </c>
      <c r="BC167" s="148">
        <v>1602</v>
      </c>
      <c r="BD167" s="148">
        <v>1690</v>
      </c>
      <c r="BE167" s="167">
        <v>1690</v>
      </c>
      <c r="BF167" s="148">
        <v>1845</v>
      </c>
      <c r="BG167" s="148">
        <v>1427</v>
      </c>
      <c r="BH167" s="148">
        <v>1503</v>
      </c>
      <c r="BI167" s="148">
        <v>1413</v>
      </c>
      <c r="BJ167" s="167">
        <v>1413</v>
      </c>
      <c r="BK167" s="148">
        <v>1611</v>
      </c>
    </row>
    <row r="168" spans="1:63" ht="15" customHeight="1">
      <c r="A168" s="67" t="s">
        <v>214</v>
      </c>
      <c r="B168" s="119" t="s">
        <v>40</v>
      </c>
      <c r="C168" s="78" t="s">
        <v>48</v>
      </c>
      <c r="D168" s="78" t="s">
        <v>48</v>
      </c>
      <c r="E168" s="78" t="s">
        <v>48</v>
      </c>
      <c r="F168" s="78" t="s">
        <v>48</v>
      </c>
      <c r="G168" s="119" t="s">
        <v>40</v>
      </c>
      <c r="H168" s="78" t="s">
        <v>48</v>
      </c>
      <c r="I168" s="78" t="s">
        <v>48</v>
      </c>
      <c r="J168" s="78" t="s">
        <v>48</v>
      </c>
      <c r="K168" s="78" t="s">
        <v>48</v>
      </c>
      <c r="L168" s="119" t="s">
        <v>40</v>
      </c>
      <c r="M168" s="78" t="s">
        <v>48</v>
      </c>
      <c r="N168" s="78" t="s">
        <v>48</v>
      </c>
      <c r="O168" s="78" t="s">
        <v>48</v>
      </c>
      <c r="P168" s="78" t="s">
        <v>48</v>
      </c>
      <c r="Q168" s="119" t="s">
        <v>40</v>
      </c>
      <c r="R168" s="78" t="s">
        <v>48</v>
      </c>
      <c r="S168" s="78" t="s">
        <v>48</v>
      </c>
      <c r="T168" s="78" t="s">
        <v>48</v>
      </c>
      <c r="U168" s="78" t="s">
        <v>48</v>
      </c>
      <c r="V168" s="119" t="s">
        <v>40</v>
      </c>
      <c r="W168" s="78" t="s">
        <v>48</v>
      </c>
      <c r="X168" s="78" t="s">
        <v>48</v>
      </c>
      <c r="Y168" s="78" t="s">
        <v>48</v>
      </c>
      <c r="Z168" s="78" t="s">
        <v>48</v>
      </c>
      <c r="AA168" s="119" t="s">
        <v>40</v>
      </c>
      <c r="AB168" s="78" t="s">
        <v>48</v>
      </c>
      <c r="AC168" s="78" t="s">
        <v>48</v>
      </c>
      <c r="AD168" s="78" t="s">
        <v>48</v>
      </c>
      <c r="AE168" s="78" t="s">
        <v>48</v>
      </c>
      <c r="AF168" s="119" t="s">
        <v>40</v>
      </c>
      <c r="AG168" s="78" t="s">
        <v>48</v>
      </c>
      <c r="AH168" s="78" t="s">
        <v>48</v>
      </c>
      <c r="AI168" s="78" t="s">
        <v>48</v>
      </c>
      <c r="AJ168" s="78" t="s">
        <v>48</v>
      </c>
      <c r="AK168" s="119" t="s">
        <v>40</v>
      </c>
      <c r="AL168" s="78" t="s">
        <v>48</v>
      </c>
      <c r="AM168" s="78" t="s">
        <v>48</v>
      </c>
      <c r="AN168" s="78" t="s">
        <v>48</v>
      </c>
      <c r="AO168" s="78" t="s">
        <v>48</v>
      </c>
      <c r="AP168" s="167">
        <v>624</v>
      </c>
      <c r="AQ168" s="148">
        <v>622</v>
      </c>
      <c r="AR168" s="148">
        <v>628</v>
      </c>
      <c r="AS168" s="148">
        <v>171</v>
      </c>
      <c r="AT168" s="148">
        <v>104</v>
      </c>
      <c r="AU168" s="167">
        <v>104</v>
      </c>
      <c r="AV168" s="148">
        <v>112</v>
      </c>
      <c r="AW168" s="148">
        <v>112</v>
      </c>
      <c r="AX168" s="148">
        <v>118</v>
      </c>
      <c r="AY168" s="148">
        <v>152</v>
      </c>
      <c r="AZ168" s="167">
        <v>152</v>
      </c>
      <c r="BA168" s="148">
        <v>43</v>
      </c>
      <c r="BB168" s="147" t="s">
        <v>138</v>
      </c>
      <c r="BC168" s="148">
        <v>9</v>
      </c>
      <c r="BD168" s="147" t="s">
        <v>138</v>
      </c>
      <c r="BE168" s="211" t="s">
        <v>138</v>
      </c>
      <c r="BF168" s="148">
        <v>10</v>
      </c>
      <c r="BG168" s="148">
        <v>20</v>
      </c>
      <c r="BH168" s="148">
        <v>15</v>
      </c>
      <c r="BI168" s="147" t="s">
        <v>138</v>
      </c>
      <c r="BJ168" s="211" t="s">
        <v>138</v>
      </c>
      <c r="BK168" s="148">
        <v>51</v>
      </c>
    </row>
    <row r="169" spans="1:63" ht="15" customHeight="1">
      <c r="A169" s="67" t="s">
        <v>215</v>
      </c>
      <c r="B169" s="119" t="s">
        <v>40</v>
      </c>
      <c r="C169" s="78" t="s">
        <v>48</v>
      </c>
      <c r="D169" s="78" t="s">
        <v>48</v>
      </c>
      <c r="E169" s="78" t="s">
        <v>48</v>
      </c>
      <c r="F169" s="78" t="s">
        <v>48</v>
      </c>
      <c r="G169" s="119" t="s">
        <v>40</v>
      </c>
      <c r="H169" s="78" t="s">
        <v>48</v>
      </c>
      <c r="I169" s="78" t="s">
        <v>48</v>
      </c>
      <c r="J169" s="78" t="s">
        <v>48</v>
      </c>
      <c r="K169" s="78" t="s">
        <v>48</v>
      </c>
      <c r="L169" s="119" t="s">
        <v>40</v>
      </c>
      <c r="M169" s="78" t="s">
        <v>48</v>
      </c>
      <c r="N169" s="78" t="s">
        <v>48</v>
      </c>
      <c r="O169" s="78" t="s">
        <v>48</v>
      </c>
      <c r="P169" s="78" t="s">
        <v>48</v>
      </c>
      <c r="Q169" s="119" t="s">
        <v>40</v>
      </c>
      <c r="R169" s="78" t="s">
        <v>48</v>
      </c>
      <c r="S169" s="78" t="s">
        <v>48</v>
      </c>
      <c r="T169" s="78" t="s">
        <v>48</v>
      </c>
      <c r="U169" s="78" t="s">
        <v>48</v>
      </c>
      <c r="V169" s="119" t="s">
        <v>40</v>
      </c>
      <c r="W169" s="78" t="s">
        <v>48</v>
      </c>
      <c r="X169" s="78" t="s">
        <v>48</v>
      </c>
      <c r="Y169" s="78" t="s">
        <v>48</v>
      </c>
      <c r="Z169" s="78" t="s">
        <v>48</v>
      </c>
      <c r="AA169" s="119" t="s">
        <v>40</v>
      </c>
      <c r="AB169" s="78" t="s">
        <v>48</v>
      </c>
      <c r="AC169" s="78" t="s">
        <v>48</v>
      </c>
      <c r="AD169" s="78" t="s">
        <v>48</v>
      </c>
      <c r="AE169" s="78" t="s">
        <v>48</v>
      </c>
      <c r="AF169" s="119" t="s">
        <v>40</v>
      </c>
      <c r="AG169" s="78" t="s">
        <v>48</v>
      </c>
      <c r="AH169" s="78" t="s">
        <v>48</v>
      </c>
      <c r="AI169" s="78" t="s">
        <v>48</v>
      </c>
      <c r="AJ169" s="78" t="s">
        <v>48</v>
      </c>
      <c r="AK169" s="119" t="s">
        <v>40</v>
      </c>
      <c r="AL169" s="78" t="s">
        <v>48</v>
      </c>
      <c r="AM169" s="78" t="s">
        <v>48</v>
      </c>
      <c r="AN169" s="78" t="s">
        <v>48</v>
      </c>
      <c r="AO169" s="78" t="s">
        <v>48</v>
      </c>
      <c r="AP169" s="167">
        <v>233</v>
      </c>
      <c r="AQ169" s="148">
        <v>206</v>
      </c>
      <c r="AR169" s="148">
        <v>208</v>
      </c>
      <c r="AS169" s="148">
        <v>6</v>
      </c>
      <c r="AT169" s="148">
        <v>32</v>
      </c>
      <c r="AU169" s="167">
        <v>32</v>
      </c>
      <c r="AV169" s="148">
        <v>6</v>
      </c>
      <c r="AW169" s="147" t="s">
        <v>138</v>
      </c>
      <c r="AX169" s="147" t="s">
        <v>138</v>
      </c>
      <c r="AY169" s="147" t="s">
        <v>138</v>
      </c>
      <c r="AZ169" s="211" t="s">
        <v>138</v>
      </c>
      <c r="BA169" s="147" t="s">
        <v>138</v>
      </c>
      <c r="BB169" s="147" t="s">
        <v>138</v>
      </c>
      <c r="BC169" s="147" t="s">
        <v>138</v>
      </c>
      <c r="BD169" s="147" t="s">
        <v>138</v>
      </c>
      <c r="BE169" s="211" t="s">
        <v>138</v>
      </c>
      <c r="BF169" s="147" t="s">
        <v>138</v>
      </c>
      <c r="BG169" s="147" t="s">
        <v>138</v>
      </c>
      <c r="BH169" s="147" t="s">
        <v>138</v>
      </c>
      <c r="BI169" s="147" t="s">
        <v>138</v>
      </c>
      <c r="BJ169" s="211" t="s">
        <v>138</v>
      </c>
      <c r="BK169" s="68">
        <v>0</v>
      </c>
    </row>
    <row r="170" spans="1:63" ht="15" customHeight="1">
      <c r="A170" s="67" t="s">
        <v>216</v>
      </c>
      <c r="B170" s="119" t="s">
        <v>40</v>
      </c>
      <c r="C170" s="78" t="s">
        <v>48</v>
      </c>
      <c r="D170" s="78" t="s">
        <v>48</v>
      </c>
      <c r="E170" s="78" t="s">
        <v>48</v>
      </c>
      <c r="F170" s="78" t="s">
        <v>48</v>
      </c>
      <c r="G170" s="119" t="s">
        <v>40</v>
      </c>
      <c r="H170" s="78" t="s">
        <v>48</v>
      </c>
      <c r="I170" s="78" t="s">
        <v>48</v>
      </c>
      <c r="J170" s="78" t="s">
        <v>48</v>
      </c>
      <c r="K170" s="78" t="s">
        <v>48</v>
      </c>
      <c r="L170" s="119" t="s">
        <v>40</v>
      </c>
      <c r="M170" s="78" t="s">
        <v>48</v>
      </c>
      <c r="N170" s="78" t="s">
        <v>48</v>
      </c>
      <c r="O170" s="78" t="s">
        <v>48</v>
      </c>
      <c r="P170" s="78" t="s">
        <v>48</v>
      </c>
      <c r="Q170" s="119" t="s">
        <v>40</v>
      </c>
      <c r="R170" s="78" t="s">
        <v>48</v>
      </c>
      <c r="S170" s="78" t="s">
        <v>48</v>
      </c>
      <c r="T170" s="78" t="s">
        <v>48</v>
      </c>
      <c r="U170" s="78" t="s">
        <v>48</v>
      </c>
      <c r="V170" s="119" t="s">
        <v>40</v>
      </c>
      <c r="W170" s="78" t="s">
        <v>48</v>
      </c>
      <c r="X170" s="78" t="s">
        <v>48</v>
      </c>
      <c r="Y170" s="78" t="s">
        <v>48</v>
      </c>
      <c r="Z170" s="78" t="s">
        <v>48</v>
      </c>
      <c r="AA170" s="119" t="s">
        <v>40</v>
      </c>
      <c r="AB170" s="78" t="s">
        <v>48</v>
      </c>
      <c r="AC170" s="78" t="s">
        <v>48</v>
      </c>
      <c r="AD170" s="78" t="s">
        <v>48</v>
      </c>
      <c r="AE170" s="78" t="s">
        <v>48</v>
      </c>
      <c r="AF170" s="119" t="s">
        <v>40</v>
      </c>
      <c r="AG170" s="78" t="s">
        <v>48</v>
      </c>
      <c r="AH170" s="78" t="s">
        <v>48</v>
      </c>
      <c r="AI170" s="78" t="s">
        <v>48</v>
      </c>
      <c r="AJ170" s="78" t="s">
        <v>48</v>
      </c>
      <c r="AK170" s="119" t="s">
        <v>40</v>
      </c>
      <c r="AL170" s="78" t="s">
        <v>48</v>
      </c>
      <c r="AM170" s="78" t="s">
        <v>48</v>
      </c>
      <c r="AN170" s="78" t="s">
        <v>48</v>
      </c>
      <c r="AO170" s="78" t="s">
        <v>48</v>
      </c>
      <c r="AP170" s="167">
        <v>378</v>
      </c>
      <c r="AQ170" s="148">
        <v>380</v>
      </c>
      <c r="AR170" s="148">
        <v>370</v>
      </c>
      <c r="AS170" s="148">
        <v>280</v>
      </c>
      <c r="AT170" s="148">
        <v>315</v>
      </c>
      <c r="AU170" s="167">
        <v>315</v>
      </c>
      <c r="AV170" s="148">
        <v>308</v>
      </c>
      <c r="AW170" s="148">
        <v>318</v>
      </c>
      <c r="AX170" s="148">
        <v>251</v>
      </c>
      <c r="AY170" s="148">
        <v>280</v>
      </c>
      <c r="AZ170" s="167">
        <v>280</v>
      </c>
      <c r="BA170" s="148">
        <v>286</v>
      </c>
      <c r="BB170" s="148">
        <v>369</v>
      </c>
      <c r="BC170" s="148">
        <v>330</v>
      </c>
      <c r="BD170" s="148">
        <v>581</v>
      </c>
      <c r="BE170" s="167">
        <v>581</v>
      </c>
      <c r="BF170" s="148">
        <v>500</v>
      </c>
      <c r="BG170" s="148">
        <v>443</v>
      </c>
      <c r="BH170" s="148">
        <v>365</v>
      </c>
      <c r="BI170" s="148">
        <v>654</v>
      </c>
      <c r="BJ170" s="167">
        <v>654</v>
      </c>
      <c r="BK170" s="148">
        <v>587</v>
      </c>
    </row>
    <row r="171" spans="1:63" ht="15" customHeight="1">
      <c r="A171" s="67" t="s">
        <v>217</v>
      </c>
      <c r="B171" s="119" t="s">
        <v>40</v>
      </c>
      <c r="C171" s="78" t="s">
        <v>48</v>
      </c>
      <c r="D171" s="78" t="s">
        <v>48</v>
      </c>
      <c r="E171" s="78" t="s">
        <v>48</v>
      </c>
      <c r="F171" s="78" t="s">
        <v>48</v>
      </c>
      <c r="G171" s="119" t="s">
        <v>40</v>
      </c>
      <c r="H171" s="78" t="s">
        <v>48</v>
      </c>
      <c r="I171" s="78" t="s">
        <v>48</v>
      </c>
      <c r="J171" s="78" t="s">
        <v>48</v>
      </c>
      <c r="K171" s="78" t="s">
        <v>48</v>
      </c>
      <c r="L171" s="119" t="s">
        <v>40</v>
      </c>
      <c r="M171" s="78" t="s">
        <v>48</v>
      </c>
      <c r="N171" s="78" t="s">
        <v>48</v>
      </c>
      <c r="O171" s="78" t="s">
        <v>48</v>
      </c>
      <c r="P171" s="78" t="s">
        <v>48</v>
      </c>
      <c r="Q171" s="119" t="s">
        <v>40</v>
      </c>
      <c r="R171" s="78" t="s">
        <v>48</v>
      </c>
      <c r="S171" s="78" t="s">
        <v>48</v>
      </c>
      <c r="T171" s="78" t="s">
        <v>48</v>
      </c>
      <c r="U171" s="78" t="s">
        <v>48</v>
      </c>
      <c r="V171" s="119" t="s">
        <v>40</v>
      </c>
      <c r="W171" s="78" t="s">
        <v>48</v>
      </c>
      <c r="X171" s="78" t="s">
        <v>48</v>
      </c>
      <c r="Y171" s="78" t="s">
        <v>48</v>
      </c>
      <c r="Z171" s="78" t="s">
        <v>48</v>
      </c>
      <c r="AA171" s="119" t="s">
        <v>40</v>
      </c>
      <c r="AB171" s="78" t="s">
        <v>48</v>
      </c>
      <c r="AC171" s="78" t="s">
        <v>48</v>
      </c>
      <c r="AD171" s="78" t="s">
        <v>48</v>
      </c>
      <c r="AE171" s="78" t="s">
        <v>48</v>
      </c>
      <c r="AF171" s="119" t="s">
        <v>40</v>
      </c>
      <c r="AG171" s="78" t="s">
        <v>48</v>
      </c>
      <c r="AH171" s="78" t="s">
        <v>48</v>
      </c>
      <c r="AI171" s="78" t="s">
        <v>48</v>
      </c>
      <c r="AJ171" s="78" t="s">
        <v>48</v>
      </c>
      <c r="AK171" s="119" t="s">
        <v>40</v>
      </c>
      <c r="AL171" s="78" t="s">
        <v>48</v>
      </c>
      <c r="AM171" s="78" t="s">
        <v>48</v>
      </c>
      <c r="AN171" s="78" t="s">
        <v>48</v>
      </c>
      <c r="AO171" s="78" t="s">
        <v>48</v>
      </c>
      <c r="AP171" s="167">
        <v>100</v>
      </c>
      <c r="AQ171" s="148">
        <v>88</v>
      </c>
      <c r="AR171" s="148">
        <v>90</v>
      </c>
      <c r="AS171" s="148">
        <v>87</v>
      </c>
      <c r="AT171" s="148">
        <v>80</v>
      </c>
      <c r="AU171" s="167">
        <v>80</v>
      </c>
      <c r="AV171" s="148">
        <v>81</v>
      </c>
      <c r="AW171" s="148">
        <v>79</v>
      </c>
      <c r="AX171" s="148">
        <v>94</v>
      </c>
      <c r="AY171" s="148">
        <v>94</v>
      </c>
      <c r="AZ171" s="167">
        <v>94</v>
      </c>
      <c r="BA171" s="148">
        <v>103</v>
      </c>
      <c r="BB171" s="148">
        <v>110</v>
      </c>
      <c r="BC171" s="148">
        <v>106</v>
      </c>
      <c r="BD171" s="148">
        <v>175</v>
      </c>
      <c r="BE171" s="167">
        <v>175</v>
      </c>
      <c r="BF171" s="148">
        <v>145</v>
      </c>
      <c r="BG171" s="148">
        <v>148</v>
      </c>
      <c r="BH171" s="148">
        <v>143</v>
      </c>
      <c r="BI171" s="148">
        <v>119</v>
      </c>
      <c r="BJ171" s="167">
        <v>125</v>
      </c>
      <c r="BK171" s="148">
        <v>125</v>
      </c>
    </row>
    <row r="172" spans="1:63" ht="15" customHeight="1">
      <c r="A172" s="67" t="s">
        <v>218</v>
      </c>
      <c r="B172" s="119" t="s">
        <v>40</v>
      </c>
      <c r="C172" s="78" t="s">
        <v>48</v>
      </c>
      <c r="D172" s="78" t="s">
        <v>48</v>
      </c>
      <c r="E172" s="78" t="s">
        <v>48</v>
      </c>
      <c r="F172" s="78" t="s">
        <v>48</v>
      </c>
      <c r="G172" s="119" t="s">
        <v>40</v>
      </c>
      <c r="H172" s="78" t="s">
        <v>48</v>
      </c>
      <c r="I172" s="78" t="s">
        <v>48</v>
      </c>
      <c r="J172" s="78" t="s">
        <v>48</v>
      </c>
      <c r="K172" s="78" t="s">
        <v>48</v>
      </c>
      <c r="L172" s="119" t="s">
        <v>40</v>
      </c>
      <c r="M172" s="78" t="s">
        <v>48</v>
      </c>
      <c r="N172" s="78" t="s">
        <v>48</v>
      </c>
      <c r="O172" s="78" t="s">
        <v>48</v>
      </c>
      <c r="P172" s="78" t="s">
        <v>48</v>
      </c>
      <c r="Q172" s="119" t="s">
        <v>40</v>
      </c>
      <c r="R172" s="78" t="s">
        <v>48</v>
      </c>
      <c r="S172" s="78" t="s">
        <v>48</v>
      </c>
      <c r="T172" s="78" t="s">
        <v>48</v>
      </c>
      <c r="U172" s="78" t="s">
        <v>48</v>
      </c>
      <c r="V172" s="119" t="s">
        <v>40</v>
      </c>
      <c r="W172" s="78" t="s">
        <v>48</v>
      </c>
      <c r="X172" s="78" t="s">
        <v>48</v>
      </c>
      <c r="Y172" s="78" t="s">
        <v>48</v>
      </c>
      <c r="Z172" s="78" t="s">
        <v>48</v>
      </c>
      <c r="AA172" s="119" t="s">
        <v>40</v>
      </c>
      <c r="AB172" s="78" t="s">
        <v>48</v>
      </c>
      <c r="AC172" s="78" t="s">
        <v>48</v>
      </c>
      <c r="AD172" s="78" t="s">
        <v>48</v>
      </c>
      <c r="AE172" s="78" t="s">
        <v>48</v>
      </c>
      <c r="AF172" s="119" t="s">
        <v>40</v>
      </c>
      <c r="AG172" s="78" t="s">
        <v>48</v>
      </c>
      <c r="AH172" s="78" t="s">
        <v>48</v>
      </c>
      <c r="AI172" s="78" t="s">
        <v>48</v>
      </c>
      <c r="AJ172" s="78" t="s">
        <v>48</v>
      </c>
      <c r="AK172" s="119" t="s">
        <v>40</v>
      </c>
      <c r="AL172" s="78" t="s">
        <v>48</v>
      </c>
      <c r="AM172" s="78" t="s">
        <v>48</v>
      </c>
      <c r="AN172" s="78" t="s">
        <v>48</v>
      </c>
      <c r="AO172" s="78" t="s">
        <v>48</v>
      </c>
      <c r="AP172" s="211" t="s">
        <v>138</v>
      </c>
      <c r="AQ172" s="147" t="s">
        <v>138</v>
      </c>
      <c r="AR172" s="147" t="s">
        <v>138</v>
      </c>
      <c r="AS172" s="148">
        <v>665</v>
      </c>
      <c r="AT172" s="147" t="s">
        <v>138</v>
      </c>
      <c r="AU172" s="211" t="s">
        <v>138</v>
      </c>
      <c r="AV172" s="147" t="s">
        <v>138</v>
      </c>
      <c r="AW172" s="147" t="s">
        <v>138</v>
      </c>
      <c r="AX172" s="148">
        <v>708</v>
      </c>
      <c r="AY172" s="147" t="s">
        <v>138</v>
      </c>
      <c r="AZ172" s="211" t="s">
        <v>138</v>
      </c>
      <c r="BA172" s="147" t="s">
        <v>138</v>
      </c>
      <c r="BB172" s="147" t="s">
        <v>138</v>
      </c>
      <c r="BC172" s="148">
        <v>318</v>
      </c>
      <c r="BD172" s="147" t="s">
        <v>138</v>
      </c>
      <c r="BE172" s="211" t="s">
        <v>138</v>
      </c>
      <c r="BF172" s="147" t="s">
        <v>138</v>
      </c>
      <c r="BG172" s="147" t="s">
        <v>138</v>
      </c>
      <c r="BH172" s="147" t="s">
        <v>138</v>
      </c>
      <c r="BI172" s="147" t="s">
        <v>138</v>
      </c>
      <c r="BJ172" s="211" t="s">
        <v>138</v>
      </c>
      <c r="BK172" s="68">
        <v>0</v>
      </c>
    </row>
    <row r="173" spans="1:63" ht="15" customHeight="1">
      <c r="A173" s="39" t="s">
        <v>219</v>
      </c>
      <c r="B173" s="39"/>
      <c r="C173" s="210"/>
      <c r="D173" s="210"/>
      <c r="E173" s="210"/>
      <c r="F173" s="210"/>
      <c r="G173" s="39"/>
      <c r="H173" s="210"/>
      <c r="I173" s="210"/>
      <c r="J173" s="210"/>
      <c r="K173" s="210"/>
      <c r="L173" s="39"/>
      <c r="M173" s="210"/>
      <c r="N173" s="210"/>
      <c r="O173" s="210"/>
      <c r="P173" s="210"/>
      <c r="Q173" s="39"/>
      <c r="R173" s="210"/>
      <c r="S173" s="210"/>
      <c r="T173" s="210"/>
      <c r="U173" s="210"/>
      <c r="V173" s="39"/>
      <c r="W173" s="210"/>
      <c r="X173" s="210"/>
      <c r="Y173" s="210"/>
      <c r="Z173" s="210"/>
      <c r="AA173" s="39"/>
      <c r="AB173" s="210"/>
      <c r="AC173" s="210"/>
      <c r="AD173" s="210"/>
      <c r="AE173" s="210"/>
      <c r="AF173" s="39"/>
      <c r="AG173" s="210"/>
      <c r="AH173" s="210"/>
      <c r="AI173" s="210"/>
      <c r="AJ173" s="210"/>
      <c r="AK173" s="39"/>
      <c r="AL173" s="210"/>
      <c r="AM173" s="210"/>
      <c r="AN173" s="210"/>
      <c r="AO173" s="210"/>
      <c r="AP173" s="39"/>
      <c r="AQ173" s="210">
        <f t="shared" ref="AQ173:AT173" si="245">SUM(AQ165:AQ172)</f>
        <v>5212</v>
      </c>
      <c r="AR173" s="210">
        <f t="shared" si="245"/>
        <v>4830</v>
      </c>
      <c r="AS173" s="210">
        <f t="shared" si="245"/>
        <v>4943</v>
      </c>
      <c r="AT173" s="210">
        <f t="shared" si="245"/>
        <v>3966</v>
      </c>
      <c r="AU173" s="210">
        <f>SUM(AU165:AU172)</f>
        <v>3966</v>
      </c>
      <c r="AV173" s="210">
        <f t="shared" ref="AV173:AW173" si="246">SUM(AV165:AV172)</f>
        <v>3806</v>
      </c>
      <c r="AW173" s="210">
        <f t="shared" si="246"/>
        <v>3075</v>
      </c>
      <c r="AX173" s="210">
        <f>SUM(AX165:AX172)</f>
        <v>3533</v>
      </c>
      <c r="AY173" s="210">
        <f>SUM(AY165:AY172)</f>
        <v>3857</v>
      </c>
      <c r="AZ173" s="210">
        <v>3857</v>
      </c>
      <c r="BA173" s="210">
        <v>4289</v>
      </c>
      <c r="BB173" s="210">
        <v>4275</v>
      </c>
      <c r="BC173" s="210">
        <v>4606</v>
      </c>
      <c r="BD173" s="210">
        <v>4433</v>
      </c>
      <c r="BE173" s="210">
        <v>4433</v>
      </c>
      <c r="BF173" s="210">
        <v>4460</v>
      </c>
      <c r="BG173" s="210">
        <v>4097</v>
      </c>
      <c r="BH173" s="210">
        <v>3579</v>
      </c>
      <c r="BI173" s="210">
        <v>3609</v>
      </c>
      <c r="BJ173" s="210">
        <v>3615</v>
      </c>
      <c r="BK173" s="210">
        <v>3791</v>
      </c>
    </row>
    <row r="174" spans="1:63" ht="15" customHeight="1">
      <c r="A174" s="67" t="s">
        <v>222</v>
      </c>
      <c r="B174" s="119" t="s">
        <v>40</v>
      </c>
      <c r="C174" s="78" t="s">
        <v>48</v>
      </c>
      <c r="D174" s="78" t="s">
        <v>48</v>
      </c>
      <c r="E174" s="78" t="s">
        <v>48</v>
      </c>
      <c r="F174" s="78" t="s">
        <v>48</v>
      </c>
      <c r="G174" s="119" t="s">
        <v>40</v>
      </c>
      <c r="H174" s="78" t="s">
        <v>48</v>
      </c>
      <c r="I174" s="78" t="s">
        <v>48</v>
      </c>
      <c r="J174" s="78" t="s">
        <v>48</v>
      </c>
      <c r="K174" s="78" t="s">
        <v>48</v>
      </c>
      <c r="L174" s="119" t="s">
        <v>40</v>
      </c>
      <c r="M174" s="78" t="s">
        <v>48</v>
      </c>
      <c r="N174" s="78" t="s">
        <v>48</v>
      </c>
      <c r="O174" s="78" t="s">
        <v>48</v>
      </c>
      <c r="P174" s="78" t="s">
        <v>48</v>
      </c>
      <c r="Q174" s="119" t="s">
        <v>40</v>
      </c>
      <c r="R174" s="78" t="s">
        <v>48</v>
      </c>
      <c r="S174" s="78" t="s">
        <v>48</v>
      </c>
      <c r="T174" s="78" t="s">
        <v>48</v>
      </c>
      <c r="U174" s="78" t="s">
        <v>48</v>
      </c>
      <c r="V174" s="119" t="s">
        <v>40</v>
      </c>
      <c r="W174" s="78" t="s">
        <v>48</v>
      </c>
      <c r="X174" s="78" t="s">
        <v>48</v>
      </c>
      <c r="Y174" s="78" t="s">
        <v>48</v>
      </c>
      <c r="Z174" s="78" t="s">
        <v>48</v>
      </c>
      <c r="AA174" s="119" t="s">
        <v>40</v>
      </c>
      <c r="AB174" s="78" t="s">
        <v>48</v>
      </c>
      <c r="AC174" s="78" t="s">
        <v>48</v>
      </c>
      <c r="AD174" s="78" t="s">
        <v>48</v>
      </c>
      <c r="AE174" s="78" t="s">
        <v>48</v>
      </c>
      <c r="AF174" s="119" t="s">
        <v>40</v>
      </c>
      <c r="AG174" s="78" t="s">
        <v>48</v>
      </c>
      <c r="AH174" s="78" t="s">
        <v>48</v>
      </c>
      <c r="AI174" s="78" t="s">
        <v>48</v>
      </c>
      <c r="AJ174" s="78" t="s">
        <v>48</v>
      </c>
      <c r="AK174" s="119" t="s">
        <v>40</v>
      </c>
      <c r="AL174" s="78" t="s">
        <v>48</v>
      </c>
      <c r="AM174" s="78" t="s">
        <v>48</v>
      </c>
      <c r="AN174" s="78" t="s">
        <v>48</v>
      </c>
      <c r="AO174" s="78" t="s">
        <v>48</v>
      </c>
      <c r="AP174" s="167">
        <v>8800</v>
      </c>
      <c r="AQ174" s="148">
        <v>8532</v>
      </c>
      <c r="AR174" s="148">
        <v>9546</v>
      </c>
      <c r="AS174" s="148">
        <v>9111</v>
      </c>
      <c r="AT174" s="148">
        <v>9128</v>
      </c>
      <c r="AU174" s="167">
        <v>9128</v>
      </c>
      <c r="AV174" s="148">
        <v>9109</v>
      </c>
      <c r="AW174" s="148">
        <v>10561</v>
      </c>
      <c r="AX174" s="148">
        <v>10978</v>
      </c>
      <c r="AY174" s="148">
        <v>10229</v>
      </c>
      <c r="AZ174" s="167">
        <v>10229</v>
      </c>
      <c r="BA174" s="148">
        <v>10547</v>
      </c>
      <c r="BB174" s="148">
        <v>10204</v>
      </c>
      <c r="BC174" s="148">
        <v>10149</v>
      </c>
      <c r="BD174" s="148">
        <v>9637</v>
      </c>
      <c r="BE174" s="167">
        <v>9637</v>
      </c>
      <c r="BF174" s="148">
        <v>9618</v>
      </c>
      <c r="BG174" s="148">
        <v>9709</v>
      </c>
      <c r="BH174" s="148">
        <v>9393</v>
      </c>
      <c r="BI174" s="148">
        <v>8551</v>
      </c>
      <c r="BJ174" s="167">
        <v>8551</v>
      </c>
      <c r="BK174" s="148">
        <v>8535</v>
      </c>
    </row>
    <row r="175" spans="1:63" ht="15" customHeight="1">
      <c r="A175" s="67" t="s">
        <v>238</v>
      </c>
      <c r="B175" s="119"/>
      <c r="C175" s="78"/>
      <c r="D175" s="78"/>
      <c r="E175" s="78"/>
      <c r="F175" s="78"/>
      <c r="G175" s="119"/>
      <c r="H175" s="78"/>
      <c r="I175" s="78"/>
      <c r="J175" s="78"/>
      <c r="K175" s="78"/>
      <c r="L175" s="119"/>
      <c r="M175" s="78"/>
      <c r="N175" s="78"/>
      <c r="O175" s="78"/>
      <c r="P175" s="78"/>
      <c r="Q175" s="119"/>
      <c r="R175" s="78"/>
      <c r="S175" s="78"/>
      <c r="T175" s="78"/>
      <c r="U175" s="78"/>
      <c r="V175" s="119"/>
      <c r="W175" s="78"/>
      <c r="X175" s="78"/>
      <c r="Y175" s="78"/>
      <c r="Z175" s="78"/>
      <c r="AA175" s="119"/>
      <c r="AB175" s="78"/>
      <c r="AC175" s="78"/>
      <c r="AD175" s="78"/>
      <c r="AE175" s="78"/>
      <c r="AF175" s="119"/>
      <c r="AG175" s="78"/>
      <c r="AH175" s="78"/>
      <c r="AI175" s="78"/>
      <c r="AJ175" s="78"/>
      <c r="AK175" s="119"/>
      <c r="AL175" s="78"/>
      <c r="AM175" s="78"/>
      <c r="AN175" s="78"/>
      <c r="AO175" s="78"/>
      <c r="AP175" s="167"/>
      <c r="AQ175" s="148"/>
      <c r="AR175" s="148"/>
      <c r="AS175" s="148"/>
      <c r="AT175" s="148"/>
      <c r="AU175" s="167"/>
      <c r="AV175" s="148"/>
      <c r="AW175" s="148"/>
      <c r="AX175" s="148"/>
      <c r="AY175" s="148"/>
      <c r="AZ175" s="167"/>
      <c r="BA175" s="148">
        <v>1006</v>
      </c>
      <c r="BB175" s="148">
        <v>1034</v>
      </c>
      <c r="BC175" s="148">
        <v>1024</v>
      </c>
      <c r="BD175" s="148">
        <v>1106</v>
      </c>
      <c r="BE175" s="167">
        <v>1106</v>
      </c>
      <c r="BF175" s="148">
        <v>1061</v>
      </c>
      <c r="BG175" s="148">
        <v>1022</v>
      </c>
      <c r="BH175" s="148">
        <v>989</v>
      </c>
      <c r="BI175" s="148">
        <v>941</v>
      </c>
      <c r="BJ175" s="167">
        <v>969</v>
      </c>
      <c r="BK175" s="148">
        <v>1049</v>
      </c>
    </row>
    <row r="176" spans="1:63" ht="15" customHeight="1">
      <c r="A176" s="67" t="s">
        <v>216</v>
      </c>
      <c r="B176" s="119" t="s">
        <v>40</v>
      </c>
      <c r="C176" s="78" t="s">
        <v>48</v>
      </c>
      <c r="D176" s="78" t="s">
        <v>48</v>
      </c>
      <c r="E176" s="78" t="s">
        <v>48</v>
      </c>
      <c r="F176" s="78" t="s">
        <v>48</v>
      </c>
      <c r="G176" s="119" t="s">
        <v>40</v>
      </c>
      <c r="H176" s="78" t="s">
        <v>48</v>
      </c>
      <c r="I176" s="78" t="s">
        <v>48</v>
      </c>
      <c r="J176" s="78" t="s">
        <v>48</v>
      </c>
      <c r="K176" s="78" t="s">
        <v>48</v>
      </c>
      <c r="L176" s="119" t="s">
        <v>40</v>
      </c>
      <c r="M176" s="78" t="s">
        <v>48</v>
      </c>
      <c r="N176" s="78" t="s">
        <v>48</v>
      </c>
      <c r="O176" s="78" t="s">
        <v>48</v>
      </c>
      <c r="P176" s="78" t="s">
        <v>48</v>
      </c>
      <c r="Q176" s="119" t="s">
        <v>40</v>
      </c>
      <c r="R176" s="78" t="s">
        <v>48</v>
      </c>
      <c r="S176" s="78" t="s">
        <v>48</v>
      </c>
      <c r="T176" s="78" t="s">
        <v>48</v>
      </c>
      <c r="U176" s="78" t="s">
        <v>48</v>
      </c>
      <c r="V176" s="119" t="s">
        <v>40</v>
      </c>
      <c r="W176" s="78" t="s">
        <v>48</v>
      </c>
      <c r="X176" s="78" t="s">
        <v>48</v>
      </c>
      <c r="Y176" s="78" t="s">
        <v>48</v>
      </c>
      <c r="Z176" s="78" t="s">
        <v>48</v>
      </c>
      <c r="AA176" s="119" t="s">
        <v>40</v>
      </c>
      <c r="AB176" s="78" t="s">
        <v>48</v>
      </c>
      <c r="AC176" s="78" t="s">
        <v>48</v>
      </c>
      <c r="AD176" s="78" t="s">
        <v>48</v>
      </c>
      <c r="AE176" s="78" t="s">
        <v>48</v>
      </c>
      <c r="AF176" s="119" t="s">
        <v>40</v>
      </c>
      <c r="AG176" s="78" t="s">
        <v>48</v>
      </c>
      <c r="AH176" s="78" t="s">
        <v>48</v>
      </c>
      <c r="AI176" s="78" t="s">
        <v>48</v>
      </c>
      <c r="AJ176" s="78" t="s">
        <v>48</v>
      </c>
      <c r="AK176" s="119" t="s">
        <v>40</v>
      </c>
      <c r="AL176" s="78" t="s">
        <v>48</v>
      </c>
      <c r="AM176" s="78" t="s">
        <v>48</v>
      </c>
      <c r="AN176" s="78" t="s">
        <v>48</v>
      </c>
      <c r="AO176" s="78" t="s">
        <v>48</v>
      </c>
      <c r="AP176" s="167">
        <v>240</v>
      </c>
      <c r="AQ176" s="148">
        <v>238</v>
      </c>
      <c r="AR176" s="148">
        <v>239</v>
      </c>
      <c r="AS176" s="148">
        <v>237</v>
      </c>
      <c r="AT176" s="148">
        <v>258</v>
      </c>
      <c r="AU176" s="167">
        <v>258</v>
      </c>
      <c r="AV176" s="148">
        <v>260</v>
      </c>
      <c r="AW176" s="148">
        <v>259</v>
      </c>
      <c r="AX176" s="148">
        <v>260</v>
      </c>
      <c r="AY176" s="148">
        <v>272</v>
      </c>
      <c r="AZ176" s="167">
        <v>272</v>
      </c>
      <c r="BA176" s="148">
        <v>272</v>
      </c>
      <c r="BB176" s="148">
        <v>267</v>
      </c>
      <c r="BC176" s="148">
        <v>266</v>
      </c>
      <c r="BD176" s="148">
        <v>445</v>
      </c>
      <c r="BE176" s="167">
        <v>445</v>
      </c>
      <c r="BF176" s="148">
        <v>482</v>
      </c>
      <c r="BG176" s="148">
        <v>487</v>
      </c>
      <c r="BH176" s="148">
        <v>539</v>
      </c>
      <c r="BI176" s="148">
        <v>356</v>
      </c>
      <c r="BJ176" s="167">
        <v>356</v>
      </c>
      <c r="BK176" s="148">
        <v>314</v>
      </c>
    </row>
    <row r="177" spans="1:16384" ht="15" customHeight="1">
      <c r="A177" s="67" t="s">
        <v>223</v>
      </c>
      <c r="B177" s="119" t="s">
        <v>40</v>
      </c>
      <c r="C177" s="78" t="s">
        <v>48</v>
      </c>
      <c r="D177" s="78" t="s">
        <v>48</v>
      </c>
      <c r="E177" s="78" t="s">
        <v>48</v>
      </c>
      <c r="F177" s="78" t="s">
        <v>48</v>
      </c>
      <c r="G177" s="119" t="s">
        <v>40</v>
      </c>
      <c r="H177" s="78" t="s">
        <v>48</v>
      </c>
      <c r="I177" s="78" t="s">
        <v>48</v>
      </c>
      <c r="J177" s="78" t="s">
        <v>48</v>
      </c>
      <c r="K177" s="78" t="s">
        <v>48</v>
      </c>
      <c r="L177" s="119" t="s">
        <v>40</v>
      </c>
      <c r="M177" s="78" t="s">
        <v>48</v>
      </c>
      <c r="N177" s="78" t="s">
        <v>48</v>
      </c>
      <c r="O177" s="78" t="s">
        <v>48</v>
      </c>
      <c r="P177" s="78" t="s">
        <v>48</v>
      </c>
      <c r="Q177" s="119" t="s">
        <v>40</v>
      </c>
      <c r="R177" s="78" t="s">
        <v>48</v>
      </c>
      <c r="S177" s="78" t="s">
        <v>48</v>
      </c>
      <c r="T177" s="78" t="s">
        <v>48</v>
      </c>
      <c r="U177" s="78" t="s">
        <v>48</v>
      </c>
      <c r="V177" s="119" t="s">
        <v>40</v>
      </c>
      <c r="W177" s="78" t="s">
        <v>48</v>
      </c>
      <c r="X177" s="78" t="s">
        <v>48</v>
      </c>
      <c r="Y177" s="78" t="s">
        <v>48</v>
      </c>
      <c r="Z177" s="78" t="s">
        <v>48</v>
      </c>
      <c r="AA177" s="119" t="s">
        <v>40</v>
      </c>
      <c r="AB177" s="78" t="s">
        <v>48</v>
      </c>
      <c r="AC177" s="78" t="s">
        <v>48</v>
      </c>
      <c r="AD177" s="78" t="s">
        <v>48</v>
      </c>
      <c r="AE177" s="78" t="s">
        <v>48</v>
      </c>
      <c r="AF177" s="119" t="s">
        <v>40</v>
      </c>
      <c r="AG177" s="78" t="s">
        <v>48</v>
      </c>
      <c r="AH177" s="78" t="s">
        <v>48</v>
      </c>
      <c r="AI177" s="78" t="s">
        <v>48</v>
      </c>
      <c r="AJ177" s="78" t="s">
        <v>48</v>
      </c>
      <c r="AK177" s="119" t="s">
        <v>40</v>
      </c>
      <c r="AL177" s="78" t="s">
        <v>48</v>
      </c>
      <c r="AM177" s="78" t="s">
        <v>48</v>
      </c>
      <c r="AN177" s="78" t="s">
        <v>48</v>
      </c>
      <c r="AO177" s="78" t="s">
        <v>48</v>
      </c>
      <c r="AP177" s="167">
        <v>226</v>
      </c>
      <c r="AQ177" s="148">
        <v>262</v>
      </c>
      <c r="AR177" s="148">
        <v>252</v>
      </c>
      <c r="AS177" s="148">
        <v>257</v>
      </c>
      <c r="AT177" s="148">
        <v>244</v>
      </c>
      <c r="AU177" s="167">
        <v>244</v>
      </c>
      <c r="AV177" s="148">
        <v>250</v>
      </c>
      <c r="AW177" s="148">
        <v>251</v>
      </c>
      <c r="AX177" s="148">
        <v>292</v>
      </c>
      <c r="AY177" s="148">
        <v>234</v>
      </c>
      <c r="AZ177" s="167">
        <v>234</v>
      </c>
      <c r="BA177" s="148">
        <v>258</v>
      </c>
      <c r="BB177" s="148">
        <v>210</v>
      </c>
      <c r="BC177" s="148">
        <v>212</v>
      </c>
      <c r="BD177" s="148">
        <v>174</v>
      </c>
      <c r="BE177" s="167">
        <v>174</v>
      </c>
      <c r="BF177" s="148">
        <v>168</v>
      </c>
      <c r="BG177" s="148">
        <v>163</v>
      </c>
      <c r="BH177" s="148">
        <v>178</v>
      </c>
      <c r="BI177" s="148">
        <v>139</v>
      </c>
      <c r="BJ177" s="167">
        <v>139</v>
      </c>
      <c r="BK177" s="148">
        <v>163</v>
      </c>
    </row>
    <row r="178" spans="1:16384" ht="15" customHeight="1">
      <c r="A178" s="67" t="s">
        <v>224</v>
      </c>
      <c r="B178" s="119" t="s">
        <v>40</v>
      </c>
      <c r="C178" s="78" t="s">
        <v>48</v>
      </c>
      <c r="D178" s="78" t="s">
        <v>48</v>
      </c>
      <c r="E178" s="78" t="s">
        <v>48</v>
      </c>
      <c r="F178" s="78" t="s">
        <v>48</v>
      </c>
      <c r="G178" s="119" t="s">
        <v>40</v>
      </c>
      <c r="H178" s="78" t="s">
        <v>48</v>
      </c>
      <c r="I178" s="78" t="s">
        <v>48</v>
      </c>
      <c r="J178" s="78" t="s">
        <v>48</v>
      </c>
      <c r="K178" s="78" t="s">
        <v>48</v>
      </c>
      <c r="L178" s="119" t="s">
        <v>40</v>
      </c>
      <c r="M178" s="78" t="s">
        <v>48</v>
      </c>
      <c r="N178" s="78" t="s">
        <v>48</v>
      </c>
      <c r="O178" s="78" t="s">
        <v>48</v>
      </c>
      <c r="P178" s="78" t="s">
        <v>48</v>
      </c>
      <c r="Q178" s="119" t="s">
        <v>40</v>
      </c>
      <c r="R178" s="78" t="s">
        <v>48</v>
      </c>
      <c r="S178" s="78" t="s">
        <v>48</v>
      </c>
      <c r="T178" s="78" t="s">
        <v>48</v>
      </c>
      <c r="U178" s="78" t="s">
        <v>48</v>
      </c>
      <c r="V178" s="119" t="s">
        <v>40</v>
      </c>
      <c r="W178" s="78" t="s">
        <v>48</v>
      </c>
      <c r="X178" s="78" t="s">
        <v>48</v>
      </c>
      <c r="Y178" s="78" t="s">
        <v>48</v>
      </c>
      <c r="Z178" s="78" t="s">
        <v>48</v>
      </c>
      <c r="AA178" s="119" t="s">
        <v>40</v>
      </c>
      <c r="AB178" s="78" t="s">
        <v>48</v>
      </c>
      <c r="AC178" s="78" t="s">
        <v>48</v>
      </c>
      <c r="AD178" s="78" t="s">
        <v>48</v>
      </c>
      <c r="AE178" s="78" t="s">
        <v>48</v>
      </c>
      <c r="AF178" s="119" t="s">
        <v>40</v>
      </c>
      <c r="AG178" s="78" t="s">
        <v>48</v>
      </c>
      <c r="AH178" s="78" t="s">
        <v>48</v>
      </c>
      <c r="AI178" s="78" t="s">
        <v>48</v>
      </c>
      <c r="AJ178" s="78" t="s">
        <v>48</v>
      </c>
      <c r="AK178" s="119" t="s">
        <v>40</v>
      </c>
      <c r="AL178" s="78" t="s">
        <v>48</v>
      </c>
      <c r="AM178" s="78" t="s">
        <v>48</v>
      </c>
      <c r="AN178" s="78" t="s">
        <v>48</v>
      </c>
      <c r="AO178" s="78" t="s">
        <v>48</v>
      </c>
      <c r="AP178" s="167">
        <v>51</v>
      </c>
      <c r="AQ178" s="148">
        <v>50</v>
      </c>
      <c r="AR178" s="148">
        <v>75</v>
      </c>
      <c r="AS178" s="148">
        <v>81</v>
      </c>
      <c r="AT178" s="148">
        <v>101</v>
      </c>
      <c r="AU178" s="167">
        <v>101</v>
      </c>
      <c r="AV178" s="148">
        <v>103</v>
      </c>
      <c r="AW178" s="148">
        <v>99</v>
      </c>
      <c r="AX178" s="148">
        <v>104</v>
      </c>
      <c r="AY178" s="148">
        <v>73</v>
      </c>
      <c r="AZ178" s="167">
        <v>73</v>
      </c>
      <c r="BA178" s="148">
        <v>86</v>
      </c>
      <c r="BB178" s="148">
        <v>74</v>
      </c>
      <c r="BC178" s="148">
        <v>91</v>
      </c>
      <c r="BD178" s="148">
        <v>56</v>
      </c>
      <c r="BE178" s="167">
        <v>56</v>
      </c>
      <c r="BF178" s="148">
        <v>54</v>
      </c>
      <c r="BG178" s="148">
        <v>53</v>
      </c>
      <c r="BH178" s="148">
        <v>50</v>
      </c>
      <c r="BI178" s="148">
        <v>43</v>
      </c>
      <c r="BJ178" s="167">
        <v>43</v>
      </c>
      <c r="BK178" s="148">
        <v>46</v>
      </c>
    </row>
    <row r="179" spans="1:16384" ht="15" customHeight="1">
      <c r="A179" s="67" t="s">
        <v>217</v>
      </c>
      <c r="B179" s="119" t="s">
        <v>40</v>
      </c>
      <c r="C179" s="78" t="s">
        <v>48</v>
      </c>
      <c r="D179" s="78" t="s">
        <v>48</v>
      </c>
      <c r="E179" s="78" t="s">
        <v>48</v>
      </c>
      <c r="F179" s="78" t="s">
        <v>48</v>
      </c>
      <c r="G179" s="119" t="s">
        <v>40</v>
      </c>
      <c r="H179" s="78" t="s">
        <v>48</v>
      </c>
      <c r="I179" s="78" t="s">
        <v>48</v>
      </c>
      <c r="J179" s="78" t="s">
        <v>48</v>
      </c>
      <c r="K179" s="78" t="s">
        <v>48</v>
      </c>
      <c r="L179" s="119" t="s">
        <v>40</v>
      </c>
      <c r="M179" s="78" t="s">
        <v>48</v>
      </c>
      <c r="N179" s="78" t="s">
        <v>48</v>
      </c>
      <c r="O179" s="78" t="s">
        <v>48</v>
      </c>
      <c r="P179" s="78" t="s">
        <v>48</v>
      </c>
      <c r="Q179" s="119" t="s">
        <v>40</v>
      </c>
      <c r="R179" s="78" t="s">
        <v>48</v>
      </c>
      <c r="S179" s="78" t="s">
        <v>48</v>
      </c>
      <c r="T179" s="78" t="s">
        <v>48</v>
      </c>
      <c r="U179" s="78" t="s">
        <v>48</v>
      </c>
      <c r="V179" s="119" t="s">
        <v>40</v>
      </c>
      <c r="W179" s="78" t="s">
        <v>48</v>
      </c>
      <c r="X179" s="78" t="s">
        <v>48</v>
      </c>
      <c r="Y179" s="78" t="s">
        <v>48</v>
      </c>
      <c r="Z179" s="78" t="s">
        <v>48</v>
      </c>
      <c r="AA179" s="119" t="s">
        <v>40</v>
      </c>
      <c r="AB179" s="78" t="s">
        <v>48</v>
      </c>
      <c r="AC179" s="78" t="s">
        <v>48</v>
      </c>
      <c r="AD179" s="78" t="s">
        <v>48</v>
      </c>
      <c r="AE179" s="78" t="s">
        <v>48</v>
      </c>
      <c r="AF179" s="119" t="s">
        <v>40</v>
      </c>
      <c r="AG179" s="78" t="s">
        <v>48</v>
      </c>
      <c r="AH179" s="78" t="s">
        <v>48</v>
      </c>
      <c r="AI179" s="78" t="s">
        <v>48</v>
      </c>
      <c r="AJ179" s="78" t="s">
        <v>48</v>
      </c>
      <c r="AK179" s="119" t="s">
        <v>40</v>
      </c>
      <c r="AL179" s="78" t="s">
        <v>48</v>
      </c>
      <c r="AM179" s="78" t="s">
        <v>48</v>
      </c>
      <c r="AN179" s="78" t="s">
        <v>48</v>
      </c>
      <c r="AO179" s="78" t="s">
        <v>48</v>
      </c>
      <c r="AP179" s="167">
        <v>46</v>
      </c>
      <c r="AQ179" s="148">
        <v>46</v>
      </c>
      <c r="AR179" s="148">
        <v>46</v>
      </c>
      <c r="AS179" s="148">
        <v>47</v>
      </c>
      <c r="AT179" s="148">
        <v>47</v>
      </c>
      <c r="AU179" s="167">
        <v>47</v>
      </c>
      <c r="AV179" s="148">
        <v>47</v>
      </c>
      <c r="AW179" s="148">
        <v>48</v>
      </c>
      <c r="AX179" s="148">
        <v>48</v>
      </c>
      <c r="AY179" s="148">
        <v>40</v>
      </c>
      <c r="AZ179" s="167">
        <v>40</v>
      </c>
      <c r="BA179" s="148">
        <v>39</v>
      </c>
      <c r="BB179" s="148">
        <v>40</v>
      </c>
      <c r="BC179" s="148">
        <v>40</v>
      </c>
      <c r="BD179" s="148">
        <v>38</v>
      </c>
      <c r="BE179" s="167">
        <v>38</v>
      </c>
      <c r="BF179" s="148">
        <v>39</v>
      </c>
      <c r="BG179" s="148">
        <v>39</v>
      </c>
      <c r="BH179" s="148">
        <v>39</v>
      </c>
      <c r="BI179" s="148">
        <v>49</v>
      </c>
      <c r="BJ179" s="167">
        <v>49</v>
      </c>
      <c r="BK179" s="148">
        <v>50</v>
      </c>
    </row>
    <row r="180" spans="1:16384" ht="15" customHeight="1">
      <c r="A180" s="39" t="s">
        <v>220</v>
      </c>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210"/>
      <c r="AM180" s="210"/>
      <c r="AN180" s="210"/>
      <c r="AO180" s="210"/>
      <c r="AP180" s="210">
        <f>SUM(AP174:AP179)</f>
        <v>9363</v>
      </c>
      <c r="AQ180" s="210">
        <f t="shared" ref="AQ180:AT180" si="247">SUM(AQ174:AQ179)</f>
        <v>9128</v>
      </c>
      <c r="AR180" s="210">
        <f t="shared" si="247"/>
        <v>10158</v>
      </c>
      <c r="AS180" s="210">
        <f t="shared" si="247"/>
        <v>9733</v>
      </c>
      <c r="AT180" s="210">
        <f t="shared" si="247"/>
        <v>9778</v>
      </c>
      <c r="AU180" s="210">
        <f>SUM(AU174:AU179)</f>
        <v>9778</v>
      </c>
      <c r="AV180" s="210">
        <f t="shared" ref="AV180:AW180" si="248">SUM(AV174:AV179)</f>
        <v>9769</v>
      </c>
      <c r="AW180" s="210">
        <f t="shared" si="248"/>
        <v>11218</v>
      </c>
      <c r="AX180" s="210">
        <f>SUM(AX174:AX179)</f>
        <v>11682</v>
      </c>
      <c r="AY180" s="210">
        <f>SUM(AY174:AY179)</f>
        <v>10848</v>
      </c>
      <c r="AZ180" s="210">
        <v>10848</v>
      </c>
      <c r="BA180" s="210">
        <v>12208</v>
      </c>
      <c r="BB180" s="210">
        <v>11829</v>
      </c>
      <c r="BC180" s="210">
        <v>11782</v>
      </c>
      <c r="BD180" s="210">
        <v>11456</v>
      </c>
      <c r="BE180" s="210">
        <v>11456</v>
      </c>
      <c r="BF180" s="210">
        <v>11422</v>
      </c>
      <c r="BG180" s="210">
        <v>11473</v>
      </c>
      <c r="BH180" s="210">
        <v>11188</v>
      </c>
      <c r="BI180" s="210">
        <v>10079</v>
      </c>
      <c r="BJ180" s="210">
        <v>10107</v>
      </c>
      <c r="BK180" s="210">
        <v>10157</v>
      </c>
    </row>
    <row r="181" spans="1:16384" ht="15" customHeight="1">
      <c r="A181" s="39" t="s">
        <v>221</v>
      </c>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210"/>
      <c r="AM181" s="210"/>
      <c r="AN181" s="210"/>
      <c r="AO181" s="210"/>
      <c r="AP181" s="215">
        <v>2411</v>
      </c>
      <c r="AQ181" s="210">
        <v>2693</v>
      </c>
      <c r="AR181" s="210">
        <v>2299</v>
      </c>
      <c r="AS181" s="210">
        <v>2027</v>
      </c>
      <c r="AT181" s="210">
        <v>2203</v>
      </c>
      <c r="AU181" s="210">
        <v>2203</v>
      </c>
      <c r="AV181" s="210">
        <v>2559</v>
      </c>
      <c r="AW181" s="210">
        <v>2325</v>
      </c>
      <c r="AX181" s="210">
        <v>1927</v>
      </c>
      <c r="AY181" s="210">
        <v>2144</v>
      </c>
      <c r="AZ181" s="210">
        <v>2144</v>
      </c>
      <c r="BA181" s="210">
        <v>2425</v>
      </c>
      <c r="BB181" s="210">
        <v>2257</v>
      </c>
      <c r="BC181" s="210">
        <v>2170</v>
      </c>
      <c r="BD181" s="210">
        <v>434</v>
      </c>
      <c r="BE181" s="210">
        <v>434</v>
      </c>
      <c r="BF181" s="210">
        <v>747</v>
      </c>
      <c r="BG181" s="210">
        <v>-836</v>
      </c>
      <c r="BH181" s="210">
        <v>-683</v>
      </c>
      <c r="BI181" s="210">
        <v>-685</v>
      </c>
      <c r="BJ181" s="210">
        <v>-685</v>
      </c>
      <c r="BK181" s="210">
        <v>-345</v>
      </c>
    </row>
    <row r="182" spans="1:16384" ht="15.75" customHeight="1">
      <c r="C182"/>
      <c r="D182"/>
      <c r="E182"/>
      <c r="F182"/>
      <c r="G182"/>
      <c r="H182"/>
      <c r="I182"/>
      <c r="J182"/>
      <c r="K182"/>
      <c r="L182"/>
      <c r="M182"/>
      <c r="N182"/>
      <c r="O182"/>
      <c r="P182"/>
      <c r="Q182" s="212"/>
      <c r="R182"/>
      <c r="S182"/>
      <c r="T182"/>
      <c r="U182"/>
      <c r="V182" s="212"/>
      <c r="W182"/>
      <c r="X182"/>
      <c r="Y182"/>
      <c r="Z182"/>
      <c r="AA182" s="212"/>
      <c r="AB182"/>
      <c r="AC182"/>
      <c r="AD182"/>
      <c r="AE182"/>
      <c r="AF182" s="212"/>
      <c r="AG182"/>
      <c r="AH182"/>
      <c r="AI182"/>
      <c r="AJ182"/>
      <c r="AK182" s="212"/>
      <c r="AL182"/>
      <c r="AM182"/>
      <c r="AN182"/>
      <c r="AO182"/>
      <c r="AP182" s="212"/>
      <c r="AQ182"/>
      <c r="AR182"/>
      <c r="AS182"/>
      <c r="AT182"/>
      <c r="AU182" s="212"/>
      <c r="AV182"/>
      <c r="AW182"/>
      <c r="AX182"/>
      <c r="AY182"/>
      <c r="AZ182" s="212"/>
      <c r="BA182"/>
      <c r="BB182"/>
      <c r="BC182"/>
      <c r="BD182"/>
      <c r="BE182" s="212"/>
      <c r="BF182"/>
      <c r="BG182"/>
      <c r="BH182"/>
      <c r="BI182"/>
      <c r="BJ182" s="21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c r="MS182"/>
      <c r="MT182"/>
      <c r="MU182"/>
      <c r="MV182"/>
      <c r="MW182"/>
      <c r="MX182"/>
      <c r="MY182"/>
      <c r="MZ182"/>
      <c r="NA182"/>
      <c r="NB182"/>
      <c r="NC182"/>
      <c r="ND182"/>
      <c r="NE182"/>
      <c r="NF182"/>
      <c r="NG182"/>
      <c r="NH182"/>
      <c r="NI182"/>
      <c r="NJ182"/>
      <c r="NK182"/>
      <c r="NL182"/>
      <c r="NM182"/>
      <c r="NN182"/>
      <c r="NO182"/>
      <c r="NP182"/>
      <c r="NQ182"/>
      <c r="NR182"/>
      <c r="NS182"/>
      <c r="NT182"/>
      <c r="NU182"/>
      <c r="NV182"/>
      <c r="NW182"/>
      <c r="NX182"/>
      <c r="NY182"/>
      <c r="NZ182"/>
      <c r="OA182"/>
      <c r="OB182"/>
      <c r="OC182"/>
      <c r="OD182"/>
      <c r="OE182"/>
      <c r="OF182"/>
      <c r="OG182"/>
      <c r="OH182"/>
      <c r="OI182"/>
      <c r="OJ182"/>
      <c r="OK182"/>
      <c r="OL182"/>
      <c r="OM182"/>
      <c r="ON182"/>
      <c r="OO182"/>
      <c r="OP182"/>
      <c r="OQ182"/>
      <c r="OR182"/>
      <c r="OS182"/>
      <c r="OT182"/>
      <c r="OU182"/>
      <c r="OV182"/>
      <c r="OW182"/>
      <c r="OX182"/>
      <c r="OY182"/>
      <c r="OZ182"/>
      <c r="PA182"/>
      <c r="PB182"/>
      <c r="PC182"/>
      <c r="PD182"/>
      <c r="PE182"/>
      <c r="PF182"/>
      <c r="PG182"/>
      <c r="PH182"/>
      <c r="PI182"/>
      <c r="PJ182"/>
      <c r="PK182"/>
      <c r="PL182"/>
      <c r="PM182"/>
      <c r="PN182"/>
      <c r="PO182"/>
      <c r="PP182"/>
      <c r="PQ182"/>
      <c r="PR182"/>
      <c r="PS182"/>
      <c r="PT182"/>
      <c r="PU182"/>
      <c r="PV182"/>
      <c r="PW182"/>
      <c r="PX182"/>
      <c r="PY182"/>
      <c r="PZ182"/>
      <c r="QA182"/>
      <c r="QB182"/>
      <c r="QC182"/>
      <c r="QD182"/>
      <c r="QE182"/>
      <c r="QF182"/>
      <c r="QG182"/>
      <c r="QH182"/>
      <c r="QI182"/>
      <c r="QJ182"/>
      <c r="QK182"/>
      <c r="QL182"/>
      <c r="QM182"/>
      <c r="QN182"/>
      <c r="QO182"/>
      <c r="QP182"/>
      <c r="QQ182"/>
      <c r="QR182"/>
      <c r="QS182"/>
      <c r="QT182"/>
      <c r="QU182"/>
      <c r="QV182"/>
      <c r="QW182"/>
      <c r="QX182"/>
      <c r="QY182"/>
      <c r="QZ182"/>
      <c r="RA182"/>
      <c r="RB182"/>
      <c r="RC182"/>
      <c r="RD182"/>
      <c r="RE182"/>
      <c r="RF182"/>
      <c r="RG182"/>
      <c r="RH182"/>
      <c r="RI182"/>
      <c r="RJ182"/>
      <c r="RK182"/>
      <c r="RL182"/>
      <c r="RM182"/>
      <c r="RN182"/>
      <c r="RO182"/>
      <c r="RP182"/>
      <c r="RQ182"/>
      <c r="RR182"/>
      <c r="RS182"/>
      <c r="RT182"/>
      <c r="RU182"/>
      <c r="RV182"/>
      <c r="RW182"/>
      <c r="RX182"/>
      <c r="RY182"/>
      <c r="RZ182"/>
      <c r="SA182"/>
      <c r="SB182"/>
      <c r="SC182"/>
      <c r="SD182"/>
      <c r="SE182"/>
      <c r="SF182"/>
      <c r="SG182"/>
      <c r="SH182"/>
      <c r="SI182"/>
      <c r="SJ182"/>
      <c r="SK182"/>
      <c r="SL182"/>
      <c r="SM182"/>
      <c r="SN182"/>
      <c r="SO182"/>
      <c r="SP182"/>
      <c r="SQ182"/>
      <c r="SR182"/>
      <c r="SS182"/>
      <c r="ST182"/>
      <c r="SU182"/>
      <c r="SV182"/>
      <c r="SW182"/>
      <c r="SX182"/>
      <c r="SY182"/>
      <c r="SZ182"/>
      <c r="TA182"/>
      <c r="TB182"/>
      <c r="TC182"/>
      <c r="TD182"/>
      <c r="TE182"/>
      <c r="TF182"/>
      <c r="TG182"/>
      <c r="TH182"/>
      <c r="TI182"/>
      <c r="TJ182"/>
      <c r="TK182"/>
      <c r="TL182"/>
      <c r="TM182"/>
      <c r="TN182"/>
      <c r="TO182"/>
      <c r="TP182"/>
      <c r="TQ182"/>
      <c r="TR182"/>
      <c r="TS182"/>
      <c r="TT182"/>
      <c r="TU182"/>
      <c r="TV182"/>
      <c r="TW182"/>
      <c r="TX182"/>
      <c r="TY182"/>
      <c r="TZ182"/>
      <c r="UA182"/>
      <c r="UB182"/>
      <c r="UC182"/>
      <c r="UD182"/>
      <c r="UE182"/>
      <c r="UF182"/>
      <c r="UG182"/>
      <c r="UH182"/>
      <c r="UI182"/>
      <c r="UJ182"/>
      <c r="UK182"/>
      <c r="UL182"/>
      <c r="UM182"/>
      <c r="UN182"/>
      <c r="UO182"/>
      <c r="UP182"/>
      <c r="UQ182"/>
      <c r="UR182"/>
      <c r="US182"/>
      <c r="UT182"/>
      <c r="UU182"/>
      <c r="UV182"/>
      <c r="UW182"/>
      <c r="UX182"/>
      <c r="UY182"/>
      <c r="UZ182"/>
      <c r="VA182"/>
      <c r="VB182"/>
      <c r="VC182"/>
      <c r="VD182"/>
      <c r="VE182"/>
      <c r="VF182"/>
      <c r="VG182"/>
      <c r="VH182"/>
      <c r="VI182"/>
      <c r="VJ182"/>
      <c r="VK182"/>
      <c r="VL182"/>
      <c r="VM182"/>
      <c r="VN182"/>
      <c r="VO182"/>
      <c r="VP182"/>
      <c r="VQ182"/>
      <c r="VR182"/>
      <c r="VS182"/>
      <c r="VT182"/>
      <c r="VU182"/>
      <c r="VV182"/>
      <c r="VW182"/>
      <c r="VX182"/>
      <c r="VY182"/>
      <c r="VZ182"/>
      <c r="WA182"/>
      <c r="WB182"/>
      <c r="WC182"/>
      <c r="WD182"/>
      <c r="WE182"/>
      <c r="WF182"/>
      <c r="WG182"/>
      <c r="WH182"/>
      <c r="WI182"/>
      <c r="WJ182"/>
      <c r="WK182"/>
      <c r="WL182"/>
      <c r="WM182"/>
      <c r="WN182"/>
      <c r="WO182"/>
      <c r="WP182"/>
      <c r="WQ182"/>
      <c r="WR182"/>
      <c r="WS182"/>
      <c r="WT182"/>
      <c r="WU182"/>
      <c r="WV182"/>
      <c r="WW182"/>
      <c r="WX182"/>
      <c r="WY182"/>
      <c r="WZ182"/>
      <c r="XA182"/>
      <c r="XB182"/>
      <c r="XC182"/>
      <c r="XD182"/>
      <c r="XE182"/>
      <c r="XF182"/>
      <c r="XG182"/>
      <c r="XH182"/>
      <c r="XI182"/>
      <c r="XJ182"/>
      <c r="XK182"/>
      <c r="XL182"/>
      <c r="XM182"/>
      <c r="XN182"/>
      <c r="XO182"/>
      <c r="XP182"/>
      <c r="XQ182"/>
      <c r="XR182"/>
      <c r="XS182"/>
      <c r="XT182"/>
      <c r="XU182"/>
      <c r="XV182"/>
      <c r="XW182"/>
      <c r="XX182"/>
      <c r="XY182"/>
      <c r="XZ182"/>
      <c r="YA182"/>
      <c r="YB182"/>
      <c r="YC182"/>
      <c r="YD182"/>
      <c r="YE182"/>
      <c r="YF182"/>
      <c r="YG182"/>
      <c r="YH182"/>
      <c r="YI182"/>
      <c r="YJ182"/>
      <c r="YK182"/>
      <c r="YL182"/>
      <c r="YM182"/>
      <c r="YN182"/>
      <c r="YO182"/>
      <c r="YP182"/>
      <c r="YQ182"/>
      <c r="YR182"/>
      <c r="YS182"/>
      <c r="YT182"/>
      <c r="YU182"/>
      <c r="YV182"/>
      <c r="YW182"/>
      <c r="YX182"/>
      <c r="YY182"/>
      <c r="YZ182"/>
      <c r="ZA182"/>
      <c r="ZB182"/>
      <c r="ZC182"/>
      <c r="ZD182"/>
      <c r="ZE182"/>
      <c r="ZF182"/>
      <c r="ZG182"/>
      <c r="ZH182"/>
      <c r="ZI182"/>
      <c r="ZJ182"/>
      <c r="ZK182"/>
      <c r="ZL182"/>
      <c r="ZM182"/>
      <c r="ZN182"/>
      <c r="ZO182"/>
      <c r="ZP182"/>
      <c r="ZQ182"/>
      <c r="ZR182"/>
      <c r="ZS182"/>
      <c r="ZT182"/>
      <c r="ZU182"/>
      <c r="ZV182"/>
      <c r="ZW182"/>
      <c r="ZX182"/>
      <c r="ZY182"/>
      <c r="ZZ182"/>
      <c r="AAA182"/>
      <c r="AAB182"/>
      <c r="AAC182"/>
      <c r="AAD182"/>
      <c r="AAE182"/>
      <c r="AAF182"/>
      <c r="AAG182"/>
      <c r="AAH182"/>
      <c r="AAI182"/>
      <c r="AAJ182"/>
      <c r="AAK182"/>
      <c r="AAL182"/>
      <c r="AAM182"/>
      <c r="AAN182"/>
      <c r="AAO182"/>
      <c r="AAP182"/>
      <c r="AAQ182"/>
      <c r="AAR182"/>
      <c r="AAS182"/>
      <c r="AAT182"/>
      <c r="AAU182"/>
      <c r="AAV182"/>
      <c r="AAW182"/>
      <c r="AAX182"/>
      <c r="AAY182"/>
      <c r="AAZ182"/>
      <c r="ABA182"/>
      <c r="ABB182"/>
      <c r="ABC182"/>
      <c r="ABD182"/>
      <c r="ABE182"/>
      <c r="ABF182"/>
      <c r="ABG182"/>
      <c r="ABH182"/>
      <c r="ABI182"/>
      <c r="ABJ182"/>
      <c r="ABK182"/>
      <c r="ABL182"/>
      <c r="ABM182"/>
      <c r="ABN182"/>
      <c r="ABO182"/>
      <c r="ABP182"/>
      <c r="ABQ182"/>
      <c r="ABR182"/>
      <c r="ABS182"/>
      <c r="ABT182"/>
      <c r="ABU182"/>
      <c r="ABV182"/>
      <c r="ABW182"/>
      <c r="ABX182"/>
      <c r="ABY182"/>
      <c r="ABZ182"/>
      <c r="ACA182"/>
      <c r="ACB182"/>
      <c r="ACC182"/>
      <c r="ACD182"/>
      <c r="ACE182"/>
      <c r="ACF182"/>
      <c r="ACG182"/>
      <c r="ACH182"/>
      <c r="ACI182"/>
      <c r="ACJ182"/>
      <c r="ACK182"/>
      <c r="ACL182"/>
      <c r="ACM182"/>
      <c r="ACN182"/>
      <c r="ACO182"/>
      <c r="ACP182"/>
      <c r="ACQ182"/>
      <c r="ACR182"/>
      <c r="ACS182"/>
      <c r="ACT182"/>
      <c r="ACU182"/>
      <c r="ACV182"/>
      <c r="ACW182"/>
      <c r="ACX182"/>
      <c r="ACY182"/>
      <c r="ACZ182"/>
      <c r="ADA182"/>
      <c r="ADB182"/>
      <c r="ADC182"/>
      <c r="ADD182"/>
      <c r="ADE182"/>
      <c r="ADF182"/>
      <c r="ADG182"/>
      <c r="ADH182"/>
      <c r="ADI182"/>
      <c r="ADJ182"/>
      <c r="ADK182"/>
      <c r="ADL182"/>
      <c r="ADM182"/>
      <c r="ADN182"/>
      <c r="ADO182"/>
      <c r="ADP182"/>
      <c r="ADQ182"/>
      <c r="ADR182"/>
      <c r="ADS182"/>
      <c r="ADT182"/>
      <c r="ADU182"/>
      <c r="ADV182"/>
      <c r="ADW182"/>
      <c r="ADX182"/>
      <c r="ADY182"/>
      <c r="ADZ182"/>
      <c r="AEA182"/>
      <c r="AEB182"/>
      <c r="AEC182"/>
      <c r="AED182"/>
      <c r="AEE182"/>
      <c r="AEF182"/>
      <c r="AEG182"/>
      <c r="AEH182"/>
      <c r="AEI182"/>
      <c r="AEJ182"/>
      <c r="AEK182"/>
      <c r="AEL182"/>
      <c r="AEM182"/>
      <c r="AEN182"/>
      <c r="AEO182"/>
      <c r="AEP182"/>
      <c r="AEQ182"/>
      <c r="AER182"/>
      <c r="AES182"/>
      <c r="AET182"/>
      <c r="AEU182"/>
      <c r="AEV182"/>
      <c r="AEW182"/>
      <c r="AEX182"/>
      <c r="AEY182"/>
      <c r="AEZ182"/>
      <c r="AFA182"/>
      <c r="AFB182"/>
      <c r="AFC182"/>
      <c r="AFD182"/>
      <c r="AFE182"/>
      <c r="AFF182"/>
      <c r="AFG182"/>
      <c r="AFH182"/>
      <c r="AFI182"/>
      <c r="AFJ182"/>
      <c r="AFK182"/>
      <c r="AFL182"/>
      <c r="AFM182"/>
      <c r="AFN182"/>
      <c r="AFO182"/>
      <c r="AFP182"/>
      <c r="AFQ182"/>
      <c r="AFR182"/>
      <c r="AFS182"/>
      <c r="AFT182"/>
      <c r="AFU182"/>
      <c r="AFV182"/>
      <c r="AFW182"/>
      <c r="AFX182"/>
      <c r="AFY182"/>
      <c r="AFZ182"/>
      <c r="AGA182"/>
      <c r="AGB182"/>
      <c r="AGC182"/>
      <c r="AGD182"/>
      <c r="AGE182"/>
      <c r="AGF182"/>
      <c r="AGG182"/>
      <c r="AGH182"/>
      <c r="AGI182"/>
      <c r="AGJ182"/>
      <c r="AGK182"/>
      <c r="AGL182"/>
      <c r="AGM182"/>
      <c r="AGN182"/>
      <c r="AGO182"/>
      <c r="AGP182"/>
      <c r="AGQ182"/>
      <c r="AGR182"/>
      <c r="AGS182"/>
      <c r="AGT182"/>
      <c r="AGU182"/>
      <c r="AGV182"/>
      <c r="AGW182"/>
      <c r="AGX182"/>
      <c r="AGY182"/>
      <c r="AGZ182"/>
      <c r="AHA182"/>
      <c r="AHB182"/>
      <c r="AHC182"/>
      <c r="AHD182"/>
      <c r="AHE182"/>
      <c r="AHF182"/>
      <c r="AHG182"/>
      <c r="AHH182"/>
      <c r="AHI182"/>
      <c r="AHJ182"/>
      <c r="AHK182"/>
      <c r="AHL182"/>
      <c r="AHM182"/>
      <c r="AHN182"/>
      <c r="AHO182"/>
      <c r="AHP182"/>
      <c r="AHQ182"/>
      <c r="AHR182"/>
      <c r="AHS182"/>
      <c r="AHT182"/>
      <c r="AHU182"/>
      <c r="AHV182"/>
      <c r="AHW182"/>
      <c r="AHX182"/>
      <c r="AHY182"/>
      <c r="AHZ182"/>
      <c r="AIA182"/>
      <c r="AIB182"/>
      <c r="AIC182"/>
      <c r="AID182"/>
      <c r="AIE182"/>
      <c r="AIF182"/>
      <c r="AIG182"/>
      <c r="AIH182"/>
      <c r="AII182"/>
      <c r="AIJ182"/>
      <c r="AIK182"/>
      <c r="AIL182"/>
      <c r="AIM182"/>
      <c r="AIN182"/>
      <c r="AIO182"/>
      <c r="AIP182"/>
      <c r="AIQ182"/>
      <c r="AIR182"/>
      <c r="AIS182"/>
      <c r="AIT182"/>
      <c r="AIU182"/>
      <c r="AIV182"/>
      <c r="AIW182"/>
      <c r="AIX182"/>
      <c r="AIY182"/>
      <c r="AIZ182"/>
      <c r="AJA182"/>
      <c r="AJB182"/>
      <c r="AJC182"/>
      <c r="AJD182"/>
      <c r="AJE182"/>
      <c r="AJF182"/>
      <c r="AJG182"/>
      <c r="AJH182"/>
      <c r="AJI182"/>
      <c r="AJJ182"/>
      <c r="AJK182"/>
      <c r="AJL182"/>
      <c r="AJM182"/>
      <c r="AJN182"/>
      <c r="AJO182"/>
      <c r="AJP182"/>
      <c r="AJQ182"/>
      <c r="AJR182"/>
      <c r="AJS182"/>
      <c r="AJT182"/>
      <c r="AJU182"/>
      <c r="AJV182"/>
      <c r="AJW182"/>
      <c r="AJX182"/>
      <c r="AJY182"/>
      <c r="AJZ182"/>
      <c r="AKA182"/>
      <c r="AKB182"/>
      <c r="AKC182"/>
      <c r="AKD182"/>
      <c r="AKE182"/>
      <c r="AKF182"/>
      <c r="AKG182"/>
      <c r="AKH182"/>
      <c r="AKI182"/>
      <c r="AKJ182"/>
      <c r="AKK182"/>
      <c r="AKL182"/>
      <c r="AKM182"/>
      <c r="AKN182"/>
      <c r="AKO182"/>
      <c r="AKP182"/>
      <c r="AKQ182"/>
      <c r="AKR182"/>
      <c r="AKS182"/>
      <c r="AKT182"/>
      <c r="AKU182"/>
      <c r="AKV182"/>
      <c r="AKW182"/>
      <c r="AKX182"/>
      <c r="AKY182"/>
      <c r="AKZ182"/>
      <c r="ALA182"/>
      <c r="ALB182"/>
      <c r="ALC182"/>
      <c r="ALD182"/>
      <c r="ALE182"/>
      <c r="ALF182"/>
      <c r="ALG182"/>
      <c r="ALH182"/>
      <c r="ALI182"/>
      <c r="ALJ182"/>
      <c r="ALK182"/>
      <c r="ALL182"/>
      <c r="ALM182"/>
      <c r="ALN182"/>
      <c r="ALO182"/>
      <c r="ALP182"/>
      <c r="ALQ182"/>
      <c r="ALR182"/>
      <c r="ALS182"/>
      <c r="ALT182"/>
      <c r="ALU182"/>
      <c r="ALV182"/>
      <c r="ALW182"/>
      <c r="ALX182"/>
      <c r="ALY182"/>
      <c r="ALZ182"/>
      <c r="AMA182"/>
      <c r="AMB182"/>
      <c r="AMC182"/>
      <c r="AMD182"/>
      <c r="AME182"/>
      <c r="AMF182"/>
      <c r="AMG182"/>
      <c r="AMH182"/>
      <c r="AMI182"/>
      <c r="AMJ182"/>
      <c r="AMK182"/>
      <c r="AML182"/>
      <c r="AMM182"/>
      <c r="AMN182"/>
      <c r="AMO182"/>
      <c r="AMP182"/>
      <c r="AMQ182"/>
      <c r="AMR182"/>
      <c r="AMS182"/>
      <c r="AMT182"/>
      <c r="AMU182"/>
      <c r="AMV182"/>
      <c r="AMW182"/>
      <c r="AMX182"/>
      <c r="AMY182"/>
      <c r="AMZ182"/>
      <c r="ANA182"/>
      <c r="ANB182"/>
      <c r="ANC182"/>
      <c r="AND182"/>
      <c r="ANE182"/>
      <c r="ANF182"/>
      <c r="ANG182"/>
      <c r="ANH182"/>
      <c r="ANI182"/>
      <c r="ANJ182"/>
      <c r="ANK182"/>
      <c r="ANL182"/>
      <c r="ANM182"/>
      <c r="ANN182"/>
      <c r="ANO182"/>
      <c r="ANP182"/>
      <c r="ANQ182"/>
      <c r="ANR182"/>
      <c r="ANS182"/>
      <c r="ANT182"/>
      <c r="ANU182"/>
      <c r="ANV182"/>
      <c r="ANW182"/>
      <c r="ANX182"/>
      <c r="ANY182"/>
      <c r="ANZ182"/>
      <c r="AOA182"/>
      <c r="AOB182"/>
      <c r="AOC182"/>
      <c r="AOD182"/>
      <c r="AOE182"/>
      <c r="AOF182"/>
      <c r="AOG182"/>
      <c r="AOH182"/>
      <c r="AOI182"/>
      <c r="AOJ182"/>
      <c r="AOK182"/>
      <c r="AOL182"/>
      <c r="AOM182"/>
      <c r="AON182"/>
      <c r="AOO182"/>
      <c r="AOP182"/>
      <c r="AOQ182"/>
      <c r="AOR182"/>
      <c r="AOS182"/>
      <c r="AOT182"/>
      <c r="AOU182"/>
      <c r="AOV182"/>
      <c r="AOW182"/>
      <c r="AOX182"/>
      <c r="AOY182"/>
      <c r="AOZ182"/>
      <c r="APA182"/>
      <c r="APB182"/>
      <c r="APC182"/>
      <c r="APD182"/>
      <c r="APE182"/>
      <c r="APF182"/>
      <c r="APG182"/>
      <c r="APH182"/>
      <c r="API182"/>
      <c r="APJ182"/>
      <c r="APK182"/>
      <c r="APL182"/>
      <c r="APM182"/>
      <c r="APN182"/>
      <c r="APO182"/>
      <c r="APP182"/>
      <c r="APQ182"/>
      <c r="APR182"/>
      <c r="APS182"/>
      <c r="APT182"/>
      <c r="APU182"/>
      <c r="APV182"/>
      <c r="APW182"/>
      <c r="APX182"/>
      <c r="APY182"/>
      <c r="APZ182"/>
      <c r="AQA182"/>
      <c r="AQB182"/>
      <c r="AQC182"/>
      <c r="AQD182"/>
      <c r="AQE182"/>
      <c r="AQF182"/>
      <c r="AQG182"/>
      <c r="AQH182"/>
      <c r="AQI182"/>
      <c r="AQJ182"/>
      <c r="AQK182"/>
      <c r="AQL182"/>
      <c r="AQM182"/>
      <c r="AQN182"/>
      <c r="AQO182"/>
      <c r="AQP182"/>
      <c r="AQQ182"/>
      <c r="AQR182"/>
      <c r="AQS182"/>
      <c r="AQT182"/>
      <c r="AQU182"/>
      <c r="AQV182"/>
      <c r="AQW182"/>
      <c r="AQX182"/>
      <c r="AQY182"/>
      <c r="AQZ182"/>
      <c r="ARA182"/>
      <c r="ARB182"/>
      <c r="ARC182"/>
      <c r="ARD182"/>
      <c r="ARE182"/>
      <c r="ARF182"/>
      <c r="ARG182"/>
      <c r="ARH182"/>
      <c r="ARI182"/>
      <c r="ARJ182"/>
      <c r="ARK182"/>
      <c r="ARL182"/>
      <c r="ARM182"/>
      <c r="ARN182"/>
      <c r="ARO182"/>
      <c r="ARP182"/>
      <c r="ARQ182"/>
      <c r="ARR182"/>
      <c r="ARS182"/>
      <c r="ART182"/>
      <c r="ARU182"/>
      <c r="ARV182"/>
      <c r="ARW182"/>
      <c r="ARX182"/>
      <c r="ARY182"/>
      <c r="ARZ182"/>
      <c r="ASA182"/>
      <c r="ASB182"/>
      <c r="ASC182"/>
      <c r="ASD182"/>
      <c r="ASE182"/>
      <c r="ASF182"/>
      <c r="ASG182"/>
      <c r="ASH182"/>
      <c r="ASI182"/>
      <c r="ASJ182"/>
      <c r="ASK182"/>
      <c r="ASL182"/>
      <c r="ASM182"/>
      <c r="ASN182"/>
      <c r="ASO182"/>
      <c r="ASP182"/>
      <c r="ASQ182"/>
      <c r="ASR182"/>
      <c r="ASS182"/>
      <c r="AST182"/>
      <c r="ASU182"/>
      <c r="ASV182"/>
      <c r="ASW182"/>
      <c r="ASX182"/>
      <c r="ASY182"/>
      <c r="ASZ182"/>
      <c r="ATA182"/>
      <c r="ATB182"/>
      <c r="ATC182"/>
      <c r="ATD182"/>
      <c r="ATE182"/>
      <c r="ATF182"/>
      <c r="ATG182"/>
      <c r="ATH182"/>
      <c r="ATI182"/>
      <c r="ATJ182"/>
      <c r="ATK182"/>
      <c r="ATL182"/>
      <c r="ATM182"/>
      <c r="ATN182"/>
      <c r="ATO182"/>
      <c r="ATP182"/>
      <c r="ATQ182"/>
      <c r="ATR182"/>
      <c r="ATS182"/>
      <c r="ATT182"/>
      <c r="ATU182"/>
      <c r="ATV182"/>
      <c r="ATW182"/>
      <c r="ATX182"/>
      <c r="ATY182"/>
      <c r="ATZ182"/>
      <c r="AUA182"/>
      <c r="AUB182"/>
      <c r="AUC182"/>
      <c r="AUD182"/>
      <c r="AUE182"/>
      <c r="AUF182"/>
      <c r="AUG182"/>
      <c r="AUH182"/>
      <c r="AUI182"/>
      <c r="AUJ182"/>
      <c r="AUK182"/>
      <c r="AUL182"/>
      <c r="AUM182"/>
      <c r="AUN182"/>
      <c r="AUO182"/>
      <c r="AUP182"/>
      <c r="AUQ182"/>
      <c r="AUR182"/>
      <c r="AUS182"/>
      <c r="AUT182"/>
      <c r="AUU182"/>
      <c r="AUV182"/>
      <c r="AUW182"/>
      <c r="AUX182"/>
      <c r="AUY182"/>
      <c r="AUZ182"/>
      <c r="AVA182"/>
      <c r="AVB182"/>
      <c r="AVC182"/>
      <c r="AVD182"/>
      <c r="AVE182"/>
      <c r="AVF182"/>
      <c r="AVG182"/>
      <c r="AVH182"/>
      <c r="AVI182"/>
      <c r="AVJ182"/>
      <c r="AVK182"/>
      <c r="AVL182"/>
      <c r="AVM182"/>
      <c r="AVN182"/>
      <c r="AVO182"/>
      <c r="AVP182"/>
      <c r="AVQ182"/>
      <c r="AVR182"/>
      <c r="AVS182"/>
      <c r="AVT182"/>
      <c r="AVU182"/>
      <c r="AVV182"/>
      <c r="AVW182"/>
      <c r="AVX182"/>
      <c r="AVY182"/>
      <c r="AVZ182"/>
      <c r="AWA182"/>
      <c r="AWB182"/>
      <c r="AWC182"/>
      <c r="AWD182"/>
      <c r="AWE182"/>
      <c r="AWF182"/>
      <c r="AWG182"/>
      <c r="AWH182"/>
      <c r="AWI182"/>
      <c r="AWJ182"/>
      <c r="AWK182"/>
      <c r="AWL182"/>
      <c r="AWM182"/>
      <c r="AWN182"/>
      <c r="AWO182"/>
      <c r="AWP182"/>
      <c r="AWQ182"/>
      <c r="AWR182"/>
      <c r="AWS182"/>
      <c r="AWT182"/>
      <c r="AWU182"/>
      <c r="AWV182"/>
      <c r="AWW182"/>
      <c r="AWX182"/>
      <c r="AWY182"/>
      <c r="AWZ182"/>
      <c r="AXA182"/>
      <c r="AXB182"/>
      <c r="AXC182"/>
      <c r="AXD182"/>
      <c r="AXE182"/>
      <c r="AXF182"/>
      <c r="AXG182"/>
      <c r="AXH182"/>
      <c r="AXI182"/>
      <c r="AXJ182"/>
      <c r="AXK182"/>
      <c r="AXL182"/>
      <c r="AXM182"/>
      <c r="AXN182"/>
      <c r="AXO182"/>
      <c r="AXP182"/>
      <c r="AXQ182"/>
      <c r="AXR182"/>
      <c r="AXS182"/>
      <c r="AXT182"/>
      <c r="AXU182"/>
      <c r="AXV182"/>
      <c r="AXW182"/>
      <c r="AXX182"/>
      <c r="AXY182"/>
      <c r="AXZ182"/>
      <c r="AYA182"/>
      <c r="AYB182"/>
      <c r="AYC182"/>
      <c r="AYD182"/>
      <c r="AYE182"/>
      <c r="AYF182"/>
      <c r="AYG182"/>
      <c r="AYH182"/>
      <c r="AYI182"/>
      <c r="AYJ182"/>
      <c r="AYK182"/>
      <c r="AYL182"/>
      <c r="AYM182"/>
      <c r="AYN182"/>
      <c r="AYO182"/>
      <c r="AYP182"/>
      <c r="AYQ182"/>
      <c r="AYR182"/>
      <c r="AYS182"/>
      <c r="AYT182"/>
      <c r="AYU182"/>
      <c r="AYV182"/>
      <c r="AYW182"/>
      <c r="AYX182"/>
      <c r="AYY182"/>
      <c r="AYZ182"/>
      <c r="AZA182"/>
      <c r="AZB182"/>
      <c r="AZC182"/>
      <c r="AZD182"/>
      <c r="AZE182"/>
      <c r="AZF182"/>
      <c r="AZG182"/>
      <c r="AZH182"/>
      <c r="AZI182"/>
      <c r="AZJ182"/>
      <c r="AZK182"/>
      <c r="AZL182"/>
      <c r="AZM182"/>
      <c r="AZN182"/>
      <c r="AZO182"/>
      <c r="AZP182"/>
      <c r="AZQ182"/>
      <c r="AZR182"/>
      <c r="AZS182"/>
      <c r="AZT182"/>
      <c r="AZU182"/>
      <c r="AZV182"/>
      <c r="AZW182"/>
      <c r="AZX182"/>
      <c r="AZY182"/>
      <c r="AZZ182"/>
      <c r="BAA182"/>
      <c r="BAB182"/>
      <c r="BAC182"/>
      <c r="BAD182"/>
      <c r="BAE182"/>
      <c r="BAF182"/>
      <c r="BAG182"/>
      <c r="BAH182"/>
      <c r="BAI182"/>
      <c r="BAJ182"/>
      <c r="BAK182"/>
      <c r="BAL182"/>
      <c r="BAM182"/>
      <c r="BAN182"/>
      <c r="BAO182"/>
      <c r="BAP182"/>
      <c r="BAQ182"/>
      <c r="BAR182"/>
      <c r="BAS182"/>
      <c r="BAT182"/>
      <c r="BAU182"/>
      <c r="BAV182"/>
      <c r="BAW182"/>
      <c r="BAX182"/>
      <c r="BAY182"/>
      <c r="BAZ182"/>
      <c r="BBA182"/>
      <c r="BBB182"/>
      <c r="BBC182"/>
      <c r="BBD182"/>
      <c r="BBE182"/>
      <c r="BBF182"/>
      <c r="BBG182"/>
      <c r="BBH182"/>
      <c r="BBI182"/>
      <c r="BBJ182"/>
      <c r="BBK182"/>
      <c r="BBL182"/>
      <c r="BBM182"/>
      <c r="BBN182"/>
      <c r="BBO182"/>
      <c r="BBP182"/>
      <c r="BBQ182"/>
      <c r="BBR182"/>
      <c r="BBS182"/>
      <c r="BBT182"/>
      <c r="BBU182"/>
      <c r="BBV182"/>
      <c r="BBW182"/>
      <c r="BBX182"/>
      <c r="BBY182"/>
      <c r="BBZ182"/>
      <c r="BCA182"/>
      <c r="BCB182"/>
      <c r="BCC182"/>
      <c r="BCD182"/>
      <c r="BCE182"/>
      <c r="BCF182"/>
      <c r="BCG182"/>
      <c r="BCH182"/>
      <c r="BCI182"/>
      <c r="BCJ182"/>
      <c r="BCK182"/>
      <c r="BCL182"/>
      <c r="BCM182"/>
      <c r="BCN182"/>
      <c r="BCO182"/>
      <c r="BCP182"/>
      <c r="BCQ182"/>
      <c r="BCR182"/>
      <c r="BCS182"/>
      <c r="BCT182"/>
      <c r="BCU182"/>
      <c r="BCV182"/>
      <c r="BCW182"/>
      <c r="BCX182"/>
      <c r="BCY182"/>
      <c r="BCZ182"/>
      <c r="BDA182"/>
      <c r="BDB182"/>
      <c r="BDC182"/>
      <c r="BDD182"/>
      <c r="BDE182"/>
      <c r="BDF182"/>
      <c r="BDG182"/>
      <c r="BDH182"/>
      <c r="BDI182"/>
      <c r="BDJ182"/>
      <c r="BDK182"/>
      <c r="BDL182"/>
      <c r="BDM182"/>
      <c r="BDN182"/>
      <c r="BDO182"/>
      <c r="BDP182"/>
      <c r="BDQ182"/>
      <c r="BDR182"/>
      <c r="BDS182"/>
      <c r="BDT182"/>
      <c r="BDU182"/>
      <c r="BDV182"/>
      <c r="BDW182"/>
      <c r="BDX182"/>
      <c r="BDY182"/>
      <c r="BDZ182"/>
      <c r="BEA182"/>
      <c r="BEB182"/>
      <c r="BEC182"/>
      <c r="BED182"/>
      <c r="BEE182"/>
      <c r="BEF182"/>
      <c r="BEG182"/>
      <c r="BEH182"/>
      <c r="BEI182"/>
      <c r="BEJ182"/>
      <c r="BEK182"/>
      <c r="BEL182"/>
      <c r="BEM182"/>
      <c r="BEN182"/>
      <c r="BEO182"/>
      <c r="BEP182"/>
      <c r="BEQ182"/>
      <c r="BER182"/>
      <c r="BES182"/>
      <c r="BET182"/>
      <c r="BEU182"/>
      <c r="BEV182"/>
      <c r="BEW182"/>
      <c r="BEX182"/>
      <c r="BEY182"/>
      <c r="BEZ182"/>
      <c r="BFA182"/>
      <c r="BFB182"/>
      <c r="BFC182"/>
      <c r="BFD182"/>
      <c r="BFE182"/>
      <c r="BFF182"/>
      <c r="BFG182"/>
      <c r="BFH182"/>
      <c r="BFI182"/>
      <c r="BFJ182"/>
      <c r="BFK182"/>
      <c r="BFL182"/>
      <c r="BFM182"/>
      <c r="BFN182"/>
      <c r="BFO182"/>
      <c r="BFP182"/>
      <c r="BFQ182"/>
      <c r="BFR182"/>
      <c r="BFS182"/>
      <c r="BFT182"/>
      <c r="BFU182"/>
      <c r="BFV182"/>
      <c r="BFW182"/>
      <c r="BFX182"/>
      <c r="BFY182"/>
      <c r="BFZ182"/>
      <c r="BGA182"/>
      <c r="BGB182"/>
      <c r="BGC182"/>
      <c r="BGD182"/>
      <c r="BGE182"/>
      <c r="BGF182"/>
      <c r="BGG182"/>
      <c r="BGH182"/>
      <c r="BGI182"/>
      <c r="BGJ182"/>
      <c r="BGK182"/>
      <c r="BGL182"/>
      <c r="BGM182"/>
      <c r="BGN182"/>
      <c r="BGO182"/>
      <c r="BGP182"/>
      <c r="BGQ182"/>
      <c r="BGR182"/>
      <c r="BGS182"/>
      <c r="BGT182"/>
      <c r="BGU182"/>
      <c r="BGV182"/>
      <c r="BGW182"/>
      <c r="BGX182"/>
      <c r="BGY182"/>
      <c r="BGZ182"/>
      <c r="BHA182"/>
      <c r="BHB182"/>
      <c r="BHC182"/>
      <c r="BHD182"/>
      <c r="BHE182"/>
      <c r="BHF182"/>
      <c r="BHG182"/>
      <c r="BHH182"/>
      <c r="BHI182"/>
      <c r="BHJ182"/>
      <c r="BHK182"/>
      <c r="BHL182"/>
      <c r="BHM182"/>
      <c r="BHN182"/>
      <c r="BHO182"/>
      <c r="BHP182"/>
      <c r="BHQ182"/>
      <c r="BHR182"/>
      <c r="BHS182"/>
      <c r="BHT182"/>
      <c r="BHU182"/>
      <c r="BHV182"/>
      <c r="BHW182"/>
      <c r="BHX182"/>
      <c r="BHY182"/>
      <c r="BHZ182"/>
      <c r="BIA182"/>
      <c r="BIB182"/>
      <c r="BIC182"/>
      <c r="BID182"/>
      <c r="BIE182"/>
      <c r="BIF182"/>
      <c r="BIG182"/>
      <c r="BIH182"/>
      <c r="BII182"/>
      <c r="BIJ182"/>
      <c r="BIK182"/>
      <c r="BIL182"/>
      <c r="BIM182"/>
      <c r="BIN182"/>
      <c r="BIO182"/>
      <c r="BIP182"/>
      <c r="BIQ182"/>
      <c r="BIR182"/>
      <c r="BIS182"/>
      <c r="BIT182"/>
      <c r="BIU182"/>
      <c r="BIV182"/>
      <c r="BIW182"/>
      <c r="BIX182"/>
      <c r="BIY182"/>
      <c r="BIZ182"/>
      <c r="BJA182"/>
      <c r="BJB182"/>
      <c r="BJC182"/>
      <c r="BJD182"/>
      <c r="BJE182"/>
      <c r="BJF182"/>
      <c r="BJG182"/>
      <c r="BJH182"/>
      <c r="BJI182"/>
      <c r="BJJ182"/>
      <c r="BJK182"/>
      <c r="BJL182"/>
      <c r="BJM182"/>
      <c r="BJN182"/>
      <c r="BJO182"/>
      <c r="BJP182"/>
      <c r="BJQ182"/>
      <c r="BJR182"/>
      <c r="BJS182"/>
      <c r="BJT182"/>
      <c r="BJU182"/>
      <c r="BJV182"/>
      <c r="BJW182"/>
      <c r="BJX182"/>
      <c r="BJY182"/>
      <c r="BJZ182"/>
      <c r="BKA182"/>
      <c r="BKB182"/>
      <c r="BKC182"/>
      <c r="BKD182"/>
      <c r="BKE182"/>
      <c r="BKF182"/>
      <c r="BKG182"/>
      <c r="BKH182"/>
      <c r="BKI182"/>
      <c r="BKJ182"/>
      <c r="BKK182"/>
      <c r="BKL182"/>
      <c r="BKM182"/>
      <c r="BKN182"/>
      <c r="BKO182"/>
      <c r="BKP182"/>
      <c r="BKQ182"/>
      <c r="BKR182"/>
      <c r="BKS182"/>
      <c r="BKT182"/>
      <c r="BKU182"/>
      <c r="BKV182"/>
      <c r="BKW182"/>
      <c r="BKX182"/>
      <c r="BKY182"/>
      <c r="BKZ182"/>
      <c r="BLA182"/>
      <c r="BLB182"/>
      <c r="BLC182"/>
      <c r="BLD182"/>
      <c r="BLE182"/>
      <c r="BLF182"/>
      <c r="BLG182"/>
      <c r="BLH182"/>
      <c r="BLI182"/>
      <c r="BLJ182"/>
      <c r="BLK182"/>
      <c r="BLL182"/>
      <c r="BLM182"/>
      <c r="BLN182"/>
      <c r="BLO182"/>
      <c r="BLP182"/>
      <c r="BLQ182"/>
      <c r="BLR182"/>
      <c r="BLS182"/>
      <c r="BLT182"/>
      <c r="BLU182"/>
      <c r="BLV182"/>
      <c r="BLW182"/>
      <c r="BLX182"/>
      <c r="BLY182"/>
      <c r="BLZ182"/>
      <c r="BMA182"/>
      <c r="BMB182"/>
      <c r="BMC182"/>
      <c r="BMD182"/>
      <c r="BME182"/>
      <c r="BMF182"/>
      <c r="BMG182"/>
      <c r="BMH182"/>
      <c r="BMI182"/>
      <c r="BMJ182"/>
      <c r="BMK182"/>
      <c r="BML182"/>
      <c r="BMM182"/>
      <c r="BMN182"/>
      <c r="BMO182"/>
      <c r="BMP182"/>
      <c r="BMQ182"/>
      <c r="BMR182"/>
      <c r="BMS182"/>
      <c r="BMT182"/>
      <c r="BMU182"/>
      <c r="BMV182"/>
      <c r="BMW182"/>
      <c r="BMX182"/>
      <c r="BMY182"/>
      <c r="BMZ182"/>
      <c r="BNA182"/>
      <c r="BNB182"/>
      <c r="BNC182"/>
      <c r="BND182"/>
      <c r="BNE182"/>
      <c r="BNF182"/>
      <c r="BNG182"/>
      <c r="BNH182"/>
      <c r="BNI182"/>
      <c r="BNJ182"/>
      <c r="BNK182"/>
      <c r="BNL182"/>
      <c r="BNM182"/>
      <c r="BNN182"/>
      <c r="BNO182"/>
      <c r="BNP182"/>
      <c r="BNQ182"/>
      <c r="BNR182"/>
      <c r="BNS182"/>
      <c r="BNT182"/>
      <c r="BNU182"/>
      <c r="BNV182"/>
      <c r="BNW182"/>
      <c r="BNX182"/>
      <c r="BNY182"/>
      <c r="BNZ182"/>
      <c r="BOA182"/>
      <c r="BOB182"/>
      <c r="BOC182"/>
      <c r="BOD182"/>
      <c r="BOE182"/>
      <c r="BOF182"/>
      <c r="BOG182"/>
      <c r="BOH182"/>
      <c r="BOI182"/>
      <c r="BOJ182"/>
      <c r="BOK182"/>
      <c r="BOL182"/>
      <c r="BOM182"/>
      <c r="BON182"/>
      <c r="BOO182"/>
      <c r="BOP182"/>
      <c r="BOQ182"/>
      <c r="BOR182"/>
      <c r="BOS182"/>
      <c r="BOT182"/>
      <c r="BOU182"/>
      <c r="BOV182"/>
      <c r="BOW182"/>
      <c r="BOX182"/>
      <c r="BOY182"/>
      <c r="BOZ182"/>
      <c r="BPA182"/>
      <c r="BPB182"/>
      <c r="BPC182"/>
      <c r="BPD182"/>
      <c r="BPE182"/>
      <c r="BPF182"/>
      <c r="BPG182"/>
      <c r="BPH182"/>
      <c r="BPI182"/>
      <c r="BPJ182"/>
      <c r="BPK182"/>
      <c r="BPL182"/>
      <c r="BPM182"/>
      <c r="BPN182"/>
      <c r="BPO182"/>
      <c r="BPP182"/>
      <c r="BPQ182"/>
      <c r="BPR182"/>
      <c r="BPS182"/>
      <c r="BPT182"/>
      <c r="BPU182"/>
      <c r="BPV182"/>
      <c r="BPW182"/>
      <c r="BPX182"/>
      <c r="BPY182"/>
      <c r="BPZ182"/>
      <c r="BQA182"/>
      <c r="BQB182"/>
      <c r="BQC182"/>
      <c r="BQD182"/>
      <c r="BQE182"/>
      <c r="BQF182"/>
      <c r="BQG182"/>
      <c r="BQH182"/>
      <c r="BQI182"/>
      <c r="BQJ182"/>
      <c r="BQK182"/>
      <c r="BQL182"/>
      <c r="BQM182"/>
      <c r="BQN182"/>
      <c r="BQO182"/>
      <c r="BQP182"/>
      <c r="BQQ182"/>
      <c r="BQR182"/>
      <c r="BQS182"/>
      <c r="BQT182"/>
      <c r="BQU182"/>
      <c r="BQV182"/>
      <c r="BQW182"/>
      <c r="BQX182"/>
      <c r="BQY182"/>
      <c r="BQZ182"/>
      <c r="BRA182"/>
      <c r="BRB182"/>
      <c r="BRC182"/>
      <c r="BRD182"/>
      <c r="BRE182"/>
      <c r="BRF182"/>
      <c r="BRG182"/>
      <c r="BRH182"/>
      <c r="BRI182"/>
      <c r="BRJ182"/>
      <c r="BRK182"/>
      <c r="BRL182"/>
      <c r="BRM182"/>
      <c r="BRN182"/>
      <c r="BRO182"/>
      <c r="BRP182"/>
      <c r="BRQ182"/>
      <c r="BRR182"/>
      <c r="BRS182"/>
      <c r="BRT182"/>
      <c r="BRU182"/>
      <c r="BRV182"/>
      <c r="BRW182"/>
      <c r="BRX182"/>
      <c r="BRY182"/>
      <c r="BRZ182"/>
      <c r="BSA182"/>
      <c r="BSB182"/>
      <c r="BSC182"/>
      <c r="BSD182"/>
      <c r="BSE182"/>
      <c r="BSF182"/>
      <c r="BSG182"/>
      <c r="BSH182"/>
      <c r="BSI182"/>
      <c r="BSJ182"/>
      <c r="BSK182"/>
      <c r="BSL182"/>
      <c r="BSM182"/>
      <c r="BSN182"/>
      <c r="BSO182"/>
      <c r="BSP182"/>
      <c r="BSQ182"/>
      <c r="BSR182"/>
      <c r="BSS182"/>
      <c r="BST182"/>
      <c r="BSU182"/>
      <c r="BSV182"/>
      <c r="BSW182"/>
      <c r="BSX182"/>
      <c r="BSY182"/>
      <c r="BSZ182"/>
      <c r="BTA182"/>
      <c r="BTB182"/>
      <c r="BTC182"/>
      <c r="BTD182"/>
      <c r="BTE182"/>
      <c r="BTF182"/>
      <c r="BTG182"/>
      <c r="BTH182"/>
      <c r="BTI182"/>
      <c r="BTJ182"/>
      <c r="BTK182"/>
      <c r="BTL182"/>
      <c r="BTM182"/>
      <c r="BTN182"/>
      <c r="BTO182"/>
      <c r="BTP182"/>
      <c r="BTQ182"/>
      <c r="BTR182"/>
      <c r="BTS182"/>
      <c r="BTT182"/>
      <c r="BTU182"/>
      <c r="BTV182"/>
      <c r="BTW182"/>
      <c r="BTX182"/>
      <c r="BTY182"/>
      <c r="BTZ182"/>
      <c r="BUA182"/>
      <c r="BUB182"/>
      <c r="BUC182"/>
      <c r="BUD182"/>
      <c r="BUE182"/>
      <c r="BUF182"/>
      <c r="BUG182"/>
      <c r="BUH182"/>
      <c r="BUI182"/>
      <c r="BUJ182"/>
      <c r="BUK182"/>
      <c r="BUL182"/>
      <c r="BUM182"/>
      <c r="BUN182"/>
      <c r="BUO182"/>
      <c r="BUP182"/>
      <c r="BUQ182"/>
      <c r="BUR182"/>
      <c r="BUS182"/>
      <c r="BUT182"/>
      <c r="BUU182"/>
      <c r="BUV182"/>
      <c r="BUW182"/>
      <c r="BUX182"/>
      <c r="BUY182"/>
      <c r="BUZ182"/>
      <c r="BVA182"/>
      <c r="BVB182"/>
      <c r="BVC182"/>
      <c r="BVD182"/>
      <c r="BVE182"/>
      <c r="BVF182"/>
      <c r="BVG182"/>
      <c r="BVH182"/>
      <c r="BVI182"/>
      <c r="BVJ182"/>
      <c r="BVK182"/>
      <c r="BVL182"/>
      <c r="BVM182"/>
      <c r="BVN182"/>
      <c r="BVO182"/>
      <c r="BVP182"/>
      <c r="BVQ182"/>
      <c r="BVR182"/>
      <c r="BVS182"/>
      <c r="BVT182"/>
      <c r="BVU182"/>
      <c r="BVV182"/>
      <c r="BVW182"/>
      <c r="BVX182"/>
      <c r="BVY182"/>
      <c r="BVZ182"/>
      <c r="BWA182"/>
      <c r="BWB182"/>
      <c r="BWC182"/>
      <c r="BWD182"/>
      <c r="BWE182"/>
      <c r="BWF182"/>
      <c r="BWG182"/>
      <c r="BWH182"/>
      <c r="BWI182"/>
      <c r="BWJ182"/>
      <c r="BWK182"/>
      <c r="BWL182"/>
      <c r="BWM182"/>
      <c r="BWN182"/>
      <c r="BWO182"/>
      <c r="BWP182"/>
      <c r="BWQ182"/>
      <c r="BWR182"/>
      <c r="BWS182"/>
      <c r="BWT182"/>
      <c r="BWU182"/>
      <c r="BWV182"/>
      <c r="BWW182"/>
      <c r="BWX182"/>
      <c r="BWY182"/>
      <c r="BWZ182"/>
      <c r="BXA182"/>
      <c r="BXB182"/>
      <c r="BXC182"/>
      <c r="BXD182"/>
      <c r="BXE182"/>
      <c r="BXF182"/>
      <c r="BXG182"/>
      <c r="BXH182"/>
      <c r="BXI182"/>
      <c r="BXJ182"/>
      <c r="BXK182"/>
      <c r="BXL182"/>
      <c r="BXM182"/>
      <c r="BXN182"/>
      <c r="BXO182"/>
      <c r="BXP182"/>
      <c r="BXQ182"/>
      <c r="BXR182"/>
      <c r="BXS182"/>
      <c r="BXT182"/>
      <c r="BXU182"/>
      <c r="BXV182"/>
      <c r="BXW182"/>
      <c r="BXX182"/>
      <c r="BXY182"/>
      <c r="BXZ182"/>
      <c r="BYA182"/>
      <c r="BYB182"/>
      <c r="BYC182"/>
      <c r="BYD182"/>
      <c r="BYE182"/>
      <c r="BYF182"/>
      <c r="BYG182"/>
      <c r="BYH182"/>
      <c r="BYI182"/>
      <c r="BYJ182"/>
      <c r="BYK182"/>
      <c r="BYL182"/>
      <c r="BYM182"/>
      <c r="BYN182"/>
      <c r="BYO182"/>
      <c r="BYP182"/>
      <c r="BYQ182"/>
      <c r="BYR182"/>
      <c r="BYS182"/>
      <c r="BYT182"/>
      <c r="BYU182"/>
      <c r="BYV182"/>
      <c r="BYW182"/>
      <c r="BYX182"/>
      <c r="BYY182"/>
      <c r="BYZ182"/>
      <c r="BZA182"/>
      <c r="BZB182"/>
      <c r="BZC182"/>
      <c r="BZD182"/>
      <c r="BZE182"/>
      <c r="BZF182"/>
      <c r="BZG182"/>
      <c r="BZH182"/>
      <c r="BZI182"/>
      <c r="BZJ182"/>
      <c r="BZK182"/>
      <c r="BZL182"/>
      <c r="BZM182"/>
      <c r="BZN182"/>
      <c r="BZO182"/>
      <c r="BZP182"/>
      <c r="BZQ182"/>
      <c r="BZR182"/>
      <c r="BZS182"/>
      <c r="BZT182"/>
      <c r="BZU182"/>
      <c r="BZV182"/>
      <c r="BZW182"/>
      <c r="BZX182"/>
      <c r="BZY182"/>
      <c r="BZZ182"/>
      <c r="CAA182"/>
      <c r="CAB182"/>
      <c r="CAC182"/>
      <c r="CAD182"/>
      <c r="CAE182"/>
      <c r="CAF182"/>
      <c r="CAG182"/>
      <c r="CAH182"/>
      <c r="CAI182"/>
      <c r="CAJ182"/>
      <c r="CAK182"/>
      <c r="CAL182"/>
      <c r="CAM182"/>
      <c r="CAN182"/>
      <c r="CAO182"/>
      <c r="CAP182"/>
      <c r="CAQ182"/>
      <c r="CAR182"/>
      <c r="CAS182"/>
      <c r="CAT182"/>
      <c r="CAU182"/>
      <c r="CAV182"/>
      <c r="CAW182"/>
      <c r="CAX182"/>
      <c r="CAY182"/>
      <c r="CAZ182"/>
      <c r="CBA182"/>
      <c r="CBB182"/>
      <c r="CBC182"/>
      <c r="CBD182"/>
      <c r="CBE182"/>
      <c r="CBF182"/>
      <c r="CBG182"/>
      <c r="CBH182"/>
      <c r="CBI182"/>
      <c r="CBJ182"/>
      <c r="CBK182"/>
      <c r="CBL182"/>
      <c r="CBM182"/>
      <c r="CBN182"/>
      <c r="CBO182"/>
      <c r="CBP182"/>
      <c r="CBQ182"/>
      <c r="CBR182"/>
      <c r="CBS182"/>
      <c r="CBT182"/>
      <c r="CBU182"/>
      <c r="CBV182"/>
      <c r="CBW182"/>
      <c r="CBX182"/>
      <c r="CBY182"/>
      <c r="CBZ182"/>
      <c r="CCA182"/>
      <c r="CCB182"/>
      <c r="CCC182"/>
      <c r="CCD182"/>
      <c r="CCE182"/>
      <c r="CCF182"/>
      <c r="CCG182"/>
      <c r="CCH182"/>
      <c r="CCI182"/>
      <c r="CCJ182"/>
      <c r="CCK182"/>
      <c r="CCL182"/>
      <c r="CCM182"/>
      <c r="CCN182"/>
      <c r="CCO182"/>
      <c r="CCP182"/>
      <c r="CCQ182"/>
      <c r="CCR182"/>
      <c r="CCS182"/>
      <c r="CCT182"/>
      <c r="CCU182"/>
      <c r="CCV182"/>
      <c r="CCW182"/>
      <c r="CCX182"/>
      <c r="CCY182"/>
      <c r="CCZ182"/>
      <c r="CDA182"/>
      <c r="CDB182"/>
      <c r="CDC182"/>
      <c r="CDD182"/>
      <c r="CDE182"/>
      <c r="CDF182"/>
      <c r="CDG182"/>
      <c r="CDH182"/>
      <c r="CDI182"/>
      <c r="CDJ182"/>
      <c r="CDK182"/>
      <c r="CDL182"/>
      <c r="CDM182"/>
      <c r="CDN182"/>
      <c r="CDO182"/>
      <c r="CDP182"/>
      <c r="CDQ182"/>
      <c r="CDR182"/>
      <c r="CDS182"/>
      <c r="CDT182"/>
      <c r="CDU182"/>
      <c r="CDV182"/>
      <c r="CDW182"/>
      <c r="CDX182"/>
      <c r="CDY182"/>
      <c r="CDZ182"/>
      <c r="CEA182"/>
      <c r="CEB182"/>
      <c r="CEC182"/>
      <c r="CED182"/>
      <c r="CEE182"/>
      <c r="CEF182"/>
      <c r="CEG182"/>
      <c r="CEH182"/>
      <c r="CEI182"/>
      <c r="CEJ182"/>
      <c r="CEK182"/>
      <c r="CEL182"/>
      <c r="CEM182"/>
      <c r="CEN182"/>
      <c r="CEO182"/>
      <c r="CEP182"/>
      <c r="CEQ182"/>
      <c r="CER182"/>
      <c r="CES182"/>
      <c r="CET182"/>
      <c r="CEU182"/>
      <c r="CEV182"/>
      <c r="CEW182"/>
      <c r="CEX182"/>
      <c r="CEY182"/>
      <c r="CEZ182"/>
      <c r="CFA182"/>
      <c r="CFB182"/>
      <c r="CFC182"/>
      <c r="CFD182"/>
      <c r="CFE182"/>
      <c r="CFF182"/>
      <c r="CFG182"/>
      <c r="CFH182"/>
      <c r="CFI182"/>
      <c r="CFJ182"/>
      <c r="CFK182"/>
      <c r="CFL182"/>
      <c r="CFM182"/>
      <c r="CFN182"/>
      <c r="CFO182"/>
      <c r="CFP182"/>
      <c r="CFQ182"/>
      <c r="CFR182"/>
      <c r="CFS182"/>
      <c r="CFT182"/>
      <c r="CFU182"/>
      <c r="CFV182"/>
      <c r="CFW182"/>
      <c r="CFX182"/>
      <c r="CFY182"/>
      <c r="CFZ182"/>
      <c r="CGA182"/>
      <c r="CGB182"/>
      <c r="CGC182"/>
      <c r="CGD182"/>
      <c r="CGE182"/>
      <c r="CGF182"/>
      <c r="CGG182"/>
      <c r="CGH182"/>
      <c r="CGI182"/>
      <c r="CGJ182"/>
      <c r="CGK182"/>
      <c r="CGL182"/>
      <c r="CGM182"/>
      <c r="CGN182"/>
      <c r="CGO182"/>
      <c r="CGP182"/>
      <c r="CGQ182"/>
      <c r="CGR182"/>
      <c r="CGS182"/>
      <c r="CGT182"/>
      <c r="CGU182"/>
      <c r="CGV182"/>
      <c r="CGW182"/>
      <c r="CGX182"/>
      <c r="CGY182"/>
      <c r="CGZ182"/>
      <c r="CHA182"/>
      <c r="CHB182"/>
      <c r="CHC182"/>
      <c r="CHD182"/>
      <c r="CHE182"/>
      <c r="CHF182"/>
      <c r="CHG182"/>
      <c r="CHH182"/>
      <c r="CHI182"/>
      <c r="CHJ182"/>
      <c r="CHK182"/>
      <c r="CHL182"/>
      <c r="CHM182"/>
      <c r="CHN182"/>
      <c r="CHO182"/>
      <c r="CHP182"/>
      <c r="CHQ182"/>
      <c r="CHR182"/>
      <c r="CHS182"/>
      <c r="CHT182"/>
      <c r="CHU182"/>
      <c r="CHV182"/>
      <c r="CHW182"/>
      <c r="CHX182"/>
      <c r="CHY182"/>
      <c r="CHZ182"/>
      <c r="CIA182"/>
      <c r="CIB182"/>
      <c r="CIC182"/>
      <c r="CID182"/>
      <c r="CIE182"/>
      <c r="CIF182"/>
      <c r="CIG182"/>
      <c r="CIH182"/>
      <c r="CII182"/>
      <c r="CIJ182"/>
      <c r="CIK182"/>
      <c r="CIL182"/>
      <c r="CIM182"/>
      <c r="CIN182"/>
      <c r="CIO182"/>
      <c r="CIP182"/>
      <c r="CIQ182"/>
      <c r="CIR182"/>
      <c r="CIS182"/>
      <c r="CIT182"/>
      <c r="CIU182"/>
      <c r="CIV182"/>
      <c r="CIW182"/>
      <c r="CIX182"/>
      <c r="CIY182"/>
      <c r="CIZ182"/>
      <c r="CJA182"/>
      <c r="CJB182"/>
      <c r="CJC182"/>
      <c r="CJD182"/>
      <c r="CJE182"/>
      <c r="CJF182"/>
      <c r="CJG182"/>
      <c r="CJH182"/>
      <c r="CJI182"/>
      <c r="CJJ182"/>
      <c r="CJK182"/>
      <c r="CJL182"/>
      <c r="CJM182"/>
      <c r="CJN182"/>
      <c r="CJO182"/>
      <c r="CJP182"/>
      <c r="CJQ182"/>
      <c r="CJR182"/>
      <c r="CJS182"/>
      <c r="CJT182"/>
      <c r="CJU182"/>
      <c r="CJV182"/>
      <c r="CJW182"/>
      <c r="CJX182"/>
      <c r="CJY182"/>
      <c r="CJZ182"/>
      <c r="CKA182"/>
      <c r="CKB182"/>
      <c r="CKC182"/>
      <c r="CKD182"/>
      <c r="CKE182"/>
      <c r="CKF182"/>
      <c r="CKG182"/>
      <c r="CKH182"/>
      <c r="CKI182"/>
      <c r="CKJ182"/>
      <c r="CKK182"/>
      <c r="CKL182"/>
      <c r="CKM182"/>
      <c r="CKN182"/>
      <c r="CKO182"/>
      <c r="CKP182"/>
      <c r="CKQ182"/>
      <c r="CKR182"/>
      <c r="CKS182"/>
      <c r="CKT182"/>
      <c r="CKU182"/>
      <c r="CKV182"/>
      <c r="CKW182"/>
      <c r="CKX182"/>
      <c r="CKY182"/>
      <c r="CKZ182"/>
      <c r="CLA182"/>
      <c r="CLB182"/>
      <c r="CLC182"/>
      <c r="CLD182"/>
      <c r="CLE182"/>
      <c r="CLF182"/>
      <c r="CLG182"/>
      <c r="CLH182"/>
      <c r="CLI182"/>
      <c r="CLJ182"/>
      <c r="CLK182"/>
      <c r="CLL182"/>
      <c r="CLM182"/>
      <c r="CLN182"/>
      <c r="CLO182"/>
      <c r="CLP182"/>
      <c r="CLQ182"/>
      <c r="CLR182"/>
      <c r="CLS182"/>
      <c r="CLT182"/>
      <c r="CLU182"/>
      <c r="CLV182"/>
      <c r="CLW182"/>
      <c r="CLX182"/>
      <c r="CLY182"/>
      <c r="CLZ182"/>
      <c r="CMA182"/>
      <c r="CMB182"/>
      <c r="CMC182"/>
      <c r="CMD182"/>
      <c r="CME182"/>
      <c r="CMF182"/>
      <c r="CMG182"/>
      <c r="CMH182"/>
      <c r="CMI182"/>
      <c r="CMJ182"/>
      <c r="CMK182"/>
      <c r="CML182"/>
      <c r="CMM182"/>
      <c r="CMN182"/>
      <c r="CMO182"/>
      <c r="CMP182"/>
      <c r="CMQ182"/>
      <c r="CMR182"/>
      <c r="CMS182"/>
      <c r="CMT182"/>
      <c r="CMU182"/>
      <c r="CMV182"/>
      <c r="CMW182"/>
      <c r="CMX182"/>
      <c r="CMY182"/>
      <c r="CMZ182"/>
      <c r="CNA182"/>
      <c r="CNB182"/>
      <c r="CNC182"/>
      <c r="CND182"/>
      <c r="CNE182"/>
      <c r="CNF182"/>
      <c r="CNG182"/>
      <c r="CNH182"/>
      <c r="CNI182"/>
      <c r="CNJ182"/>
      <c r="CNK182"/>
      <c r="CNL182"/>
      <c r="CNM182"/>
      <c r="CNN182"/>
      <c r="CNO182"/>
      <c r="CNP182"/>
      <c r="CNQ182"/>
      <c r="CNR182"/>
      <c r="CNS182"/>
      <c r="CNT182"/>
      <c r="CNU182"/>
      <c r="CNV182"/>
      <c r="CNW182"/>
      <c r="CNX182"/>
      <c r="CNY182"/>
      <c r="CNZ182"/>
      <c r="COA182"/>
      <c r="COB182"/>
      <c r="COC182"/>
      <c r="COD182"/>
      <c r="COE182"/>
      <c r="COF182"/>
      <c r="COG182"/>
      <c r="COH182"/>
      <c r="COI182"/>
      <c r="COJ182"/>
      <c r="COK182"/>
      <c r="COL182"/>
      <c r="COM182"/>
      <c r="CON182"/>
      <c r="COO182"/>
      <c r="COP182"/>
      <c r="COQ182"/>
      <c r="COR182"/>
      <c r="COS182"/>
      <c r="COT182"/>
      <c r="COU182"/>
      <c r="COV182"/>
      <c r="COW182"/>
      <c r="COX182"/>
      <c r="COY182"/>
      <c r="COZ182"/>
      <c r="CPA182"/>
      <c r="CPB182"/>
      <c r="CPC182"/>
      <c r="CPD182"/>
      <c r="CPE182"/>
      <c r="CPF182"/>
      <c r="CPG182"/>
      <c r="CPH182"/>
      <c r="CPI182"/>
      <c r="CPJ182"/>
      <c r="CPK182"/>
      <c r="CPL182"/>
      <c r="CPM182"/>
      <c r="CPN182"/>
      <c r="CPO182"/>
      <c r="CPP182"/>
      <c r="CPQ182"/>
      <c r="CPR182"/>
      <c r="CPS182"/>
      <c r="CPT182"/>
      <c r="CPU182"/>
      <c r="CPV182"/>
      <c r="CPW182"/>
      <c r="CPX182"/>
      <c r="CPY182"/>
      <c r="CPZ182"/>
      <c r="CQA182"/>
      <c r="CQB182"/>
      <c r="CQC182"/>
      <c r="CQD182"/>
      <c r="CQE182"/>
      <c r="CQF182"/>
      <c r="CQG182"/>
      <c r="CQH182"/>
      <c r="CQI182"/>
      <c r="CQJ182"/>
      <c r="CQK182"/>
      <c r="CQL182"/>
      <c r="CQM182"/>
      <c r="CQN182"/>
      <c r="CQO182"/>
      <c r="CQP182"/>
      <c r="CQQ182"/>
      <c r="CQR182"/>
      <c r="CQS182"/>
      <c r="CQT182"/>
      <c r="CQU182"/>
      <c r="CQV182"/>
      <c r="CQW182"/>
      <c r="CQX182"/>
      <c r="CQY182"/>
      <c r="CQZ182"/>
      <c r="CRA182"/>
      <c r="CRB182"/>
      <c r="CRC182"/>
      <c r="CRD182"/>
      <c r="CRE182"/>
      <c r="CRF182"/>
      <c r="CRG182"/>
      <c r="CRH182"/>
      <c r="CRI182"/>
      <c r="CRJ182"/>
      <c r="CRK182"/>
      <c r="CRL182"/>
      <c r="CRM182"/>
      <c r="CRN182"/>
      <c r="CRO182"/>
      <c r="CRP182"/>
      <c r="CRQ182"/>
      <c r="CRR182"/>
      <c r="CRS182"/>
      <c r="CRT182"/>
      <c r="CRU182"/>
      <c r="CRV182"/>
      <c r="CRW182"/>
      <c r="CRX182"/>
      <c r="CRY182"/>
      <c r="CRZ182"/>
      <c r="CSA182"/>
      <c r="CSB182"/>
      <c r="CSC182"/>
      <c r="CSD182"/>
      <c r="CSE182"/>
      <c r="CSF182"/>
      <c r="CSG182"/>
      <c r="CSH182"/>
      <c r="CSI182"/>
      <c r="CSJ182"/>
      <c r="CSK182"/>
      <c r="CSL182"/>
      <c r="CSM182"/>
      <c r="CSN182"/>
      <c r="CSO182"/>
      <c r="CSP182"/>
      <c r="CSQ182"/>
      <c r="CSR182"/>
      <c r="CSS182"/>
      <c r="CST182"/>
      <c r="CSU182"/>
      <c r="CSV182"/>
      <c r="CSW182"/>
      <c r="CSX182"/>
      <c r="CSY182"/>
      <c r="CSZ182"/>
      <c r="CTA182"/>
      <c r="CTB182"/>
      <c r="CTC182"/>
      <c r="CTD182"/>
      <c r="CTE182"/>
      <c r="CTF182"/>
      <c r="CTG182"/>
      <c r="CTH182"/>
      <c r="CTI182"/>
      <c r="CTJ182"/>
      <c r="CTK182"/>
      <c r="CTL182"/>
      <c r="CTM182"/>
      <c r="CTN182"/>
      <c r="CTO182"/>
      <c r="CTP182"/>
      <c r="CTQ182"/>
      <c r="CTR182"/>
      <c r="CTS182"/>
      <c r="CTT182"/>
      <c r="CTU182"/>
      <c r="CTV182"/>
      <c r="CTW182"/>
      <c r="CTX182"/>
      <c r="CTY182"/>
      <c r="CTZ182"/>
      <c r="CUA182"/>
      <c r="CUB182"/>
      <c r="CUC182"/>
      <c r="CUD182"/>
      <c r="CUE182"/>
      <c r="CUF182"/>
      <c r="CUG182"/>
      <c r="CUH182"/>
      <c r="CUI182"/>
      <c r="CUJ182"/>
      <c r="CUK182"/>
      <c r="CUL182"/>
      <c r="CUM182"/>
      <c r="CUN182"/>
      <c r="CUO182"/>
      <c r="CUP182"/>
      <c r="CUQ182"/>
      <c r="CUR182"/>
      <c r="CUS182"/>
      <c r="CUT182"/>
      <c r="CUU182"/>
      <c r="CUV182"/>
      <c r="CUW182"/>
      <c r="CUX182"/>
      <c r="CUY182"/>
      <c r="CUZ182"/>
      <c r="CVA182"/>
      <c r="CVB182"/>
      <c r="CVC182"/>
      <c r="CVD182"/>
      <c r="CVE182"/>
      <c r="CVF182"/>
      <c r="CVG182"/>
      <c r="CVH182"/>
      <c r="CVI182"/>
      <c r="CVJ182"/>
      <c r="CVK182"/>
      <c r="CVL182"/>
      <c r="CVM182"/>
      <c r="CVN182"/>
      <c r="CVO182"/>
      <c r="CVP182"/>
      <c r="CVQ182"/>
      <c r="CVR182"/>
      <c r="CVS182"/>
      <c r="CVT182"/>
      <c r="CVU182"/>
      <c r="CVV182"/>
      <c r="CVW182"/>
      <c r="CVX182"/>
      <c r="CVY182"/>
      <c r="CVZ182"/>
      <c r="CWA182"/>
      <c r="CWB182"/>
      <c r="CWC182"/>
      <c r="CWD182"/>
      <c r="CWE182"/>
      <c r="CWF182"/>
      <c r="CWG182"/>
      <c r="CWH182"/>
      <c r="CWI182"/>
      <c r="CWJ182"/>
      <c r="CWK182"/>
      <c r="CWL182"/>
      <c r="CWM182"/>
      <c r="CWN182"/>
      <c r="CWO182"/>
      <c r="CWP182"/>
      <c r="CWQ182"/>
      <c r="CWR182"/>
      <c r="CWS182"/>
      <c r="CWT182"/>
      <c r="CWU182"/>
      <c r="CWV182"/>
      <c r="CWW182"/>
      <c r="CWX182"/>
      <c r="CWY182"/>
      <c r="CWZ182"/>
      <c r="CXA182"/>
      <c r="CXB182"/>
      <c r="CXC182"/>
      <c r="CXD182"/>
      <c r="CXE182"/>
      <c r="CXF182"/>
      <c r="CXG182"/>
      <c r="CXH182"/>
      <c r="CXI182"/>
      <c r="CXJ182"/>
      <c r="CXK182"/>
      <c r="CXL182"/>
      <c r="CXM182"/>
      <c r="CXN182"/>
      <c r="CXO182"/>
      <c r="CXP182"/>
      <c r="CXQ182"/>
      <c r="CXR182"/>
      <c r="CXS182"/>
      <c r="CXT182"/>
      <c r="CXU182"/>
      <c r="CXV182"/>
      <c r="CXW182"/>
      <c r="CXX182"/>
      <c r="CXY182"/>
      <c r="CXZ182"/>
      <c r="CYA182"/>
      <c r="CYB182"/>
      <c r="CYC182"/>
      <c r="CYD182"/>
      <c r="CYE182"/>
      <c r="CYF182"/>
      <c r="CYG182"/>
      <c r="CYH182"/>
      <c r="CYI182"/>
      <c r="CYJ182"/>
      <c r="CYK182"/>
      <c r="CYL182"/>
      <c r="CYM182"/>
      <c r="CYN182"/>
      <c r="CYO182"/>
      <c r="CYP182"/>
      <c r="CYQ182"/>
      <c r="CYR182"/>
      <c r="CYS182"/>
      <c r="CYT182"/>
      <c r="CYU182"/>
      <c r="CYV182"/>
      <c r="CYW182"/>
      <c r="CYX182"/>
      <c r="CYY182"/>
      <c r="CYZ182"/>
      <c r="CZA182"/>
      <c r="CZB182"/>
      <c r="CZC182"/>
      <c r="CZD182"/>
      <c r="CZE182"/>
      <c r="CZF182"/>
      <c r="CZG182"/>
      <c r="CZH182"/>
      <c r="CZI182"/>
      <c r="CZJ182"/>
      <c r="CZK182"/>
      <c r="CZL182"/>
      <c r="CZM182"/>
      <c r="CZN182"/>
      <c r="CZO182"/>
      <c r="CZP182"/>
      <c r="CZQ182"/>
      <c r="CZR182"/>
      <c r="CZS182"/>
      <c r="CZT182"/>
      <c r="CZU182"/>
      <c r="CZV182"/>
      <c r="CZW182"/>
      <c r="CZX182"/>
      <c r="CZY182"/>
      <c r="CZZ182"/>
      <c r="DAA182"/>
      <c r="DAB182"/>
      <c r="DAC182"/>
      <c r="DAD182"/>
      <c r="DAE182"/>
      <c r="DAF182"/>
      <c r="DAG182"/>
      <c r="DAH182"/>
      <c r="DAI182"/>
      <c r="DAJ182"/>
      <c r="DAK182"/>
      <c r="DAL182"/>
      <c r="DAM182"/>
      <c r="DAN182"/>
      <c r="DAO182"/>
      <c r="DAP182"/>
      <c r="DAQ182"/>
      <c r="DAR182"/>
      <c r="DAS182"/>
      <c r="DAT182"/>
      <c r="DAU182"/>
      <c r="DAV182"/>
      <c r="DAW182"/>
      <c r="DAX182"/>
      <c r="DAY182"/>
      <c r="DAZ182"/>
      <c r="DBA182"/>
      <c r="DBB182"/>
      <c r="DBC182"/>
      <c r="DBD182"/>
      <c r="DBE182"/>
      <c r="DBF182"/>
      <c r="DBG182"/>
      <c r="DBH182"/>
      <c r="DBI182"/>
      <c r="DBJ182"/>
      <c r="DBK182"/>
      <c r="DBL182"/>
      <c r="DBM182"/>
      <c r="DBN182"/>
      <c r="DBO182"/>
      <c r="DBP182"/>
      <c r="DBQ182"/>
      <c r="DBR182"/>
      <c r="DBS182"/>
      <c r="DBT182"/>
      <c r="DBU182"/>
      <c r="DBV182"/>
      <c r="DBW182"/>
      <c r="DBX182"/>
      <c r="DBY182"/>
      <c r="DBZ182"/>
      <c r="DCA182"/>
      <c r="DCB182"/>
      <c r="DCC182"/>
      <c r="DCD182"/>
      <c r="DCE182"/>
      <c r="DCF182"/>
      <c r="DCG182"/>
      <c r="DCH182"/>
      <c r="DCI182"/>
      <c r="DCJ182"/>
      <c r="DCK182"/>
      <c r="DCL182"/>
      <c r="DCM182"/>
      <c r="DCN182"/>
      <c r="DCO182"/>
      <c r="DCP182"/>
      <c r="DCQ182"/>
      <c r="DCR182"/>
      <c r="DCS182"/>
      <c r="DCT182"/>
      <c r="DCU182"/>
      <c r="DCV182"/>
      <c r="DCW182"/>
      <c r="DCX182"/>
      <c r="DCY182"/>
      <c r="DCZ182"/>
      <c r="DDA182"/>
      <c r="DDB182"/>
      <c r="DDC182"/>
      <c r="DDD182"/>
      <c r="DDE182"/>
      <c r="DDF182"/>
      <c r="DDG182"/>
      <c r="DDH182"/>
      <c r="DDI182"/>
      <c r="DDJ182"/>
      <c r="DDK182"/>
      <c r="DDL182"/>
      <c r="DDM182"/>
      <c r="DDN182"/>
      <c r="DDO182"/>
      <c r="DDP182"/>
      <c r="DDQ182"/>
      <c r="DDR182"/>
      <c r="DDS182"/>
      <c r="DDT182"/>
      <c r="DDU182"/>
      <c r="DDV182"/>
      <c r="DDW182"/>
      <c r="DDX182"/>
      <c r="DDY182"/>
      <c r="DDZ182"/>
      <c r="DEA182"/>
      <c r="DEB182"/>
      <c r="DEC182"/>
      <c r="DED182"/>
      <c r="DEE182"/>
      <c r="DEF182"/>
      <c r="DEG182"/>
      <c r="DEH182"/>
      <c r="DEI182"/>
      <c r="DEJ182"/>
      <c r="DEK182"/>
      <c r="DEL182"/>
      <c r="DEM182"/>
      <c r="DEN182"/>
      <c r="DEO182"/>
      <c r="DEP182"/>
      <c r="DEQ182"/>
      <c r="DER182"/>
      <c r="DES182"/>
      <c r="DET182"/>
      <c r="DEU182"/>
      <c r="DEV182"/>
      <c r="DEW182"/>
      <c r="DEX182"/>
      <c r="DEY182"/>
      <c r="DEZ182"/>
      <c r="DFA182"/>
      <c r="DFB182"/>
      <c r="DFC182"/>
      <c r="DFD182"/>
      <c r="DFE182"/>
      <c r="DFF182"/>
      <c r="DFG182"/>
      <c r="DFH182"/>
      <c r="DFI182"/>
      <c r="DFJ182"/>
      <c r="DFK182"/>
      <c r="DFL182"/>
      <c r="DFM182"/>
      <c r="DFN182"/>
      <c r="DFO182"/>
      <c r="DFP182"/>
      <c r="DFQ182"/>
      <c r="DFR182"/>
      <c r="DFS182"/>
      <c r="DFT182"/>
      <c r="DFU182"/>
      <c r="DFV182"/>
      <c r="DFW182"/>
      <c r="DFX182"/>
      <c r="DFY182"/>
      <c r="DFZ182"/>
      <c r="DGA182"/>
      <c r="DGB182"/>
      <c r="DGC182"/>
      <c r="DGD182"/>
      <c r="DGE182"/>
      <c r="DGF182"/>
      <c r="DGG182"/>
      <c r="DGH182"/>
      <c r="DGI182"/>
      <c r="DGJ182"/>
      <c r="DGK182"/>
      <c r="DGL182"/>
      <c r="DGM182"/>
      <c r="DGN182"/>
      <c r="DGO182"/>
      <c r="DGP182"/>
      <c r="DGQ182"/>
      <c r="DGR182"/>
      <c r="DGS182"/>
      <c r="DGT182"/>
      <c r="DGU182"/>
      <c r="DGV182"/>
      <c r="DGW182"/>
      <c r="DGX182"/>
      <c r="DGY182"/>
      <c r="DGZ182"/>
      <c r="DHA182"/>
      <c r="DHB182"/>
      <c r="DHC182"/>
      <c r="DHD182"/>
      <c r="DHE182"/>
      <c r="DHF182"/>
      <c r="DHG182"/>
      <c r="DHH182"/>
      <c r="DHI182"/>
      <c r="DHJ182"/>
      <c r="DHK182"/>
      <c r="DHL182"/>
      <c r="DHM182"/>
      <c r="DHN182"/>
      <c r="DHO182"/>
      <c r="DHP182"/>
      <c r="DHQ182"/>
      <c r="DHR182"/>
      <c r="DHS182"/>
      <c r="DHT182"/>
      <c r="DHU182"/>
      <c r="DHV182"/>
      <c r="DHW182"/>
      <c r="DHX182"/>
      <c r="DHY182"/>
      <c r="DHZ182"/>
      <c r="DIA182"/>
      <c r="DIB182"/>
      <c r="DIC182"/>
      <c r="DID182"/>
      <c r="DIE182"/>
      <c r="DIF182"/>
      <c r="DIG182"/>
      <c r="DIH182"/>
      <c r="DII182"/>
      <c r="DIJ182"/>
      <c r="DIK182"/>
      <c r="DIL182"/>
      <c r="DIM182"/>
      <c r="DIN182"/>
      <c r="DIO182"/>
      <c r="DIP182"/>
      <c r="DIQ182"/>
      <c r="DIR182"/>
      <c r="DIS182"/>
      <c r="DIT182"/>
      <c r="DIU182"/>
      <c r="DIV182"/>
      <c r="DIW182"/>
      <c r="DIX182"/>
      <c r="DIY182"/>
      <c r="DIZ182"/>
      <c r="DJA182"/>
      <c r="DJB182"/>
      <c r="DJC182"/>
      <c r="DJD182"/>
      <c r="DJE182"/>
      <c r="DJF182"/>
      <c r="DJG182"/>
      <c r="DJH182"/>
      <c r="DJI182"/>
      <c r="DJJ182"/>
      <c r="DJK182"/>
      <c r="DJL182"/>
      <c r="DJM182"/>
      <c r="DJN182"/>
      <c r="DJO182"/>
      <c r="DJP182"/>
      <c r="DJQ182"/>
      <c r="DJR182"/>
      <c r="DJS182"/>
      <c r="DJT182"/>
      <c r="DJU182"/>
      <c r="DJV182"/>
      <c r="DJW182"/>
      <c r="DJX182"/>
      <c r="DJY182"/>
      <c r="DJZ182"/>
      <c r="DKA182"/>
      <c r="DKB182"/>
      <c r="DKC182"/>
      <c r="DKD182"/>
      <c r="DKE182"/>
      <c r="DKF182"/>
      <c r="DKG182"/>
      <c r="DKH182"/>
      <c r="DKI182"/>
      <c r="DKJ182"/>
      <c r="DKK182"/>
      <c r="DKL182"/>
      <c r="DKM182"/>
      <c r="DKN182"/>
      <c r="DKO182"/>
      <c r="DKP182"/>
      <c r="DKQ182"/>
      <c r="DKR182"/>
      <c r="DKS182"/>
      <c r="DKT182"/>
      <c r="DKU182"/>
      <c r="DKV182"/>
      <c r="DKW182"/>
      <c r="DKX182"/>
      <c r="DKY182"/>
      <c r="DKZ182"/>
      <c r="DLA182"/>
      <c r="DLB182"/>
      <c r="DLC182"/>
      <c r="DLD182"/>
      <c r="DLE182"/>
      <c r="DLF182"/>
      <c r="DLG182"/>
      <c r="DLH182"/>
      <c r="DLI182"/>
      <c r="DLJ182"/>
      <c r="DLK182"/>
      <c r="DLL182"/>
      <c r="DLM182"/>
      <c r="DLN182"/>
      <c r="DLO182"/>
      <c r="DLP182"/>
      <c r="DLQ182"/>
      <c r="DLR182"/>
      <c r="DLS182"/>
      <c r="DLT182"/>
      <c r="DLU182"/>
      <c r="DLV182"/>
      <c r="DLW182"/>
      <c r="DLX182"/>
      <c r="DLY182"/>
      <c r="DLZ182"/>
      <c r="DMA182"/>
      <c r="DMB182"/>
      <c r="DMC182"/>
      <c r="DMD182"/>
      <c r="DME182"/>
      <c r="DMF182"/>
      <c r="DMG182"/>
      <c r="DMH182"/>
      <c r="DMI182"/>
      <c r="DMJ182"/>
      <c r="DMK182"/>
      <c r="DML182"/>
      <c r="DMM182"/>
      <c r="DMN182"/>
      <c r="DMO182"/>
      <c r="DMP182"/>
      <c r="DMQ182"/>
      <c r="DMR182"/>
      <c r="DMS182"/>
      <c r="DMT182"/>
      <c r="DMU182"/>
      <c r="DMV182"/>
      <c r="DMW182"/>
      <c r="DMX182"/>
      <c r="DMY182"/>
      <c r="DMZ182"/>
      <c r="DNA182"/>
      <c r="DNB182"/>
      <c r="DNC182"/>
      <c r="DND182"/>
      <c r="DNE182"/>
      <c r="DNF182"/>
      <c r="DNG182"/>
      <c r="DNH182"/>
      <c r="DNI182"/>
      <c r="DNJ182"/>
      <c r="DNK182"/>
      <c r="DNL182"/>
      <c r="DNM182"/>
      <c r="DNN182"/>
      <c r="DNO182"/>
      <c r="DNP182"/>
      <c r="DNQ182"/>
      <c r="DNR182"/>
      <c r="DNS182"/>
      <c r="DNT182"/>
      <c r="DNU182"/>
      <c r="DNV182"/>
      <c r="DNW182"/>
      <c r="DNX182"/>
      <c r="DNY182"/>
      <c r="DNZ182"/>
      <c r="DOA182"/>
      <c r="DOB182"/>
      <c r="DOC182"/>
      <c r="DOD182"/>
      <c r="DOE182"/>
      <c r="DOF182"/>
      <c r="DOG182"/>
      <c r="DOH182"/>
      <c r="DOI182"/>
      <c r="DOJ182"/>
      <c r="DOK182"/>
      <c r="DOL182"/>
      <c r="DOM182"/>
      <c r="DON182"/>
      <c r="DOO182"/>
      <c r="DOP182"/>
      <c r="DOQ182"/>
      <c r="DOR182"/>
      <c r="DOS182"/>
      <c r="DOT182"/>
      <c r="DOU182"/>
      <c r="DOV182"/>
      <c r="DOW182"/>
      <c r="DOX182"/>
      <c r="DOY182"/>
      <c r="DOZ182"/>
      <c r="DPA182"/>
      <c r="DPB182"/>
      <c r="DPC182"/>
      <c r="DPD182"/>
      <c r="DPE182"/>
      <c r="DPF182"/>
      <c r="DPG182"/>
      <c r="DPH182"/>
      <c r="DPI182"/>
      <c r="DPJ182"/>
      <c r="DPK182"/>
      <c r="DPL182"/>
      <c r="DPM182"/>
      <c r="DPN182"/>
      <c r="DPO182"/>
      <c r="DPP182"/>
      <c r="DPQ182"/>
      <c r="DPR182"/>
      <c r="DPS182"/>
      <c r="DPT182"/>
      <c r="DPU182"/>
      <c r="DPV182"/>
      <c r="DPW182"/>
      <c r="DPX182"/>
      <c r="DPY182"/>
      <c r="DPZ182"/>
      <c r="DQA182"/>
      <c r="DQB182"/>
      <c r="DQC182"/>
      <c r="DQD182"/>
      <c r="DQE182"/>
      <c r="DQF182"/>
      <c r="DQG182"/>
      <c r="DQH182"/>
      <c r="DQI182"/>
      <c r="DQJ182"/>
      <c r="DQK182"/>
      <c r="DQL182"/>
      <c r="DQM182"/>
      <c r="DQN182"/>
      <c r="DQO182"/>
      <c r="DQP182"/>
      <c r="DQQ182"/>
      <c r="DQR182"/>
      <c r="DQS182"/>
      <c r="DQT182"/>
      <c r="DQU182"/>
      <c r="DQV182"/>
      <c r="DQW182"/>
      <c r="DQX182"/>
      <c r="DQY182"/>
      <c r="DQZ182"/>
      <c r="DRA182"/>
      <c r="DRB182"/>
      <c r="DRC182"/>
      <c r="DRD182"/>
      <c r="DRE182"/>
      <c r="DRF182"/>
      <c r="DRG182"/>
      <c r="DRH182"/>
      <c r="DRI182"/>
      <c r="DRJ182"/>
      <c r="DRK182"/>
      <c r="DRL182"/>
      <c r="DRM182"/>
      <c r="DRN182"/>
      <c r="DRO182"/>
      <c r="DRP182"/>
      <c r="DRQ182"/>
      <c r="DRR182"/>
      <c r="DRS182"/>
      <c r="DRT182"/>
      <c r="DRU182"/>
      <c r="DRV182"/>
      <c r="DRW182"/>
      <c r="DRX182"/>
      <c r="DRY182"/>
      <c r="DRZ182"/>
      <c r="DSA182"/>
      <c r="DSB182"/>
      <c r="DSC182"/>
      <c r="DSD182"/>
      <c r="DSE182"/>
      <c r="DSF182"/>
      <c r="DSG182"/>
      <c r="DSH182"/>
      <c r="DSI182"/>
      <c r="DSJ182"/>
      <c r="DSK182"/>
      <c r="DSL182"/>
      <c r="DSM182"/>
      <c r="DSN182"/>
      <c r="DSO182"/>
      <c r="DSP182"/>
      <c r="DSQ182"/>
      <c r="DSR182"/>
      <c r="DSS182"/>
      <c r="DST182"/>
      <c r="DSU182"/>
      <c r="DSV182"/>
      <c r="DSW182"/>
      <c r="DSX182"/>
      <c r="DSY182"/>
      <c r="DSZ182"/>
      <c r="DTA182"/>
      <c r="DTB182"/>
      <c r="DTC182"/>
      <c r="DTD182"/>
      <c r="DTE182"/>
      <c r="DTF182"/>
      <c r="DTG182"/>
      <c r="DTH182"/>
      <c r="DTI182"/>
      <c r="DTJ182"/>
      <c r="DTK182"/>
      <c r="DTL182"/>
      <c r="DTM182"/>
      <c r="DTN182"/>
      <c r="DTO182"/>
      <c r="DTP182"/>
      <c r="DTQ182"/>
      <c r="DTR182"/>
      <c r="DTS182"/>
      <c r="DTT182"/>
      <c r="DTU182"/>
      <c r="DTV182"/>
      <c r="DTW182"/>
      <c r="DTX182"/>
      <c r="DTY182"/>
      <c r="DTZ182"/>
      <c r="DUA182"/>
      <c r="DUB182"/>
      <c r="DUC182"/>
      <c r="DUD182"/>
      <c r="DUE182"/>
      <c r="DUF182"/>
      <c r="DUG182"/>
      <c r="DUH182"/>
      <c r="DUI182"/>
      <c r="DUJ182"/>
      <c r="DUK182"/>
      <c r="DUL182"/>
      <c r="DUM182"/>
      <c r="DUN182"/>
      <c r="DUO182"/>
      <c r="DUP182"/>
      <c r="DUQ182"/>
      <c r="DUR182"/>
      <c r="DUS182"/>
      <c r="DUT182"/>
      <c r="DUU182"/>
      <c r="DUV182"/>
      <c r="DUW182"/>
      <c r="DUX182"/>
      <c r="DUY182"/>
      <c r="DUZ182"/>
      <c r="DVA182"/>
      <c r="DVB182"/>
      <c r="DVC182"/>
      <c r="DVD182"/>
      <c r="DVE182"/>
      <c r="DVF182"/>
      <c r="DVG182"/>
      <c r="DVH182"/>
      <c r="DVI182"/>
      <c r="DVJ182"/>
      <c r="DVK182"/>
      <c r="DVL182"/>
      <c r="DVM182"/>
      <c r="DVN182"/>
      <c r="DVO182"/>
      <c r="DVP182"/>
      <c r="DVQ182"/>
      <c r="DVR182"/>
      <c r="DVS182"/>
      <c r="DVT182"/>
      <c r="DVU182"/>
      <c r="DVV182"/>
      <c r="DVW182"/>
      <c r="DVX182"/>
      <c r="DVY182"/>
      <c r="DVZ182"/>
      <c r="DWA182"/>
      <c r="DWB182"/>
      <c r="DWC182"/>
      <c r="DWD182"/>
      <c r="DWE182"/>
      <c r="DWF182"/>
      <c r="DWG182"/>
      <c r="DWH182"/>
      <c r="DWI182"/>
      <c r="DWJ182"/>
      <c r="DWK182"/>
      <c r="DWL182"/>
      <c r="DWM182"/>
      <c r="DWN182"/>
      <c r="DWO182"/>
      <c r="DWP182"/>
      <c r="DWQ182"/>
      <c r="DWR182"/>
      <c r="DWS182"/>
      <c r="DWT182"/>
      <c r="DWU182"/>
      <c r="DWV182"/>
      <c r="DWW182"/>
      <c r="DWX182"/>
      <c r="DWY182"/>
      <c r="DWZ182"/>
      <c r="DXA182"/>
      <c r="DXB182"/>
      <c r="DXC182"/>
      <c r="DXD182"/>
      <c r="DXE182"/>
      <c r="DXF182"/>
      <c r="DXG182"/>
      <c r="DXH182"/>
      <c r="DXI182"/>
      <c r="DXJ182"/>
      <c r="DXK182"/>
      <c r="DXL182"/>
      <c r="DXM182"/>
      <c r="DXN182"/>
      <c r="DXO182"/>
      <c r="DXP182"/>
      <c r="DXQ182"/>
      <c r="DXR182"/>
      <c r="DXS182"/>
      <c r="DXT182"/>
      <c r="DXU182"/>
      <c r="DXV182"/>
      <c r="DXW182"/>
      <c r="DXX182"/>
      <c r="DXY182"/>
      <c r="DXZ182"/>
      <c r="DYA182"/>
      <c r="DYB182"/>
      <c r="DYC182"/>
      <c r="DYD182"/>
      <c r="DYE182"/>
      <c r="DYF182"/>
      <c r="DYG182"/>
      <c r="DYH182"/>
      <c r="DYI182"/>
      <c r="DYJ182"/>
      <c r="DYK182"/>
      <c r="DYL182"/>
      <c r="DYM182"/>
      <c r="DYN182"/>
      <c r="DYO182"/>
      <c r="DYP182"/>
      <c r="DYQ182"/>
      <c r="DYR182"/>
      <c r="DYS182"/>
      <c r="DYT182"/>
      <c r="DYU182"/>
      <c r="DYV182"/>
      <c r="DYW182"/>
      <c r="DYX182"/>
      <c r="DYY182"/>
      <c r="DYZ182"/>
      <c r="DZA182"/>
      <c r="DZB182"/>
      <c r="DZC182"/>
      <c r="DZD182"/>
      <c r="DZE182"/>
      <c r="DZF182"/>
      <c r="DZG182"/>
      <c r="DZH182"/>
      <c r="DZI182"/>
      <c r="DZJ182"/>
      <c r="DZK182"/>
      <c r="DZL182"/>
      <c r="DZM182"/>
      <c r="DZN182"/>
      <c r="DZO182"/>
      <c r="DZP182"/>
      <c r="DZQ182"/>
      <c r="DZR182"/>
      <c r="DZS182"/>
      <c r="DZT182"/>
      <c r="DZU182"/>
      <c r="DZV182"/>
      <c r="DZW182"/>
      <c r="DZX182"/>
      <c r="DZY182"/>
      <c r="DZZ182"/>
      <c r="EAA182"/>
      <c r="EAB182"/>
      <c r="EAC182"/>
      <c r="EAD182"/>
      <c r="EAE182"/>
      <c r="EAF182"/>
      <c r="EAG182"/>
      <c r="EAH182"/>
      <c r="EAI182"/>
      <c r="EAJ182"/>
      <c r="EAK182"/>
      <c r="EAL182"/>
      <c r="EAM182"/>
      <c r="EAN182"/>
      <c r="EAO182"/>
      <c r="EAP182"/>
      <c r="EAQ182"/>
      <c r="EAR182"/>
      <c r="EAS182"/>
      <c r="EAT182"/>
      <c r="EAU182"/>
      <c r="EAV182"/>
      <c r="EAW182"/>
      <c r="EAX182"/>
      <c r="EAY182"/>
      <c r="EAZ182"/>
      <c r="EBA182"/>
      <c r="EBB182"/>
      <c r="EBC182"/>
      <c r="EBD182"/>
      <c r="EBE182"/>
      <c r="EBF182"/>
      <c r="EBG182"/>
      <c r="EBH182"/>
      <c r="EBI182"/>
      <c r="EBJ182"/>
      <c r="EBK182"/>
      <c r="EBL182"/>
      <c r="EBM182"/>
      <c r="EBN182"/>
      <c r="EBO182"/>
      <c r="EBP182"/>
      <c r="EBQ182"/>
      <c r="EBR182"/>
      <c r="EBS182"/>
      <c r="EBT182"/>
      <c r="EBU182"/>
      <c r="EBV182"/>
      <c r="EBW182"/>
      <c r="EBX182"/>
      <c r="EBY182"/>
      <c r="EBZ182"/>
      <c r="ECA182"/>
      <c r="ECB182"/>
      <c r="ECC182"/>
      <c r="ECD182"/>
      <c r="ECE182"/>
      <c r="ECF182"/>
      <c r="ECG182"/>
      <c r="ECH182"/>
      <c r="ECI182"/>
      <c r="ECJ182"/>
      <c r="ECK182"/>
      <c r="ECL182"/>
      <c r="ECM182"/>
      <c r="ECN182"/>
      <c r="ECO182"/>
      <c r="ECP182"/>
      <c r="ECQ182"/>
      <c r="ECR182"/>
      <c r="ECS182"/>
      <c r="ECT182"/>
      <c r="ECU182"/>
      <c r="ECV182"/>
      <c r="ECW182"/>
      <c r="ECX182"/>
      <c r="ECY182"/>
      <c r="ECZ182"/>
      <c r="EDA182"/>
      <c r="EDB182"/>
      <c r="EDC182"/>
      <c r="EDD182"/>
      <c r="EDE182"/>
      <c r="EDF182"/>
      <c r="EDG182"/>
      <c r="EDH182"/>
      <c r="EDI182"/>
      <c r="EDJ182"/>
      <c r="EDK182"/>
      <c r="EDL182"/>
      <c r="EDM182"/>
      <c r="EDN182"/>
      <c r="EDO182"/>
      <c r="EDP182"/>
      <c r="EDQ182"/>
      <c r="EDR182"/>
      <c r="EDS182"/>
      <c r="EDT182"/>
      <c r="EDU182"/>
      <c r="EDV182"/>
      <c r="EDW182"/>
      <c r="EDX182"/>
      <c r="EDY182"/>
      <c r="EDZ182"/>
      <c r="EEA182"/>
      <c r="EEB182"/>
      <c r="EEC182"/>
      <c r="EED182"/>
      <c r="EEE182"/>
      <c r="EEF182"/>
      <c r="EEG182"/>
      <c r="EEH182"/>
      <c r="EEI182"/>
      <c r="EEJ182"/>
      <c r="EEK182"/>
      <c r="EEL182"/>
      <c r="EEM182"/>
      <c r="EEN182"/>
      <c r="EEO182"/>
      <c r="EEP182"/>
      <c r="EEQ182"/>
      <c r="EER182"/>
      <c r="EES182"/>
      <c r="EET182"/>
      <c r="EEU182"/>
      <c r="EEV182"/>
      <c r="EEW182"/>
      <c r="EEX182"/>
      <c r="EEY182"/>
      <c r="EEZ182"/>
      <c r="EFA182"/>
      <c r="EFB182"/>
      <c r="EFC182"/>
      <c r="EFD182"/>
      <c r="EFE182"/>
      <c r="EFF182"/>
      <c r="EFG182"/>
      <c r="EFH182"/>
      <c r="EFI182"/>
      <c r="EFJ182"/>
      <c r="EFK182"/>
      <c r="EFL182"/>
      <c r="EFM182"/>
      <c r="EFN182"/>
      <c r="EFO182"/>
      <c r="EFP182"/>
      <c r="EFQ182"/>
      <c r="EFR182"/>
      <c r="EFS182"/>
      <c r="EFT182"/>
      <c r="EFU182"/>
      <c r="EFV182"/>
      <c r="EFW182"/>
      <c r="EFX182"/>
      <c r="EFY182"/>
      <c r="EFZ182"/>
      <c r="EGA182"/>
      <c r="EGB182"/>
      <c r="EGC182"/>
      <c r="EGD182"/>
      <c r="EGE182"/>
      <c r="EGF182"/>
      <c r="EGG182"/>
      <c r="EGH182"/>
      <c r="EGI182"/>
      <c r="EGJ182"/>
      <c r="EGK182"/>
      <c r="EGL182"/>
      <c r="EGM182"/>
      <c r="EGN182"/>
      <c r="EGO182"/>
      <c r="EGP182"/>
      <c r="EGQ182"/>
      <c r="EGR182"/>
      <c r="EGS182"/>
      <c r="EGT182"/>
      <c r="EGU182"/>
      <c r="EGV182"/>
      <c r="EGW182"/>
      <c r="EGX182"/>
      <c r="EGY182"/>
      <c r="EGZ182"/>
      <c r="EHA182"/>
      <c r="EHB182"/>
      <c r="EHC182"/>
      <c r="EHD182"/>
      <c r="EHE182"/>
      <c r="EHF182"/>
      <c r="EHG182"/>
      <c r="EHH182"/>
      <c r="EHI182"/>
      <c r="EHJ182"/>
      <c r="EHK182"/>
      <c r="EHL182"/>
      <c r="EHM182"/>
      <c r="EHN182"/>
      <c r="EHO182"/>
      <c r="EHP182"/>
      <c r="EHQ182"/>
      <c r="EHR182"/>
      <c r="EHS182"/>
      <c r="EHT182"/>
      <c r="EHU182"/>
      <c r="EHV182"/>
      <c r="EHW182"/>
      <c r="EHX182"/>
      <c r="EHY182"/>
      <c r="EHZ182"/>
      <c r="EIA182"/>
      <c r="EIB182"/>
      <c r="EIC182"/>
      <c r="EID182"/>
      <c r="EIE182"/>
      <c r="EIF182"/>
      <c r="EIG182"/>
      <c r="EIH182"/>
      <c r="EII182"/>
      <c r="EIJ182"/>
      <c r="EIK182"/>
      <c r="EIL182"/>
      <c r="EIM182"/>
      <c r="EIN182"/>
      <c r="EIO182"/>
      <c r="EIP182"/>
      <c r="EIQ182"/>
      <c r="EIR182"/>
      <c r="EIS182"/>
      <c r="EIT182"/>
      <c r="EIU182"/>
      <c r="EIV182"/>
      <c r="EIW182"/>
      <c r="EIX182"/>
      <c r="EIY182"/>
      <c r="EIZ182"/>
      <c r="EJA182"/>
      <c r="EJB182"/>
      <c r="EJC182"/>
      <c r="EJD182"/>
      <c r="EJE182"/>
      <c r="EJF182"/>
      <c r="EJG182"/>
      <c r="EJH182"/>
      <c r="EJI182"/>
      <c r="EJJ182"/>
      <c r="EJK182"/>
      <c r="EJL182"/>
      <c r="EJM182"/>
      <c r="EJN182"/>
      <c r="EJO182"/>
      <c r="EJP182"/>
      <c r="EJQ182"/>
      <c r="EJR182"/>
      <c r="EJS182"/>
      <c r="EJT182"/>
      <c r="EJU182"/>
      <c r="EJV182"/>
      <c r="EJW182"/>
      <c r="EJX182"/>
      <c r="EJY182"/>
      <c r="EJZ182"/>
      <c r="EKA182"/>
      <c r="EKB182"/>
      <c r="EKC182"/>
      <c r="EKD182"/>
      <c r="EKE182"/>
      <c r="EKF182"/>
      <c r="EKG182"/>
      <c r="EKH182"/>
      <c r="EKI182"/>
      <c r="EKJ182"/>
      <c r="EKK182"/>
      <c r="EKL182"/>
      <c r="EKM182"/>
      <c r="EKN182"/>
      <c r="EKO182"/>
      <c r="EKP182"/>
      <c r="EKQ182"/>
      <c r="EKR182"/>
      <c r="EKS182"/>
      <c r="EKT182"/>
      <c r="EKU182"/>
      <c r="EKV182"/>
      <c r="EKW182"/>
      <c r="EKX182"/>
      <c r="EKY182"/>
      <c r="EKZ182"/>
      <c r="ELA182"/>
      <c r="ELB182"/>
      <c r="ELC182"/>
      <c r="ELD182"/>
      <c r="ELE182"/>
      <c r="ELF182"/>
      <c r="ELG182"/>
      <c r="ELH182"/>
      <c r="ELI182"/>
      <c r="ELJ182"/>
      <c r="ELK182"/>
      <c r="ELL182"/>
      <c r="ELM182"/>
      <c r="ELN182"/>
      <c r="ELO182"/>
      <c r="ELP182"/>
      <c r="ELQ182"/>
      <c r="ELR182"/>
      <c r="ELS182"/>
      <c r="ELT182"/>
      <c r="ELU182"/>
      <c r="ELV182"/>
      <c r="ELW182"/>
      <c r="ELX182"/>
      <c r="ELY182"/>
      <c r="ELZ182"/>
      <c r="EMA182"/>
      <c r="EMB182"/>
      <c r="EMC182"/>
      <c r="EMD182"/>
      <c r="EME182"/>
      <c r="EMF182"/>
      <c r="EMG182"/>
      <c r="EMH182"/>
      <c r="EMI182"/>
      <c r="EMJ182"/>
      <c r="EMK182"/>
      <c r="EML182"/>
      <c r="EMM182"/>
      <c r="EMN182"/>
      <c r="EMO182"/>
      <c r="EMP182"/>
      <c r="EMQ182"/>
      <c r="EMR182"/>
      <c r="EMS182"/>
      <c r="EMT182"/>
      <c r="EMU182"/>
      <c r="EMV182"/>
      <c r="EMW182"/>
      <c r="EMX182"/>
      <c r="EMY182"/>
      <c r="EMZ182"/>
      <c r="ENA182"/>
      <c r="ENB182"/>
      <c r="ENC182"/>
      <c r="END182"/>
      <c r="ENE182"/>
      <c r="ENF182"/>
      <c r="ENG182"/>
      <c r="ENH182"/>
      <c r="ENI182"/>
      <c r="ENJ182"/>
      <c r="ENK182"/>
      <c r="ENL182"/>
      <c r="ENM182"/>
      <c r="ENN182"/>
      <c r="ENO182"/>
      <c r="ENP182"/>
      <c r="ENQ182"/>
      <c r="ENR182"/>
      <c r="ENS182"/>
      <c r="ENT182"/>
      <c r="ENU182"/>
      <c r="ENV182"/>
      <c r="ENW182"/>
      <c r="ENX182"/>
      <c r="ENY182"/>
      <c r="ENZ182"/>
      <c r="EOA182"/>
      <c r="EOB182"/>
      <c r="EOC182"/>
      <c r="EOD182"/>
      <c r="EOE182"/>
      <c r="EOF182"/>
      <c r="EOG182"/>
      <c r="EOH182"/>
      <c r="EOI182"/>
      <c r="EOJ182"/>
      <c r="EOK182"/>
      <c r="EOL182"/>
      <c r="EOM182"/>
      <c r="EON182"/>
      <c r="EOO182"/>
      <c r="EOP182"/>
      <c r="EOQ182"/>
      <c r="EOR182"/>
      <c r="EOS182"/>
      <c r="EOT182"/>
      <c r="EOU182"/>
      <c r="EOV182"/>
      <c r="EOW182"/>
      <c r="EOX182"/>
      <c r="EOY182"/>
      <c r="EOZ182"/>
      <c r="EPA182"/>
      <c r="EPB182"/>
      <c r="EPC182"/>
      <c r="EPD182"/>
      <c r="EPE182"/>
      <c r="EPF182"/>
      <c r="EPG182"/>
      <c r="EPH182"/>
      <c r="EPI182"/>
      <c r="EPJ182"/>
      <c r="EPK182"/>
      <c r="EPL182"/>
      <c r="EPM182"/>
      <c r="EPN182"/>
      <c r="EPO182"/>
      <c r="EPP182"/>
      <c r="EPQ182"/>
      <c r="EPR182"/>
      <c r="EPS182"/>
      <c r="EPT182"/>
      <c r="EPU182"/>
      <c r="EPV182"/>
      <c r="EPW182"/>
      <c r="EPX182"/>
      <c r="EPY182"/>
      <c r="EPZ182"/>
      <c r="EQA182"/>
      <c r="EQB182"/>
      <c r="EQC182"/>
      <c r="EQD182"/>
      <c r="EQE182"/>
      <c r="EQF182"/>
      <c r="EQG182"/>
      <c r="EQH182"/>
      <c r="EQI182"/>
      <c r="EQJ182"/>
      <c r="EQK182"/>
      <c r="EQL182"/>
      <c r="EQM182"/>
      <c r="EQN182"/>
      <c r="EQO182"/>
      <c r="EQP182"/>
      <c r="EQQ182"/>
      <c r="EQR182"/>
      <c r="EQS182"/>
      <c r="EQT182"/>
      <c r="EQU182"/>
      <c r="EQV182"/>
      <c r="EQW182"/>
      <c r="EQX182"/>
      <c r="EQY182"/>
      <c r="EQZ182"/>
      <c r="ERA182"/>
      <c r="ERB182"/>
      <c r="ERC182"/>
      <c r="ERD182"/>
      <c r="ERE182"/>
      <c r="ERF182"/>
      <c r="ERG182"/>
      <c r="ERH182"/>
      <c r="ERI182"/>
      <c r="ERJ182"/>
      <c r="ERK182"/>
      <c r="ERL182"/>
      <c r="ERM182"/>
      <c r="ERN182"/>
      <c r="ERO182"/>
      <c r="ERP182"/>
      <c r="ERQ182"/>
      <c r="ERR182"/>
      <c r="ERS182"/>
      <c r="ERT182"/>
      <c r="ERU182"/>
      <c r="ERV182"/>
      <c r="ERW182"/>
      <c r="ERX182"/>
      <c r="ERY182"/>
      <c r="ERZ182"/>
      <c r="ESA182"/>
      <c r="ESB182"/>
      <c r="ESC182"/>
      <c r="ESD182"/>
      <c r="ESE182"/>
      <c r="ESF182"/>
      <c r="ESG182"/>
      <c r="ESH182"/>
      <c r="ESI182"/>
      <c r="ESJ182"/>
      <c r="ESK182"/>
      <c r="ESL182"/>
      <c r="ESM182"/>
      <c r="ESN182"/>
      <c r="ESO182"/>
      <c r="ESP182"/>
      <c r="ESQ182"/>
      <c r="ESR182"/>
      <c r="ESS182"/>
      <c r="EST182"/>
      <c r="ESU182"/>
      <c r="ESV182"/>
      <c r="ESW182"/>
      <c r="ESX182"/>
      <c r="ESY182"/>
      <c r="ESZ182"/>
      <c r="ETA182"/>
      <c r="ETB182"/>
      <c r="ETC182"/>
      <c r="ETD182"/>
      <c r="ETE182"/>
      <c r="ETF182"/>
      <c r="ETG182"/>
      <c r="ETH182"/>
      <c r="ETI182"/>
      <c r="ETJ182"/>
      <c r="ETK182"/>
      <c r="ETL182"/>
      <c r="ETM182"/>
      <c r="ETN182"/>
      <c r="ETO182"/>
      <c r="ETP182"/>
      <c r="ETQ182"/>
      <c r="ETR182"/>
      <c r="ETS182"/>
      <c r="ETT182"/>
      <c r="ETU182"/>
      <c r="ETV182"/>
      <c r="ETW182"/>
      <c r="ETX182"/>
      <c r="ETY182"/>
      <c r="ETZ182"/>
      <c r="EUA182"/>
      <c r="EUB182"/>
      <c r="EUC182"/>
      <c r="EUD182"/>
      <c r="EUE182"/>
      <c r="EUF182"/>
      <c r="EUG182"/>
      <c r="EUH182"/>
      <c r="EUI182"/>
      <c r="EUJ182"/>
      <c r="EUK182"/>
      <c r="EUL182"/>
      <c r="EUM182"/>
      <c r="EUN182"/>
      <c r="EUO182"/>
      <c r="EUP182"/>
      <c r="EUQ182"/>
      <c r="EUR182"/>
      <c r="EUS182"/>
      <c r="EUT182"/>
      <c r="EUU182"/>
      <c r="EUV182"/>
      <c r="EUW182"/>
      <c r="EUX182"/>
      <c r="EUY182"/>
      <c r="EUZ182"/>
      <c r="EVA182"/>
      <c r="EVB182"/>
      <c r="EVC182"/>
      <c r="EVD182"/>
      <c r="EVE182"/>
      <c r="EVF182"/>
      <c r="EVG182"/>
      <c r="EVH182"/>
      <c r="EVI182"/>
      <c r="EVJ182"/>
      <c r="EVK182"/>
      <c r="EVL182"/>
      <c r="EVM182"/>
      <c r="EVN182"/>
      <c r="EVO182"/>
      <c r="EVP182"/>
      <c r="EVQ182"/>
      <c r="EVR182"/>
      <c r="EVS182"/>
      <c r="EVT182"/>
      <c r="EVU182"/>
      <c r="EVV182"/>
      <c r="EVW182"/>
      <c r="EVX182"/>
      <c r="EVY182"/>
      <c r="EVZ182"/>
      <c r="EWA182"/>
      <c r="EWB182"/>
      <c r="EWC182"/>
      <c r="EWD182"/>
      <c r="EWE182"/>
      <c r="EWF182"/>
      <c r="EWG182"/>
      <c r="EWH182"/>
      <c r="EWI182"/>
      <c r="EWJ182"/>
      <c r="EWK182"/>
      <c r="EWL182"/>
      <c r="EWM182"/>
      <c r="EWN182"/>
      <c r="EWO182"/>
      <c r="EWP182"/>
      <c r="EWQ182"/>
      <c r="EWR182"/>
      <c r="EWS182"/>
      <c r="EWT182"/>
      <c r="EWU182"/>
      <c r="EWV182"/>
      <c r="EWW182"/>
      <c r="EWX182"/>
      <c r="EWY182"/>
      <c r="EWZ182"/>
      <c r="EXA182"/>
      <c r="EXB182"/>
      <c r="EXC182"/>
      <c r="EXD182"/>
      <c r="EXE182"/>
      <c r="EXF182"/>
      <c r="EXG182"/>
      <c r="EXH182"/>
      <c r="EXI182"/>
      <c r="EXJ182"/>
      <c r="EXK182"/>
      <c r="EXL182"/>
      <c r="EXM182"/>
      <c r="EXN182"/>
      <c r="EXO182"/>
      <c r="EXP182"/>
      <c r="EXQ182"/>
      <c r="EXR182"/>
      <c r="EXS182"/>
      <c r="EXT182"/>
      <c r="EXU182"/>
      <c r="EXV182"/>
      <c r="EXW182"/>
      <c r="EXX182"/>
      <c r="EXY182"/>
      <c r="EXZ182"/>
      <c r="EYA182"/>
      <c r="EYB182"/>
      <c r="EYC182"/>
      <c r="EYD182"/>
      <c r="EYE182"/>
      <c r="EYF182"/>
      <c r="EYG182"/>
      <c r="EYH182"/>
      <c r="EYI182"/>
      <c r="EYJ182"/>
      <c r="EYK182"/>
      <c r="EYL182"/>
      <c r="EYM182"/>
      <c r="EYN182"/>
      <c r="EYO182"/>
      <c r="EYP182"/>
      <c r="EYQ182"/>
      <c r="EYR182"/>
      <c r="EYS182"/>
      <c r="EYT182"/>
      <c r="EYU182"/>
      <c r="EYV182"/>
      <c r="EYW182"/>
      <c r="EYX182"/>
      <c r="EYY182"/>
      <c r="EYZ182"/>
      <c r="EZA182"/>
      <c r="EZB182"/>
      <c r="EZC182"/>
      <c r="EZD182"/>
      <c r="EZE182"/>
      <c r="EZF182"/>
      <c r="EZG182"/>
      <c r="EZH182"/>
      <c r="EZI182"/>
      <c r="EZJ182"/>
      <c r="EZK182"/>
      <c r="EZL182"/>
      <c r="EZM182"/>
      <c r="EZN182"/>
      <c r="EZO182"/>
      <c r="EZP182"/>
      <c r="EZQ182"/>
      <c r="EZR182"/>
      <c r="EZS182"/>
      <c r="EZT182"/>
      <c r="EZU182"/>
      <c r="EZV182"/>
      <c r="EZW182"/>
      <c r="EZX182"/>
      <c r="EZY182"/>
      <c r="EZZ182"/>
      <c r="FAA182"/>
      <c r="FAB182"/>
      <c r="FAC182"/>
      <c r="FAD182"/>
      <c r="FAE182"/>
      <c r="FAF182"/>
      <c r="FAG182"/>
      <c r="FAH182"/>
      <c r="FAI182"/>
      <c r="FAJ182"/>
      <c r="FAK182"/>
      <c r="FAL182"/>
      <c r="FAM182"/>
      <c r="FAN182"/>
      <c r="FAO182"/>
      <c r="FAP182"/>
      <c r="FAQ182"/>
      <c r="FAR182"/>
      <c r="FAS182"/>
      <c r="FAT182"/>
      <c r="FAU182"/>
      <c r="FAV182"/>
      <c r="FAW182"/>
      <c r="FAX182"/>
      <c r="FAY182"/>
      <c r="FAZ182"/>
      <c r="FBA182"/>
      <c r="FBB182"/>
      <c r="FBC182"/>
      <c r="FBD182"/>
      <c r="FBE182"/>
      <c r="FBF182"/>
      <c r="FBG182"/>
      <c r="FBH182"/>
      <c r="FBI182"/>
      <c r="FBJ182"/>
      <c r="FBK182"/>
      <c r="FBL182"/>
      <c r="FBM182"/>
      <c r="FBN182"/>
      <c r="FBO182"/>
      <c r="FBP182"/>
      <c r="FBQ182"/>
      <c r="FBR182"/>
      <c r="FBS182"/>
      <c r="FBT182"/>
      <c r="FBU182"/>
      <c r="FBV182"/>
      <c r="FBW182"/>
      <c r="FBX182"/>
      <c r="FBY182"/>
      <c r="FBZ182"/>
      <c r="FCA182"/>
      <c r="FCB182"/>
      <c r="FCC182"/>
      <c r="FCD182"/>
      <c r="FCE182"/>
      <c r="FCF182"/>
      <c r="FCG182"/>
      <c r="FCH182"/>
      <c r="FCI182"/>
      <c r="FCJ182"/>
      <c r="FCK182"/>
      <c r="FCL182"/>
      <c r="FCM182"/>
      <c r="FCN182"/>
      <c r="FCO182"/>
      <c r="FCP182"/>
      <c r="FCQ182"/>
      <c r="FCR182"/>
      <c r="FCS182"/>
      <c r="FCT182"/>
      <c r="FCU182"/>
      <c r="FCV182"/>
      <c r="FCW182"/>
      <c r="FCX182"/>
      <c r="FCY182"/>
      <c r="FCZ182"/>
      <c r="FDA182"/>
      <c r="FDB182"/>
      <c r="FDC182"/>
      <c r="FDD182"/>
      <c r="FDE182"/>
      <c r="FDF182"/>
      <c r="FDG182"/>
      <c r="FDH182"/>
      <c r="FDI182"/>
      <c r="FDJ182"/>
      <c r="FDK182"/>
      <c r="FDL182"/>
      <c r="FDM182"/>
      <c r="FDN182"/>
      <c r="FDO182"/>
      <c r="FDP182"/>
      <c r="FDQ182"/>
      <c r="FDR182"/>
      <c r="FDS182"/>
      <c r="FDT182"/>
      <c r="FDU182"/>
      <c r="FDV182"/>
      <c r="FDW182"/>
      <c r="FDX182"/>
      <c r="FDY182"/>
      <c r="FDZ182"/>
      <c r="FEA182"/>
      <c r="FEB182"/>
      <c r="FEC182"/>
      <c r="FED182"/>
      <c r="FEE182"/>
      <c r="FEF182"/>
      <c r="FEG182"/>
      <c r="FEH182"/>
      <c r="FEI182"/>
      <c r="FEJ182"/>
      <c r="FEK182"/>
      <c r="FEL182"/>
      <c r="FEM182"/>
      <c r="FEN182"/>
      <c r="FEO182"/>
      <c r="FEP182"/>
      <c r="FEQ182"/>
      <c r="FER182"/>
      <c r="FES182"/>
      <c r="FET182"/>
      <c r="FEU182"/>
      <c r="FEV182"/>
      <c r="FEW182"/>
      <c r="FEX182"/>
      <c r="FEY182"/>
      <c r="FEZ182"/>
      <c r="FFA182"/>
      <c r="FFB182"/>
      <c r="FFC182"/>
      <c r="FFD182"/>
      <c r="FFE182"/>
      <c r="FFF182"/>
      <c r="FFG182"/>
      <c r="FFH182"/>
      <c r="FFI182"/>
      <c r="FFJ182"/>
      <c r="FFK182"/>
      <c r="FFL182"/>
      <c r="FFM182"/>
      <c r="FFN182"/>
      <c r="FFO182"/>
      <c r="FFP182"/>
      <c r="FFQ182"/>
      <c r="FFR182"/>
      <c r="FFS182"/>
      <c r="FFT182"/>
      <c r="FFU182"/>
      <c r="FFV182"/>
      <c r="FFW182"/>
      <c r="FFX182"/>
      <c r="FFY182"/>
      <c r="FFZ182"/>
      <c r="FGA182"/>
      <c r="FGB182"/>
      <c r="FGC182"/>
      <c r="FGD182"/>
      <c r="FGE182"/>
      <c r="FGF182"/>
      <c r="FGG182"/>
      <c r="FGH182"/>
      <c r="FGI182"/>
      <c r="FGJ182"/>
      <c r="FGK182"/>
      <c r="FGL182"/>
      <c r="FGM182"/>
      <c r="FGN182"/>
      <c r="FGO182"/>
      <c r="FGP182"/>
      <c r="FGQ182"/>
      <c r="FGR182"/>
      <c r="FGS182"/>
      <c r="FGT182"/>
      <c r="FGU182"/>
      <c r="FGV182"/>
      <c r="FGW182"/>
      <c r="FGX182"/>
      <c r="FGY182"/>
      <c r="FGZ182"/>
      <c r="FHA182"/>
      <c r="FHB182"/>
      <c r="FHC182"/>
      <c r="FHD182"/>
      <c r="FHE182"/>
      <c r="FHF182"/>
      <c r="FHG182"/>
      <c r="FHH182"/>
      <c r="FHI182"/>
      <c r="FHJ182"/>
      <c r="FHK182"/>
      <c r="FHL182"/>
      <c r="FHM182"/>
      <c r="FHN182"/>
      <c r="FHO182"/>
      <c r="FHP182"/>
      <c r="FHQ182"/>
      <c r="FHR182"/>
      <c r="FHS182"/>
      <c r="FHT182"/>
      <c r="FHU182"/>
      <c r="FHV182"/>
      <c r="FHW182"/>
      <c r="FHX182"/>
      <c r="FHY182"/>
      <c r="FHZ182"/>
      <c r="FIA182"/>
      <c r="FIB182"/>
      <c r="FIC182"/>
      <c r="FID182"/>
      <c r="FIE182"/>
      <c r="FIF182"/>
      <c r="FIG182"/>
      <c r="FIH182"/>
      <c r="FII182"/>
      <c r="FIJ182"/>
      <c r="FIK182"/>
      <c r="FIL182"/>
      <c r="FIM182"/>
      <c r="FIN182"/>
      <c r="FIO182"/>
      <c r="FIP182"/>
      <c r="FIQ182"/>
      <c r="FIR182"/>
      <c r="FIS182"/>
      <c r="FIT182"/>
      <c r="FIU182"/>
      <c r="FIV182"/>
      <c r="FIW182"/>
      <c r="FIX182"/>
      <c r="FIY182"/>
      <c r="FIZ182"/>
      <c r="FJA182"/>
      <c r="FJB182"/>
      <c r="FJC182"/>
      <c r="FJD182"/>
      <c r="FJE182"/>
      <c r="FJF182"/>
      <c r="FJG182"/>
      <c r="FJH182"/>
      <c r="FJI182"/>
      <c r="FJJ182"/>
      <c r="FJK182"/>
      <c r="FJL182"/>
      <c r="FJM182"/>
      <c r="FJN182"/>
      <c r="FJO182"/>
      <c r="FJP182"/>
      <c r="FJQ182"/>
      <c r="FJR182"/>
      <c r="FJS182"/>
      <c r="FJT182"/>
      <c r="FJU182"/>
      <c r="FJV182"/>
      <c r="FJW182"/>
      <c r="FJX182"/>
      <c r="FJY182"/>
      <c r="FJZ182"/>
      <c r="FKA182"/>
      <c r="FKB182"/>
      <c r="FKC182"/>
      <c r="FKD182"/>
      <c r="FKE182"/>
      <c r="FKF182"/>
      <c r="FKG182"/>
      <c r="FKH182"/>
      <c r="FKI182"/>
      <c r="FKJ182"/>
      <c r="FKK182"/>
      <c r="FKL182"/>
      <c r="FKM182"/>
      <c r="FKN182"/>
      <c r="FKO182"/>
      <c r="FKP182"/>
      <c r="FKQ182"/>
      <c r="FKR182"/>
      <c r="FKS182"/>
      <c r="FKT182"/>
      <c r="FKU182"/>
      <c r="FKV182"/>
      <c r="FKW182"/>
      <c r="FKX182"/>
      <c r="FKY182"/>
      <c r="FKZ182"/>
      <c r="FLA182"/>
      <c r="FLB182"/>
      <c r="FLC182"/>
      <c r="FLD182"/>
      <c r="FLE182"/>
      <c r="FLF182"/>
      <c r="FLG182"/>
      <c r="FLH182"/>
      <c r="FLI182"/>
      <c r="FLJ182"/>
      <c r="FLK182"/>
      <c r="FLL182"/>
      <c r="FLM182"/>
      <c r="FLN182"/>
      <c r="FLO182"/>
      <c r="FLP182"/>
      <c r="FLQ182"/>
      <c r="FLR182"/>
      <c r="FLS182"/>
      <c r="FLT182"/>
      <c r="FLU182"/>
      <c r="FLV182"/>
      <c r="FLW182"/>
      <c r="FLX182"/>
      <c r="FLY182"/>
      <c r="FLZ182"/>
      <c r="FMA182"/>
      <c r="FMB182"/>
      <c r="FMC182"/>
      <c r="FMD182"/>
      <c r="FME182"/>
      <c r="FMF182"/>
      <c r="FMG182"/>
      <c r="FMH182"/>
      <c r="FMI182"/>
      <c r="FMJ182"/>
      <c r="FMK182"/>
      <c r="FML182"/>
      <c r="FMM182"/>
      <c r="FMN182"/>
      <c r="FMO182"/>
      <c r="FMP182"/>
      <c r="FMQ182"/>
      <c r="FMR182"/>
      <c r="FMS182"/>
      <c r="FMT182"/>
      <c r="FMU182"/>
      <c r="FMV182"/>
      <c r="FMW182"/>
      <c r="FMX182"/>
      <c r="FMY182"/>
      <c r="FMZ182"/>
      <c r="FNA182"/>
      <c r="FNB182"/>
      <c r="FNC182"/>
      <c r="FND182"/>
      <c r="FNE182"/>
      <c r="FNF182"/>
      <c r="FNG182"/>
      <c r="FNH182"/>
      <c r="FNI182"/>
      <c r="FNJ182"/>
      <c r="FNK182"/>
      <c r="FNL182"/>
      <c r="FNM182"/>
      <c r="FNN182"/>
      <c r="FNO182"/>
      <c r="FNP182"/>
      <c r="FNQ182"/>
      <c r="FNR182"/>
      <c r="FNS182"/>
      <c r="FNT182"/>
      <c r="FNU182"/>
      <c r="FNV182"/>
      <c r="FNW182"/>
      <c r="FNX182"/>
      <c r="FNY182"/>
      <c r="FNZ182"/>
      <c r="FOA182"/>
      <c r="FOB182"/>
      <c r="FOC182"/>
      <c r="FOD182"/>
      <c r="FOE182"/>
      <c r="FOF182"/>
      <c r="FOG182"/>
      <c r="FOH182"/>
      <c r="FOI182"/>
      <c r="FOJ182"/>
      <c r="FOK182"/>
      <c r="FOL182"/>
      <c r="FOM182"/>
      <c r="FON182"/>
      <c r="FOO182"/>
      <c r="FOP182"/>
      <c r="FOQ182"/>
      <c r="FOR182"/>
      <c r="FOS182"/>
      <c r="FOT182"/>
      <c r="FOU182"/>
      <c r="FOV182"/>
      <c r="FOW182"/>
      <c r="FOX182"/>
      <c r="FOY182"/>
      <c r="FOZ182"/>
      <c r="FPA182"/>
      <c r="FPB182"/>
      <c r="FPC182"/>
      <c r="FPD182"/>
      <c r="FPE182"/>
      <c r="FPF182"/>
      <c r="FPG182"/>
      <c r="FPH182"/>
      <c r="FPI182"/>
      <c r="FPJ182"/>
      <c r="FPK182"/>
      <c r="FPL182"/>
      <c r="FPM182"/>
      <c r="FPN182"/>
      <c r="FPO182"/>
      <c r="FPP182"/>
      <c r="FPQ182"/>
      <c r="FPR182"/>
      <c r="FPS182"/>
      <c r="FPT182"/>
      <c r="FPU182"/>
      <c r="FPV182"/>
      <c r="FPW182"/>
      <c r="FPX182"/>
      <c r="FPY182"/>
      <c r="FPZ182"/>
      <c r="FQA182"/>
      <c r="FQB182"/>
      <c r="FQC182"/>
      <c r="FQD182"/>
      <c r="FQE182"/>
      <c r="FQF182"/>
      <c r="FQG182"/>
      <c r="FQH182"/>
      <c r="FQI182"/>
      <c r="FQJ182"/>
      <c r="FQK182"/>
      <c r="FQL182"/>
      <c r="FQM182"/>
      <c r="FQN182"/>
      <c r="FQO182"/>
      <c r="FQP182"/>
      <c r="FQQ182"/>
      <c r="FQR182"/>
      <c r="FQS182"/>
      <c r="FQT182"/>
      <c r="FQU182"/>
      <c r="FQV182"/>
      <c r="FQW182"/>
      <c r="FQX182"/>
      <c r="FQY182"/>
      <c r="FQZ182"/>
      <c r="FRA182"/>
      <c r="FRB182"/>
      <c r="FRC182"/>
      <c r="FRD182"/>
      <c r="FRE182"/>
      <c r="FRF182"/>
      <c r="FRG182"/>
      <c r="FRH182"/>
      <c r="FRI182"/>
      <c r="FRJ182"/>
      <c r="FRK182"/>
      <c r="FRL182"/>
      <c r="FRM182"/>
      <c r="FRN182"/>
      <c r="FRO182"/>
      <c r="FRP182"/>
      <c r="FRQ182"/>
      <c r="FRR182"/>
      <c r="FRS182"/>
      <c r="FRT182"/>
      <c r="FRU182"/>
      <c r="FRV182"/>
      <c r="FRW182"/>
      <c r="FRX182"/>
      <c r="FRY182"/>
      <c r="FRZ182"/>
      <c r="FSA182"/>
      <c r="FSB182"/>
      <c r="FSC182"/>
      <c r="FSD182"/>
      <c r="FSE182"/>
      <c r="FSF182"/>
      <c r="FSG182"/>
      <c r="FSH182"/>
      <c r="FSI182"/>
      <c r="FSJ182"/>
      <c r="FSK182"/>
      <c r="FSL182"/>
      <c r="FSM182"/>
      <c r="FSN182"/>
      <c r="FSO182"/>
      <c r="FSP182"/>
      <c r="FSQ182"/>
      <c r="FSR182"/>
      <c r="FSS182"/>
      <c r="FST182"/>
      <c r="FSU182"/>
      <c r="FSV182"/>
      <c r="FSW182"/>
      <c r="FSX182"/>
      <c r="FSY182"/>
      <c r="FSZ182"/>
      <c r="FTA182"/>
      <c r="FTB182"/>
      <c r="FTC182"/>
      <c r="FTD182"/>
      <c r="FTE182"/>
      <c r="FTF182"/>
      <c r="FTG182"/>
      <c r="FTH182"/>
      <c r="FTI182"/>
      <c r="FTJ182"/>
      <c r="FTK182"/>
      <c r="FTL182"/>
      <c r="FTM182"/>
      <c r="FTN182"/>
      <c r="FTO182"/>
      <c r="FTP182"/>
      <c r="FTQ182"/>
      <c r="FTR182"/>
      <c r="FTS182"/>
      <c r="FTT182"/>
      <c r="FTU182"/>
      <c r="FTV182"/>
      <c r="FTW182"/>
      <c r="FTX182"/>
      <c r="FTY182"/>
      <c r="FTZ182"/>
      <c r="FUA182"/>
      <c r="FUB182"/>
      <c r="FUC182"/>
      <c r="FUD182"/>
      <c r="FUE182"/>
      <c r="FUF182"/>
      <c r="FUG182"/>
      <c r="FUH182"/>
      <c r="FUI182"/>
      <c r="FUJ182"/>
      <c r="FUK182"/>
      <c r="FUL182"/>
      <c r="FUM182"/>
      <c r="FUN182"/>
      <c r="FUO182"/>
      <c r="FUP182"/>
      <c r="FUQ182"/>
      <c r="FUR182"/>
      <c r="FUS182"/>
      <c r="FUT182"/>
      <c r="FUU182"/>
      <c r="FUV182"/>
      <c r="FUW182"/>
      <c r="FUX182"/>
      <c r="FUY182"/>
      <c r="FUZ182"/>
      <c r="FVA182"/>
      <c r="FVB182"/>
      <c r="FVC182"/>
      <c r="FVD182"/>
      <c r="FVE182"/>
      <c r="FVF182"/>
      <c r="FVG182"/>
      <c r="FVH182"/>
      <c r="FVI182"/>
      <c r="FVJ182"/>
      <c r="FVK182"/>
      <c r="FVL182"/>
      <c r="FVM182"/>
      <c r="FVN182"/>
      <c r="FVO182"/>
      <c r="FVP182"/>
      <c r="FVQ182"/>
      <c r="FVR182"/>
      <c r="FVS182"/>
      <c r="FVT182"/>
      <c r="FVU182"/>
      <c r="FVV182"/>
      <c r="FVW182"/>
      <c r="FVX182"/>
      <c r="FVY182"/>
      <c r="FVZ182"/>
      <c r="FWA182"/>
      <c r="FWB182"/>
      <c r="FWC182"/>
      <c r="FWD182"/>
      <c r="FWE182"/>
      <c r="FWF182"/>
      <c r="FWG182"/>
      <c r="FWH182"/>
      <c r="FWI182"/>
      <c r="FWJ182"/>
      <c r="FWK182"/>
      <c r="FWL182"/>
      <c r="FWM182"/>
      <c r="FWN182"/>
      <c r="FWO182"/>
      <c r="FWP182"/>
      <c r="FWQ182"/>
      <c r="FWR182"/>
      <c r="FWS182"/>
      <c r="FWT182"/>
      <c r="FWU182"/>
      <c r="FWV182"/>
      <c r="FWW182"/>
      <c r="FWX182"/>
      <c r="FWY182"/>
      <c r="FWZ182"/>
      <c r="FXA182"/>
      <c r="FXB182"/>
      <c r="FXC182"/>
      <c r="FXD182"/>
      <c r="FXE182"/>
      <c r="FXF182"/>
      <c r="FXG182"/>
      <c r="FXH182"/>
      <c r="FXI182"/>
      <c r="FXJ182"/>
      <c r="FXK182"/>
      <c r="FXL182"/>
      <c r="FXM182"/>
      <c r="FXN182"/>
      <c r="FXO182"/>
      <c r="FXP182"/>
      <c r="FXQ182"/>
      <c r="FXR182"/>
      <c r="FXS182"/>
      <c r="FXT182"/>
      <c r="FXU182"/>
      <c r="FXV182"/>
      <c r="FXW182"/>
      <c r="FXX182"/>
      <c r="FXY182"/>
      <c r="FXZ182"/>
      <c r="FYA182"/>
      <c r="FYB182"/>
      <c r="FYC182"/>
      <c r="FYD182"/>
      <c r="FYE182"/>
      <c r="FYF182"/>
      <c r="FYG182"/>
      <c r="FYH182"/>
      <c r="FYI182"/>
      <c r="FYJ182"/>
      <c r="FYK182"/>
      <c r="FYL182"/>
      <c r="FYM182"/>
      <c r="FYN182"/>
      <c r="FYO182"/>
      <c r="FYP182"/>
      <c r="FYQ182"/>
      <c r="FYR182"/>
      <c r="FYS182"/>
      <c r="FYT182"/>
      <c r="FYU182"/>
      <c r="FYV182"/>
      <c r="FYW182"/>
      <c r="FYX182"/>
      <c r="FYY182"/>
      <c r="FYZ182"/>
      <c r="FZA182"/>
      <c r="FZB182"/>
      <c r="FZC182"/>
      <c r="FZD182"/>
      <c r="FZE182"/>
      <c r="FZF182"/>
      <c r="FZG182"/>
      <c r="FZH182"/>
      <c r="FZI182"/>
      <c r="FZJ182"/>
      <c r="FZK182"/>
      <c r="FZL182"/>
      <c r="FZM182"/>
      <c r="FZN182"/>
      <c r="FZO182"/>
      <c r="FZP182"/>
      <c r="FZQ182"/>
      <c r="FZR182"/>
      <c r="FZS182"/>
      <c r="FZT182"/>
      <c r="FZU182"/>
      <c r="FZV182"/>
      <c r="FZW182"/>
      <c r="FZX182"/>
      <c r="FZY182"/>
      <c r="FZZ182"/>
      <c r="GAA182"/>
      <c r="GAB182"/>
      <c r="GAC182"/>
      <c r="GAD182"/>
      <c r="GAE182"/>
      <c r="GAF182"/>
      <c r="GAG182"/>
      <c r="GAH182"/>
      <c r="GAI182"/>
      <c r="GAJ182"/>
      <c r="GAK182"/>
      <c r="GAL182"/>
      <c r="GAM182"/>
      <c r="GAN182"/>
      <c r="GAO182"/>
      <c r="GAP182"/>
      <c r="GAQ182"/>
      <c r="GAR182"/>
      <c r="GAS182"/>
      <c r="GAT182"/>
      <c r="GAU182"/>
      <c r="GAV182"/>
      <c r="GAW182"/>
      <c r="GAX182"/>
      <c r="GAY182"/>
      <c r="GAZ182"/>
      <c r="GBA182"/>
      <c r="GBB182"/>
      <c r="GBC182"/>
      <c r="GBD182"/>
      <c r="GBE182"/>
      <c r="GBF182"/>
      <c r="GBG182"/>
      <c r="GBH182"/>
      <c r="GBI182"/>
      <c r="GBJ182"/>
      <c r="GBK182"/>
      <c r="GBL182"/>
      <c r="GBM182"/>
      <c r="GBN182"/>
      <c r="GBO182"/>
      <c r="GBP182"/>
      <c r="GBQ182"/>
      <c r="GBR182"/>
      <c r="GBS182"/>
      <c r="GBT182"/>
      <c r="GBU182"/>
      <c r="GBV182"/>
      <c r="GBW182"/>
      <c r="GBX182"/>
      <c r="GBY182"/>
      <c r="GBZ182"/>
      <c r="GCA182"/>
      <c r="GCB182"/>
      <c r="GCC182"/>
      <c r="GCD182"/>
      <c r="GCE182"/>
      <c r="GCF182"/>
      <c r="GCG182"/>
      <c r="GCH182"/>
      <c r="GCI182"/>
      <c r="GCJ182"/>
      <c r="GCK182"/>
      <c r="GCL182"/>
      <c r="GCM182"/>
      <c r="GCN182"/>
      <c r="GCO182"/>
      <c r="GCP182"/>
      <c r="GCQ182"/>
      <c r="GCR182"/>
      <c r="GCS182"/>
      <c r="GCT182"/>
      <c r="GCU182"/>
      <c r="GCV182"/>
      <c r="GCW182"/>
      <c r="GCX182"/>
      <c r="GCY182"/>
      <c r="GCZ182"/>
      <c r="GDA182"/>
      <c r="GDB182"/>
      <c r="GDC182"/>
      <c r="GDD182"/>
      <c r="GDE182"/>
      <c r="GDF182"/>
      <c r="GDG182"/>
      <c r="GDH182"/>
      <c r="GDI182"/>
      <c r="GDJ182"/>
      <c r="GDK182"/>
      <c r="GDL182"/>
      <c r="GDM182"/>
      <c r="GDN182"/>
      <c r="GDO182"/>
      <c r="GDP182"/>
      <c r="GDQ182"/>
      <c r="GDR182"/>
      <c r="GDS182"/>
      <c r="GDT182"/>
      <c r="GDU182"/>
      <c r="GDV182"/>
      <c r="GDW182"/>
      <c r="GDX182"/>
      <c r="GDY182"/>
      <c r="GDZ182"/>
      <c r="GEA182"/>
      <c r="GEB182"/>
      <c r="GEC182"/>
      <c r="GED182"/>
      <c r="GEE182"/>
      <c r="GEF182"/>
      <c r="GEG182"/>
      <c r="GEH182"/>
      <c r="GEI182"/>
      <c r="GEJ182"/>
      <c r="GEK182"/>
      <c r="GEL182"/>
      <c r="GEM182"/>
      <c r="GEN182"/>
      <c r="GEO182"/>
      <c r="GEP182"/>
      <c r="GEQ182"/>
      <c r="GER182"/>
      <c r="GES182"/>
      <c r="GET182"/>
      <c r="GEU182"/>
      <c r="GEV182"/>
      <c r="GEW182"/>
      <c r="GEX182"/>
      <c r="GEY182"/>
      <c r="GEZ182"/>
      <c r="GFA182"/>
      <c r="GFB182"/>
      <c r="GFC182"/>
      <c r="GFD182"/>
      <c r="GFE182"/>
      <c r="GFF182"/>
      <c r="GFG182"/>
      <c r="GFH182"/>
      <c r="GFI182"/>
      <c r="GFJ182"/>
      <c r="GFK182"/>
      <c r="GFL182"/>
      <c r="GFM182"/>
      <c r="GFN182"/>
      <c r="GFO182"/>
      <c r="GFP182"/>
      <c r="GFQ182"/>
      <c r="GFR182"/>
      <c r="GFS182"/>
      <c r="GFT182"/>
      <c r="GFU182"/>
      <c r="GFV182"/>
      <c r="GFW182"/>
      <c r="GFX182"/>
      <c r="GFY182"/>
      <c r="GFZ182"/>
      <c r="GGA182"/>
      <c r="GGB182"/>
      <c r="GGC182"/>
      <c r="GGD182"/>
      <c r="GGE182"/>
      <c r="GGF182"/>
      <c r="GGG182"/>
      <c r="GGH182"/>
      <c r="GGI182"/>
      <c r="GGJ182"/>
      <c r="GGK182"/>
      <c r="GGL182"/>
      <c r="GGM182"/>
      <c r="GGN182"/>
      <c r="GGO182"/>
      <c r="GGP182"/>
      <c r="GGQ182"/>
      <c r="GGR182"/>
      <c r="GGS182"/>
      <c r="GGT182"/>
      <c r="GGU182"/>
      <c r="GGV182"/>
      <c r="GGW182"/>
      <c r="GGX182"/>
      <c r="GGY182"/>
      <c r="GGZ182"/>
      <c r="GHA182"/>
      <c r="GHB182"/>
      <c r="GHC182"/>
      <c r="GHD182"/>
      <c r="GHE182"/>
      <c r="GHF182"/>
      <c r="GHG182"/>
      <c r="GHH182"/>
      <c r="GHI182"/>
      <c r="GHJ182"/>
      <c r="GHK182"/>
      <c r="GHL182"/>
      <c r="GHM182"/>
      <c r="GHN182"/>
      <c r="GHO182"/>
      <c r="GHP182"/>
      <c r="GHQ182"/>
      <c r="GHR182"/>
      <c r="GHS182"/>
      <c r="GHT182"/>
      <c r="GHU182"/>
      <c r="GHV182"/>
      <c r="GHW182"/>
      <c r="GHX182"/>
      <c r="GHY182"/>
      <c r="GHZ182"/>
      <c r="GIA182"/>
      <c r="GIB182"/>
      <c r="GIC182"/>
      <c r="GID182"/>
      <c r="GIE182"/>
      <c r="GIF182"/>
      <c r="GIG182"/>
      <c r="GIH182"/>
      <c r="GII182"/>
      <c r="GIJ182"/>
      <c r="GIK182"/>
      <c r="GIL182"/>
      <c r="GIM182"/>
      <c r="GIN182"/>
      <c r="GIO182"/>
      <c r="GIP182"/>
      <c r="GIQ182"/>
      <c r="GIR182"/>
      <c r="GIS182"/>
      <c r="GIT182"/>
      <c r="GIU182"/>
      <c r="GIV182"/>
      <c r="GIW182"/>
      <c r="GIX182"/>
      <c r="GIY182"/>
      <c r="GIZ182"/>
      <c r="GJA182"/>
      <c r="GJB182"/>
      <c r="GJC182"/>
      <c r="GJD182"/>
      <c r="GJE182"/>
      <c r="GJF182"/>
      <c r="GJG182"/>
      <c r="GJH182"/>
      <c r="GJI182"/>
      <c r="GJJ182"/>
      <c r="GJK182"/>
      <c r="GJL182"/>
      <c r="GJM182"/>
      <c r="GJN182"/>
      <c r="GJO182"/>
      <c r="GJP182"/>
      <c r="GJQ182"/>
      <c r="GJR182"/>
      <c r="GJS182"/>
      <c r="GJT182"/>
      <c r="GJU182"/>
      <c r="GJV182"/>
      <c r="GJW182"/>
      <c r="GJX182"/>
      <c r="GJY182"/>
      <c r="GJZ182"/>
      <c r="GKA182"/>
      <c r="GKB182"/>
      <c r="GKC182"/>
      <c r="GKD182"/>
      <c r="GKE182"/>
      <c r="GKF182"/>
      <c r="GKG182"/>
      <c r="GKH182"/>
      <c r="GKI182"/>
      <c r="GKJ182"/>
      <c r="GKK182"/>
      <c r="GKL182"/>
      <c r="GKM182"/>
      <c r="GKN182"/>
      <c r="GKO182"/>
      <c r="GKP182"/>
      <c r="GKQ182"/>
      <c r="GKR182"/>
      <c r="GKS182"/>
      <c r="GKT182"/>
      <c r="GKU182"/>
      <c r="GKV182"/>
      <c r="GKW182"/>
      <c r="GKX182"/>
      <c r="GKY182"/>
      <c r="GKZ182"/>
      <c r="GLA182"/>
      <c r="GLB182"/>
      <c r="GLC182"/>
      <c r="GLD182"/>
      <c r="GLE182"/>
      <c r="GLF182"/>
      <c r="GLG182"/>
      <c r="GLH182"/>
      <c r="GLI182"/>
      <c r="GLJ182"/>
      <c r="GLK182"/>
      <c r="GLL182"/>
      <c r="GLM182"/>
      <c r="GLN182"/>
      <c r="GLO182"/>
      <c r="GLP182"/>
      <c r="GLQ182"/>
      <c r="GLR182"/>
      <c r="GLS182"/>
      <c r="GLT182"/>
      <c r="GLU182"/>
      <c r="GLV182"/>
      <c r="GLW182"/>
      <c r="GLX182"/>
      <c r="GLY182"/>
      <c r="GLZ182"/>
      <c r="GMA182"/>
      <c r="GMB182"/>
      <c r="GMC182"/>
      <c r="GMD182"/>
      <c r="GME182"/>
      <c r="GMF182"/>
      <c r="GMG182"/>
      <c r="GMH182"/>
      <c r="GMI182"/>
      <c r="GMJ182"/>
      <c r="GMK182"/>
      <c r="GML182"/>
      <c r="GMM182"/>
      <c r="GMN182"/>
      <c r="GMO182"/>
      <c r="GMP182"/>
      <c r="GMQ182"/>
      <c r="GMR182"/>
      <c r="GMS182"/>
      <c r="GMT182"/>
      <c r="GMU182"/>
      <c r="GMV182"/>
      <c r="GMW182"/>
      <c r="GMX182"/>
      <c r="GMY182"/>
      <c r="GMZ182"/>
      <c r="GNA182"/>
      <c r="GNB182"/>
      <c r="GNC182"/>
      <c r="GND182"/>
      <c r="GNE182"/>
      <c r="GNF182"/>
      <c r="GNG182"/>
      <c r="GNH182"/>
      <c r="GNI182"/>
      <c r="GNJ182"/>
      <c r="GNK182"/>
      <c r="GNL182"/>
      <c r="GNM182"/>
      <c r="GNN182"/>
      <c r="GNO182"/>
      <c r="GNP182"/>
      <c r="GNQ182"/>
      <c r="GNR182"/>
      <c r="GNS182"/>
      <c r="GNT182"/>
      <c r="GNU182"/>
      <c r="GNV182"/>
      <c r="GNW182"/>
      <c r="GNX182"/>
      <c r="GNY182"/>
      <c r="GNZ182"/>
      <c r="GOA182"/>
      <c r="GOB182"/>
      <c r="GOC182"/>
      <c r="GOD182"/>
      <c r="GOE182"/>
      <c r="GOF182"/>
      <c r="GOG182"/>
      <c r="GOH182"/>
      <c r="GOI182"/>
      <c r="GOJ182"/>
      <c r="GOK182"/>
      <c r="GOL182"/>
      <c r="GOM182"/>
      <c r="GON182"/>
      <c r="GOO182"/>
      <c r="GOP182"/>
      <c r="GOQ182"/>
      <c r="GOR182"/>
      <c r="GOS182"/>
      <c r="GOT182"/>
      <c r="GOU182"/>
      <c r="GOV182"/>
      <c r="GOW182"/>
      <c r="GOX182"/>
      <c r="GOY182"/>
      <c r="GOZ182"/>
      <c r="GPA182"/>
      <c r="GPB182"/>
      <c r="GPC182"/>
      <c r="GPD182"/>
      <c r="GPE182"/>
      <c r="GPF182"/>
      <c r="GPG182"/>
      <c r="GPH182"/>
      <c r="GPI182"/>
      <c r="GPJ182"/>
      <c r="GPK182"/>
      <c r="GPL182"/>
      <c r="GPM182"/>
      <c r="GPN182"/>
      <c r="GPO182"/>
      <c r="GPP182"/>
      <c r="GPQ182"/>
      <c r="GPR182"/>
      <c r="GPS182"/>
      <c r="GPT182"/>
      <c r="GPU182"/>
      <c r="GPV182"/>
      <c r="GPW182"/>
      <c r="GPX182"/>
      <c r="GPY182"/>
      <c r="GPZ182"/>
      <c r="GQA182"/>
      <c r="GQB182"/>
      <c r="GQC182"/>
      <c r="GQD182"/>
      <c r="GQE182"/>
      <c r="GQF182"/>
      <c r="GQG182"/>
      <c r="GQH182"/>
      <c r="GQI182"/>
      <c r="GQJ182"/>
      <c r="GQK182"/>
      <c r="GQL182"/>
      <c r="GQM182"/>
      <c r="GQN182"/>
      <c r="GQO182"/>
      <c r="GQP182"/>
      <c r="GQQ182"/>
      <c r="GQR182"/>
      <c r="GQS182"/>
      <c r="GQT182"/>
      <c r="GQU182"/>
      <c r="GQV182"/>
      <c r="GQW182"/>
      <c r="GQX182"/>
      <c r="GQY182"/>
      <c r="GQZ182"/>
      <c r="GRA182"/>
      <c r="GRB182"/>
      <c r="GRC182"/>
      <c r="GRD182"/>
      <c r="GRE182"/>
      <c r="GRF182"/>
      <c r="GRG182"/>
      <c r="GRH182"/>
      <c r="GRI182"/>
      <c r="GRJ182"/>
      <c r="GRK182"/>
      <c r="GRL182"/>
      <c r="GRM182"/>
      <c r="GRN182"/>
      <c r="GRO182"/>
      <c r="GRP182"/>
      <c r="GRQ182"/>
      <c r="GRR182"/>
      <c r="GRS182"/>
      <c r="GRT182"/>
      <c r="GRU182"/>
      <c r="GRV182"/>
      <c r="GRW182"/>
      <c r="GRX182"/>
      <c r="GRY182"/>
      <c r="GRZ182"/>
      <c r="GSA182"/>
      <c r="GSB182"/>
      <c r="GSC182"/>
      <c r="GSD182"/>
      <c r="GSE182"/>
      <c r="GSF182"/>
      <c r="GSG182"/>
      <c r="GSH182"/>
      <c r="GSI182"/>
      <c r="GSJ182"/>
      <c r="GSK182"/>
      <c r="GSL182"/>
      <c r="GSM182"/>
      <c r="GSN182"/>
      <c r="GSO182"/>
      <c r="GSP182"/>
      <c r="GSQ182"/>
      <c r="GSR182"/>
      <c r="GSS182"/>
      <c r="GST182"/>
      <c r="GSU182"/>
      <c r="GSV182"/>
      <c r="GSW182"/>
      <c r="GSX182"/>
      <c r="GSY182"/>
      <c r="GSZ182"/>
      <c r="GTA182"/>
      <c r="GTB182"/>
      <c r="GTC182"/>
      <c r="GTD182"/>
      <c r="GTE182"/>
      <c r="GTF182"/>
      <c r="GTG182"/>
      <c r="GTH182"/>
      <c r="GTI182"/>
      <c r="GTJ182"/>
      <c r="GTK182"/>
      <c r="GTL182"/>
      <c r="GTM182"/>
      <c r="GTN182"/>
      <c r="GTO182"/>
      <c r="GTP182"/>
      <c r="GTQ182"/>
      <c r="GTR182"/>
      <c r="GTS182"/>
      <c r="GTT182"/>
      <c r="GTU182"/>
      <c r="GTV182"/>
      <c r="GTW182"/>
      <c r="GTX182"/>
      <c r="GTY182"/>
      <c r="GTZ182"/>
      <c r="GUA182"/>
      <c r="GUB182"/>
      <c r="GUC182"/>
      <c r="GUD182"/>
      <c r="GUE182"/>
      <c r="GUF182"/>
      <c r="GUG182"/>
      <c r="GUH182"/>
      <c r="GUI182"/>
      <c r="GUJ182"/>
      <c r="GUK182"/>
      <c r="GUL182"/>
      <c r="GUM182"/>
      <c r="GUN182"/>
      <c r="GUO182"/>
      <c r="GUP182"/>
      <c r="GUQ182"/>
      <c r="GUR182"/>
      <c r="GUS182"/>
      <c r="GUT182"/>
      <c r="GUU182"/>
      <c r="GUV182"/>
      <c r="GUW182"/>
      <c r="GUX182"/>
      <c r="GUY182"/>
      <c r="GUZ182"/>
      <c r="GVA182"/>
      <c r="GVB182"/>
      <c r="GVC182"/>
      <c r="GVD182"/>
      <c r="GVE182"/>
      <c r="GVF182"/>
      <c r="GVG182"/>
      <c r="GVH182"/>
      <c r="GVI182"/>
      <c r="GVJ182"/>
      <c r="GVK182"/>
      <c r="GVL182"/>
      <c r="GVM182"/>
      <c r="GVN182"/>
      <c r="GVO182"/>
      <c r="GVP182"/>
      <c r="GVQ182"/>
      <c r="GVR182"/>
      <c r="GVS182"/>
      <c r="GVT182"/>
      <c r="GVU182"/>
      <c r="GVV182"/>
      <c r="GVW182"/>
      <c r="GVX182"/>
      <c r="GVY182"/>
      <c r="GVZ182"/>
      <c r="GWA182"/>
      <c r="GWB182"/>
      <c r="GWC182"/>
      <c r="GWD182"/>
      <c r="GWE182"/>
      <c r="GWF182"/>
      <c r="GWG182"/>
      <c r="GWH182"/>
      <c r="GWI182"/>
      <c r="GWJ182"/>
      <c r="GWK182"/>
      <c r="GWL182"/>
      <c r="GWM182"/>
      <c r="GWN182"/>
      <c r="GWO182"/>
      <c r="GWP182"/>
      <c r="GWQ182"/>
      <c r="GWR182"/>
      <c r="GWS182"/>
      <c r="GWT182"/>
      <c r="GWU182"/>
      <c r="GWV182"/>
      <c r="GWW182"/>
      <c r="GWX182"/>
      <c r="GWY182"/>
      <c r="GWZ182"/>
      <c r="GXA182"/>
      <c r="GXB182"/>
      <c r="GXC182"/>
      <c r="GXD182"/>
      <c r="GXE182"/>
      <c r="GXF182"/>
      <c r="GXG182"/>
      <c r="GXH182"/>
      <c r="GXI182"/>
      <c r="GXJ182"/>
      <c r="GXK182"/>
      <c r="GXL182"/>
      <c r="GXM182"/>
      <c r="GXN182"/>
      <c r="GXO182"/>
      <c r="GXP182"/>
      <c r="GXQ182"/>
      <c r="GXR182"/>
      <c r="GXS182"/>
      <c r="GXT182"/>
      <c r="GXU182"/>
      <c r="GXV182"/>
      <c r="GXW182"/>
      <c r="GXX182"/>
      <c r="GXY182"/>
      <c r="GXZ182"/>
      <c r="GYA182"/>
      <c r="GYB182"/>
      <c r="GYC182"/>
      <c r="GYD182"/>
      <c r="GYE182"/>
      <c r="GYF182"/>
      <c r="GYG182"/>
      <c r="GYH182"/>
      <c r="GYI182"/>
      <c r="GYJ182"/>
      <c r="GYK182"/>
      <c r="GYL182"/>
      <c r="GYM182"/>
      <c r="GYN182"/>
      <c r="GYO182"/>
      <c r="GYP182"/>
      <c r="GYQ182"/>
      <c r="GYR182"/>
      <c r="GYS182"/>
      <c r="GYT182"/>
      <c r="GYU182"/>
      <c r="GYV182"/>
      <c r="GYW182"/>
      <c r="GYX182"/>
      <c r="GYY182"/>
      <c r="GYZ182"/>
      <c r="GZA182"/>
      <c r="GZB182"/>
      <c r="GZC182"/>
      <c r="GZD182"/>
      <c r="GZE182"/>
      <c r="GZF182"/>
      <c r="GZG182"/>
      <c r="GZH182"/>
      <c r="GZI182"/>
      <c r="GZJ182"/>
      <c r="GZK182"/>
      <c r="GZL182"/>
      <c r="GZM182"/>
      <c r="GZN182"/>
      <c r="GZO182"/>
      <c r="GZP182"/>
      <c r="GZQ182"/>
      <c r="GZR182"/>
      <c r="GZS182"/>
      <c r="GZT182"/>
      <c r="GZU182"/>
      <c r="GZV182"/>
      <c r="GZW182"/>
      <c r="GZX182"/>
      <c r="GZY182"/>
      <c r="GZZ182"/>
      <c r="HAA182"/>
      <c r="HAB182"/>
      <c r="HAC182"/>
      <c r="HAD182"/>
      <c r="HAE182"/>
      <c r="HAF182"/>
      <c r="HAG182"/>
      <c r="HAH182"/>
      <c r="HAI182"/>
      <c r="HAJ182"/>
      <c r="HAK182"/>
      <c r="HAL182"/>
      <c r="HAM182"/>
      <c r="HAN182"/>
      <c r="HAO182"/>
      <c r="HAP182"/>
      <c r="HAQ182"/>
      <c r="HAR182"/>
      <c r="HAS182"/>
      <c r="HAT182"/>
      <c r="HAU182"/>
      <c r="HAV182"/>
      <c r="HAW182"/>
      <c r="HAX182"/>
      <c r="HAY182"/>
      <c r="HAZ182"/>
      <c r="HBA182"/>
      <c r="HBB182"/>
      <c r="HBC182"/>
      <c r="HBD182"/>
      <c r="HBE182"/>
      <c r="HBF182"/>
      <c r="HBG182"/>
      <c r="HBH182"/>
      <c r="HBI182"/>
      <c r="HBJ182"/>
      <c r="HBK182"/>
      <c r="HBL182"/>
      <c r="HBM182"/>
      <c r="HBN182"/>
      <c r="HBO182"/>
      <c r="HBP182"/>
      <c r="HBQ182"/>
      <c r="HBR182"/>
      <c r="HBS182"/>
      <c r="HBT182"/>
      <c r="HBU182"/>
      <c r="HBV182"/>
      <c r="HBW182"/>
      <c r="HBX182"/>
      <c r="HBY182"/>
      <c r="HBZ182"/>
      <c r="HCA182"/>
      <c r="HCB182"/>
      <c r="HCC182"/>
      <c r="HCD182"/>
      <c r="HCE182"/>
      <c r="HCF182"/>
      <c r="HCG182"/>
      <c r="HCH182"/>
      <c r="HCI182"/>
      <c r="HCJ182"/>
      <c r="HCK182"/>
      <c r="HCL182"/>
      <c r="HCM182"/>
      <c r="HCN182"/>
      <c r="HCO182"/>
      <c r="HCP182"/>
      <c r="HCQ182"/>
      <c r="HCR182"/>
      <c r="HCS182"/>
      <c r="HCT182"/>
      <c r="HCU182"/>
      <c r="HCV182"/>
      <c r="HCW182"/>
      <c r="HCX182"/>
      <c r="HCY182"/>
      <c r="HCZ182"/>
      <c r="HDA182"/>
      <c r="HDB182"/>
      <c r="HDC182"/>
      <c r="HDD182"/>
      <c r="HDE182"/>
      <c r="HDF182"/>
      <c r="HDG182"/>
      <c r="HDH182"/>
      <c r="HDI182"/>
      <c r="HDJ182"/>
      <c r="HDK182"/>
      <c r="HDL182"/>
      <c r="HDM182"/>
      <c r="HDN182"/>
      <c r="HDO182"/>
      <c r="HDP182"/>
      <c r="HDQ182"/>
      <c r="HDR182"/>
      <c r="HDS182"/>
      <c r="HDT182"/>
      <c r="HDU182"/>
      <c r="HDV182"/>
      <c r="HDW182"/>
      <c r="HDX182"/>
      <c r="HDY182"/>
      <c r="HDZ182"/>
      <c r="HEA182"/>
      <c r="HEB182"/>
      <c r="HEC182"/>
      <c r="HED182"/>
      <c r="HEE182"/>
      <c r="HEF182"/>
      <c r="HEG182"/>
      <c r="HEH182"/>
      <c r="HEI182"/>
      <c r="HEJ182"/>
      <c r="HEK182"/>
      <c r="HEL182"/>
      <c r="HEM182"/>
      <c r="HEN182"/>
      <c r="HEO182"/>
      <c r="HEP182"/>
      <c r="HEQ182"/>
      <c r="HER182"/>
      <c r="HES182"/>
      <c r="HET182"/>
      <c r="HEU182"/>
      <c r="HEV182"/>
      <c r="HEW182"/>
      <c r="HEX182"/>
      <c r="HEY182"/>
      <c r="HEZ182"/>
      <c r="HFA182"/>
      <c r="HFB182"/>
      <c r="HFC182"/>
      <c r="HFD182"/>
      <c r="HFE182"/>
      <c r="HFF182"/>
      <c r="HFG182"/>
      <c r="HFH182"/>
      <c r="HFI182"/>
      <c r="HFJ182"/>
      <c r="HFK182"/>
      <c r="HFL182"/>
      <c r="HFM182"/>
      <c r="HFN182"/>
      <c r="HFO182"/>
      <c r="HFP182"/>
      <c r="HFQ182"/>
      <c r="HFR182"/>
      <c r="HFS182"/>
      <c r="HFT182"/>
      <c r="HFU182"/>
      <c r="HFV182"/>
      <c r="HFW182"/>
      <c r="HFX182"/>
      <c r="HFY182"/>
      <c r="HFZ182"/>
      <c r="HGA182"/>
      <c r="HGB182"/>
      <c r="HGC182"/>
      <c r="HGD182"/>
      <c r="HGE182"/>
      <c r="HGF182"/>
      <c r="HGG182"/>
      <c r="HGH182"/>
      <c r="HGI182"/>
      <c r="HGJ182"/>
      <c r="HGK182"/>
      <c r="HGL182"/>
      <c r="HGM182"/>
      <c r="HGN182"/>
      <c r="HGO182"/>
      <c r="HGP182"/>
      <c r="HGQ182"/>
      <c r="HGR182"/>
      <c r="HGS182"/>
      <c r="HGT182"/>
      <c r="HGU182"/>
      <c r="HGV182"/>
      <c r="HGW182"/>
      <c r="HGX182"/>
      <c r="HGY182"/>
      <c r="HGZ182"/>
      <c r="HHA182"/>
      <c r="HHB182"/>
      <c r="HHC182"/>
      <c r="HHD182"/>
      <c r="HHE182"/>
      <c r="HHF182"/>
      <c r="HHG182"/>
      <c r="HHH182"/>
      <c r="HHI182"/>
      <c r="HHJ182"/>
      <c r="HHK182"/>
      <c r="HHL182"/>
      <c r="HHM182"/>
      <c r="HHN182"/>
      <c r="HHO182"/>
      <c r="HHP182"/>
      <c r="HHQ182"/>
      <c r="HHR182"/>
      <c r="HHS182"/>
      <c r="HHT182"/>
      <c r="HHU182"/>
      <c r="HHV182"/>
      <c r="HHW182"/>
      <c r="HHX182"/>
      <c r="HHY182"/>
      <c r="HHZ182"/>
      <c r="HIA182"/>
      <c r="HIB182"/>
      <c r="HIC182"/>
      <c r="HID182"/>
      <c r="HIE182"/>
      <c r="HIF182"/>
      <c r="HIG182"/>
      <c r="HIH182"/>
      <c r="HII182"/>
      <c r="HIJ182"/>
      <c r="HIK182"/>
      <c r="HIL182"/>
      <c r="HIM182"/>
      <c r="HIN182"/>
      <c r="HIO182"/>
      <c r="HIP182"/>
      <c r="HIQ182"/>
      <c r="HIR182"/>
      <c r="HIS182"/>
      <c r="HIT182"/>
      <c r="HIU182"/>
      <c r="HIV182"/>
      <c r="HIW182"/>
      <c r="HIX182"/>
      <c r="HIY182"/>
      <c r="HIZ182"/>
      <c r="HJA182"/>
      <c r="HJB182"/>
      <c r="HJC182"/>
      <c r="HJD182"/>
      <c r="HJE182"/>
      <c r="HJF182"/>
      <c r="HJG182"/>
      <c r="HJH182"/>
      <c r="HJI182"/>
      <c r="HJJ182"/>
      <c r="HJK182"/>
      <c r="HJL182"/>
      <c r="HJM182"/>
      <c r="HJN182"/>
      <c r="HJO182"/>
      <c r="HJP182"/>
      <c r="HJQ182"/>
      <c r="HJR182"/>
      <c r="HJS182"/>
      <c r="HJT182"/>
      <c r="HJU182"/>
      <c r="HJV182"/>
      <c r="HJW182"/>
      <c r="HJX182"/>
      <c r="HJY182"/>
      <c r="HJZ182"/>
      <c r="HKA182"/>
      <c r="HKB182"/>
      <c r="HKC182"/>
      <c r="HKD182"/>
      <c r="HKE182"/>
      <c r="HKF182"/>
      <c r="HKG182"/>
      <c r="HKH182"/>
      <c r="HKI182"/>
      <c r="HKJ182"/>
      <c r="HKK182"/>
      <c r="HKL182"/>
      <c r="HKM182"/>
      <c r="HKN182"/>
      <c r="HKO182"/>
      <c r="HKP182"/>
      <c r="HKQ182"/>
      <c r="HKR182"/>
      <c r="HKS182"/>
      <c r="HKT182"/>
      <c r="HKU182"/>
      <c r="HKV182"/>
      <c r="HKW182"/>
      <c r="HKX182"/>
      <c r="HKY182"/>
      <c r="HKZ182"/>
      <c r="HLA182"/>
      <c r="HLB182"/>
      <c r="HLC182"/>
      <c r="HLD182"/>
      <c r="HLE182"/>
      <c r="HLF182"/>
      <c r="HLG182"/>
      <c r="HLH182"/>
      <c r="HLI182"/>
      <c r="HLJ182"/>
      <c r="HLK182"/>
      <c r="HLL182"/>
      <c r="HLM182"/>
      <c r="HLN182"/>
      <c r="HLO182"/>
      <c r="HLP182"/>
      <c r="HLQ182"/>
      <c r="HLR182"/>
      <c r="HLS182"/>
      <c r="HLT182"/>
      <c r="HLU182"/>
      <c r="HLV182"/>
      <c r="HLW182"/>
      <c r="HLX182"/>
      <c r="HLY182"/>
      <c r="HLZ182"/>
      <c r="HMA182"/>
      <c r="HMB182"/>
      <c r="HMC182"/>
      <c r="HMD182"/>
      <c r="HME182"/>
      <c r="HMF182"/>
      <c r="HMG182"/>
      <c r="HMH182"/>
      <c r="HMI182"/>
      <c r="HMJ182"/>
      <c r="HMK182"/>
      <c r="HML182"/>
      <c r="HMM182"/>
      <c r="HMN182"/>
      <c r="HMO182"/>
      <c r="HMP182"/>
      <c r="HMQ182"/>
      <c r="HMR182"/>
      <c r="HMS182"/>
      <c r="HMT182"/>
      <c r="HMU182"/>
      <c r="HMV182"/>
      <c r="HMW182"/>
      <c r="HMX182"/>
      <c r="HMY182"/>
      <c r="HMZ182"/>
      <c r="HNA182"/>
      <c r="HNB182"/>
      <c r="HNC182"/>
      <c r="HND182"/>
      <c r="HNE182"/>
      <c r="HNF182"/>
      <c r="HNG182"/>
      <c r="HNH182"/>
      <c r="HNI182"/>
      <c r="HNJ182"/>
      <c r="HNK182"/>
      <c r="HNL182"/>
      <c r="HNM182"/>
      <c r="HNN182"/>
      <c r="HNO182"/>
      <c r="HNP182"/>
      <c r="HNQ182"/>
      <c r="HNR182"/>
      <c r="HNS182"/>
      <c r="HNT182"/>
      <c r="HNU182"/>
      <c r="HNV182"/>
      <c r="HNW182"/>
      <c r="HNX182"/>
      <c r="HNY182"/>
      <c r="HNZ182"/>
      <c r="HOA182"/>
      <c r="HOB182"/>
      <c r="HOC182"/>
      <c r="HOD182"/>
      <c r="HOE182"/>
      <c r="HOF182"/>
      <c r="HOG182"/>
      <c r="HOH182"/>
      <c r="HOI182"/>
      <c r="HOJ182"/>
      <c r="HOK182"/>
      <c r="HOL182"/>
      <c r="HOM182"/>
      <c r="HON182"/>
      <c r="HOO182"/>
      <c r="HOP182"/>
      <c r="HOQ182"/>
      <c r="HOR182"/>
      <c r="HOS182"/>
      <c r="HOT182"/>
      <c r="HOU182"/>
      <c r="HOV182"/>
      <c r="HOW182"/>
      <c r="HOX182"/>
      <c r="HOY182"/>
      <c r="HOZ182"/>
      <c r="HPA182"/>
      <c r="HPB182"/>
      <c r="HPC182"/>
      <c r="HPD182"/>
      <c r="HPE182"/>
      <c r="HPF182"/>
      <c r="HPG182"/>
      <c r="HPH182"/>
      <c r="HPI182"/>
      <c r="HPJ182"/>
      <c r="HPK182"/>
      <c r="HPL182"/>
      <c r="HPM182"/>
      <c r="HPN182"/>
      <c r="HPO182"/>
      <c r="HPP182"/>
      <c r="HPQ182"/>
      <c r="HPR182"/>
      <c r="HPS182"/>
      <c r="HPT182"/>
      <c r="HPU182"/>
      <c r="HPV182"/>
      <c r="HPW182"/>
      <c r="HPX182"/>
      <c r="HPY182"/>
      <c r="HPZ182"/>
      <c r="HQA182"/>
      <c r="HQB182"/>
      <c r="HQC182"/>
      <c r="HQD182"/>
      <c r="HQE182"/>
      <c r="HQF182"/>
      <c r="HQG182"/>
      <c r="HQH182"/>
      <c r="HQI182"/>
      <c r="HQJ182"/>
      <c r="HQK182"/>
      <c r="HQL182"/>
      <c r="HQM182"/>
      <c r="HQN182"/>
      <c r="HQO182"/>
      <c r="HQP182"/>
      <c r="HQQ182"/>
      <c r="HQR182"/>
      <c r="HQS182"/>
      <c r="HQT182"/>
      <c r="HQU182"/>
      <c r="HQV182"/>
      <c r="HQW182"/>
      <c r="HQX182"/>
      <c r="HQY182"/>
      <c r="HQZ182"/>
      <c r="HRA182"/>
      <c r="HRB182"/>
      <c r="HRC182"/>
      <c r="HRD182"/>
      <c r="HRE182"/>
      <c r="HRF182"/>
      <c r="HRG182"/>
      <c r="HRH182"/>
      <c r="HRI182"/>
      <c r="HRJ182"/>
      <c r="HRK182"/>
      <c r="HRL182"/>
      <c r="HRM182"/>
      <c r="HRN182"/>
      <c r="HRO182"/>
      <c r="HRP182"/>
      <c r="HRQ182"/>
      <c r="HRR182"/>
      <c r="HRS182"/>
      <c r="HRT182"/>
      <c r="HRU182"/>
      <c r="HRV182"/>
      <c r="HRW182"/>
      <c r="HRX182"/>
      <c r="HRY182"/>
      <c r="HRZ182"/>
      <c r="HSA182"/>
      <c r="HSB182"/>
      <c r="HSC182"/>
      <c r="HSD182"/>
      <c r="HSE182"/>
      <c r="HSF182"/>
      <c r="HSG182"/>
      <c r="HSH182"/>
      <c r="HSI182"/>
      <c r="HSJ182"/>
      <c r="HSK182"/>
      <c r="HSL182"/>
      <c r="HSM182"/>
      <c r="HSN182"/>
      <c r="HSO182"/>
      <c r="HSP182"/>
      <c r="HSQ182"/>
      <c r="HSR182"/>
      <c r="HSS182"/>
      <c r="HST182"/>
      <c r="HSU182"/>
      <c r="HSV182"/>
      <c r="HSW182"/>
      <c r="HSX182"/>
      <c r="HSY182"/>
      <c r="HSZ182"/>
      <c r="HTA182"/>
      <c r="HTB182"/>
      <c r="HTC182"/>
      <c r="HTD182"/>
      <c r="HTE182"/>
      <c r="HTF182"/>
      <c r="HTG182"/>
      <c r="HTH182"/>
      <c r="HTI182"/>
      <c r="HTJ182"/>
      <c r="HTK182"/>
      <c r="HTL182"/>
      <c r="HTM182"/>
      <c r="HTN182"/>
      <c r="HTO182"/>
      <c r="HTP182"/>
      <c r="HTQ182"/>
      <c r="HTR182"/>
      <c r="HTS182"/>
      <c r="HTT182"/>
      <c r="HTU182"/>
      <c r="HTV182"/>
      <c r="HTW182"/>
      <c r="HTX182"/>
      <c r="HTY182"/>
      <c r="HTZ182"/>
      <c r="HUA182"/>
      <c r="HUB182"/>
      <c r="HUC182"/>
      <c r="HUD182"/>
      <c r="HUE182"/>
      <c r="HUF182"/>
      <c r="HUG182"/>
      <c r="HUH182"/>
      <c r="HUI182"/>
      <c r="HUJ182"/>
      <c r="HUK182"/>
      <c r="HUL182"/>
      <c r="HUM182"/>
      <c r="HUN182"/>
      <c r="HUO182"/>
      <c r="HUP182"/>
      <c r="HUQ182"/>
      <c r="HUR182"/>
      <c r="HUS182"/>
      <c r="HUT182"/>
      <c r="HUU182"/>
      <c r="HUV182"/>
      <c r="HUW182"/>
      <c r="HUX182"/>
      <c r="HUY182"/>
      <c r="HUZ182"/>
      <c r="HVA182"/>
      <c r="HVB182"/>
      <c r="HVC182"/>
      <c r="HVD182"/>
      <c r="HVE182"/>
      <c r="HVF182"/>
      <c r="HVG182"/>
      <c r="HVH182"/>
      <c r="HVI182"/>
      <c r="HVJ182"/>
      <c r="HVK182"/>
      <c r="HVL182"/>
      <c r="HVM182"/>
      <c r="HVN182"/>
      <c r="HVO182"/>
      <c r="HVP182"/>
      <c r="HVQ182"/>
      <c r="HVR182"/>
      <c r="HVS182"/>
      <c r="HVT182"/>
      <c r="HVU182"/>
      <c r="HVV182"/>
      <c r="HVW182"/>
      <c r="HVX182"/>
      <c r="HVY182"/>
      <c r="HVZ182"/>
      <c r="HWA182"/>
      <c r="HWB182"/>
      <c r="HWC182"/>
      <c r="HWD182"/>
      <c r="HWE182"/>
      <c r="HWF182"/>
      <c r="HWG182"/>
      <c r="HWH182"/>
      <c r="HWI182"/>
      <c r="HWJ182"/>
      <c r="HWK182"/>
      <c r="HWL182"/>
      <c r="HWM182"/>
      <c r="HWN182"/>
      <c r="HWO182"/>
      <c r="HWP182"/>
      <c r="HWQ182"/>
      <c r="HWR182"/>
      <c r="HWS182"/>
      <c r="HWT182"/>
      <c r="HWU182"/>
      <c r="HWV182"/>
      <c r="HWW182"/>
      <c r="HWX182"/>
      <c r="HWY182"/>
      <c r="HWZ182"/>
      <c r="HXA182"/>
      <c r="HXB182"/>
      <c r="HXC182"/>
      <c r="HXD182"/>
      <c r="HXE182"/>
      <c r="HXF182"/>
      <c r="HXG182"/>
      <c r="HXH182"/>
      <c r="HXI182"/>
      <c r="HXJ182"/>
      <c r="HXK182"/>
      <c r="HXL182"/>
      <c r="HXM182"/>
      <c r="HXN182"/>
      <c r="HXO182"/>
      <c r="HXP182"/>
      <c r="HXQ182"/>
      <c r="HXR182"/>
      <c r="HXS182"/>
      <c r="HXT182"/>
      <c r="HXU182"/>
      <c r="HXV182"/>
      <c r="HXW182"/>
      <c r="HXX182"/>
      <c r="HXY182"/>
      <c r="HXZ182"/>
      <c r="HYA182"/>
      <c r="HYB182"/>
      <c r="HYC182"/>
      <c r="HYD182"/>
      <c r="HYE182"/>
      <c r="HYF182"/>
      <c r="HYG182"/>
      <c r="HYH182"/>
      <c r="HYI182"/>
      <c r="HYJ182"/>
      <c r="HYK182"/>
      <c r="HYL182"/>
      <c r="HYM182"/>
      <c r="HYN182"/>
      <c r="HYO182"/>
      <c r="HYP182"/>
      <c r="HYQ182"/>
      <c r="HYR182"/>
      <c r="HYS182"/>
      <c r="HYT182"/>
      <c r="HYU182"/>
      <c r="HYV182"/>
      <c r="HYW182"/>
      <c r="HYX182"/>
      <c r="HYY182"/>
      <c r="HYZ182"/>
      <c r="HZA182"/>
      <c r="HZB182"/>
      <c r="HZC182"/>
      <c r="HZD182"/>
      <c r="HZE182"/>
      <c r="HZF182"/>
      <c r="HZG182"/>
      <c r="HZH182"/>
      <c r="HZI182"/>
      <c r="HZJ182"/>
      <c r="HZK182"/>
      <c r="HZL182"/>
      <c r="HZM182"/>
      <c r="HZN182"/>
      <c r="HZO182"/>
      <c r="HZP182"/>
      <c r="HZQ182"/>
      <c r="HZR182"/>
      <c r="HZS182"/>
      <c r="HZT182"/>
      <c r="HZU182"/>
      <c r="HZV182"/>
      <c r="HZW182"/>
      <c r="HZX182"/>
      <c r="HZY182"/>
      <c r="HZZ182"/>
      <c r="IAA182"/>
      <c r="IAB182"/>
      <c r="IAC182"/>
      <c r="IAD182"/>
      <c r="IAE182"/>
      <c r="IAF182"/>
      <c r="IAG182"/>
      <c r="IAH182"/>
      <c r="IAI182"/>
      <c r="IAJ182"/>
      <c r="IAK182"/>
      <c r="IAL182"/>
      <c r="IAM182"/>
      <c r="IAN182"/>
      <c r="IAO182"/>
      <c r="IAP182"/>
      <c r="IAQ182"/>
      <c r="IAR182"/>
      <c r="IAS182"/>
      <c r="IAT182"/>
      <c r="IAU182"/>
      <c r="IAV182"/>
      <c r="IAW182"/>
      <c r="IAX182"/>
      <c r="IAY182"/>
      <c r="IAZ182"/>
      <c r="IBA182"/>
      <c r="IBB182"/>
      <c r="IBC182"/>
      <c r="IBD182"/>
      <c r="IBE182"/>
      <c r="IBF182"/>
      <c r="IBG182"/>
      <c r="IBH182"/>
      <c r="IBI182"/>
      <c r="IBJ182"/>
      <c r="IBK182"/>
      <c r="IBL182"/>
      <c r="IBM182"/>
      <c r="IBN182"/>
      <c r="IBO182"/>
      <c r="IBP182"/>
      <c r="IBQ182"/>
      <c r="IBR182"/>
      <c r="IBS182"/>
      <c r="IBT182"/>
      <c r="IBU182"/>
      <c r="IBV182"/>
      <c r="IBW182"/>
      <c r="IBX182"/>
      <c r="IBY182"/>
      <c r="IBZ182"/>
      <c r="ICA182"/>
      <c r="ICB182"/>
      <c r="ICC182"/>
      <c r="ICD182"/>
      <c r="ICE182"/>
      <c r="ICF182"/>
      <c r="ICG182"/>
      <c r="ICH182"/>
      <c r="ICI182"/>
      <c r="ICJ182"/>
      <c r="ICK182"/>
      <c r="ICL182"/>
      <c r="ICM182"/>
      <c r="ICN182"/>
      <c r="ICO182"/>
      <c r="ICP182"/>
      <c r="ICQ182"/>
      <c r="ICR182"/>
      <c r="ICS182"/>
      <c r="ICT182"/>
      <c r="ICU182"/>
      <c r="ICV182"/>
      <c r="ICW182"/>
      <c r="ICX182"/>
      <c r="ICY182"/>
      <c r="ICZ182"/>
      <c r="IDA182"/>
      <c r="IDB182"/>
      <c r="IDC182"/>
      <c r="IDD182"/>
      <c r="IDE182"/>
      <c r="IDF182"/>
      <c r="IDG182"/>
      <c r="IDH182"/>
      <c r="IDI182"/>
      <c r="IDJ182"/>
      <c r="IDK182"/>
      <c r="IDL182"/>
      <c r="IDM182"/>
      <c r="IDN182"/>
      <c r="IDO182"/>
      <c r="IDP182"/>
      <c r="IDQ182"/>
      <c r="IDR182"/>
      <c r="IDS182"/>
      <c r="IDT182"/>
      <c r="IDU182"/>
      <c r="IDV182"/>
      <c r="IDW182"/>
      <c r="IDX182"/>
      <c r="IDY182"/>
      <c r="IDZ182"/>
      <c r="IEA182"/>
      <c r="IEB182"/>
      <c r="IEC182"/>
      <c r="IED182"/>
      <c r="IEE182"/>
      <c r="IEF182"/>
      <c r="IEG182"/>
      <c r="IEH182"/>
      <c r="IEI182"/>
      <c r="IEJ182"/>
      <c r="IEK182"/>
      <c r="IEL182"/>
      <c r="IEM182"/>
      <c r="IEN182"/>
      <c r="IEO182"/>
      <c r="IEP182"/>
      <c r="IEQ182"/>
      <c r="IER182"/>
      <c r="IES182"/>
      <c r="IET182"/>
      <c r="IEU182"/>
      <c r="IEV182"/>
      <c r="IEW182"/>
      <c r="IEX182"/>
      <c r="IEY182"/>
      <c r="IEZ182"/>
      <c r="IFA182"/>
      <c r="IFB182"/>
      <c r="IFC182"/>
      <c r="IFD182"/>
      <c r="IFE182"/>
      <c r="IFF182"/>
      <c r="IFG182"/>
      <c r="IFH182"/>
      <c r="IFI182"/>
      <c r="IFJ182"/>
      <c r="IFK182"/>
      <c r="IFL182"/>
      <c r="IFM182"/>
      <c r="IFN182"/>
      <c r="IFO182"/>
      <c r="IFP182"/>
      <c r="IFQ182"/>
      <c r="IFR182"/>
      <c r="IFS182"/>
      <c r="IFT182"/>
      <c r="IFU182"/>
      <c r="IFV182"/>
      <c r="IFW182"/>
      <c r="IFX182"/>
      <c r="IFY182"/>
      <c r="IFZ182"/>
      <c r="IGA182"/>
      <c r="IGB182"/>
      <c r="IGC182"/>
      <c r="IGD182"/>
      <c r="IGE182"/>
      <c r="IGF182"/>
      <c r="IGG182"/>
      <c r="IGH182"/>
      <c r="IGI182"/>
      <c r="IGJ182"/>
      <c r="IGK182"/>
      <c r="IGL182"/>
      <c r="IGM182"/>
      <c r="IGN182"/>
      <c r="IGO182"/>
      <c r="IGP182"/>
      <c r="IGQ182"/>
      <c r="IGR182"/>
      <c r="IGS182"/>
      <c r="IGT182"/>
      <c r="IGU182"/>
      <c r="IGV182"/>
      <c r="IGW182"/>
      <c r="IGX182"/>
      <c r="IGY182"/>
      <c r="IGZ182"/>
      <c r="IHA182"/>
      <c r="IHB182"/>
      <c r="IHC182"/>
      <c r="IHD182"/>
      <c r="IHE182"/>
      <c r="IHF182"/>
      <c r="IHG182"/>
      <c r="IHH182"/>
      <c r="IHI182"/>
      <c r="IHJ182"/>
      <c r="IHK182"/>
      <c r="IHL182"/>
      <c r="IHM182"/>
      <c r="IHN182"/>
      <c r="IHO182"/>
      <c r="IHP182"/>
      <c r="IHQ182"/>
      <c r="IHR182"/>
      <c r="IHS182"/>
      <c r="IHT182"/>
      <c r="IHU182"/>
      <c r="IHV182"/>
      <c r="IHW182"/>
      <c r="IHX182"/>
      <c r="IHY182"/>
      <c r="IHZ182"/>
      <c r="IIA182"/>
      <c r="IIB182"/>
      <c r="IIC182"/>
      <c r="IID182"/>
      <c r="IIE182"/>
      <c r="IIF182"/>
      <c r="IIG182"/>
      <c r="IIH182"/>
      <c r="III182"/>
      <c r="IIJ182"/>
      <c r="IIK182"/>
      <c r="IIL182"/>
      <c r="IIM182"/>
      <c r="IIN182"/>
      <c r="IIO182"/>
      <c r="IIP182"/>
      <c r="IIQ182"/>
      <c r="IIR182"/>
      <c r="IIS182"/>
      <c r="IIT182"/>
      <c r="IIU182"/>
      <c r="IIV182"/>
      <c r="IIW182"/>
      <c r="IIX182"/>
      <c r="IIY182"/>
      <c r="IIZ182"/>
      <c r="IJA182"/>
      <c r="IJB182"/>
      <c r="IJC182"/>
      <c r="IJD182"/>
      <c r="IJE182"/>
      <c r="IJF182"/>
      <c r="IJG182"/>
      <c r="IJH182"/>
      <c r="IJI182"/>
      <c r="IJJ182"/>
      <c r="IJK182"/>
      <c r="IJL182"/>
      <c r="IJM182"/>
      <c r="IJN182"/>
      <c r="IJO182"/>
      <c r="IJP182"/>
      <c r="IJQ182"/>
      <c r="IJR182"/>
      <c r="IJS182"/>
      <c r="IJT182"/>
      <c r="IJU182"/>
      <c r="IJV182"/>
      <c r="IJW182"/>
      <c r="IJX182"/>
      <c r="IJY182"/>
      <c r="IJZ182"/>
      <c r="IKA182"/>
      <c r="IKB182"/>
      <c r="IKC182"/>
      <c r="IKD182"/>
      <c r="IKE182"/>
      <c r="IKF182"/>
      <c r="IKG182"/>
      <c r="IKH182"/>
      <c r="IKI182"/>
      <c r="IKJ182"/>
      <c r="IKK182"/>
      <c r="IKL182"/>
      <c r="IKM182"/>
      <c r="IKN182"/>
      <c r="IKO182"/>
      <c r="IKP182"/>
      <c r="IKQ182"/>
      <c r="IKR182"/>
      <c r="IKS182"/>
      <c r="IKT182"/>
      <c r="IKU182"/>
      <c r="IKV182"/>
      <c r="IKW182"/>
      <c r="IKX182"/>
      <c r="IKY182"/>
      <c r="IKZ182"/>
      <c r="ILA182"/>
      <c r="ILB182"/>
      <c r="ILC182"/>
      <c r="ILD182"/>
      <c r="ILE182"/>
      <c r="ILF182"/>
      <c r="ILG182"/>
      <c r="ILH182"/>
      <c r="ILI182"/>
      <c r="ILJ182"/>
      <c r="ILK182"/>
      <c r="ILL182"/>
      <c r="ILM182"/>
      <c r="ILN182"/>
      <c r="ILO182"/>
      <c r="ILP182"/>
      <c r="ILQ182"/>
      <c r="ILR182"/>
      <c r="ILS182"/>
      <c r="ILT182"/>
      <c r="ILU182"/>
      <c r="ILV182"/>
      <c r="ILW182"/>
      <c r="ILX182"/>
      <c r="ILY182"/>
      <c r="ILZ182"/>
      <c r="IMA182"/>
      <c r="IMB182"/>
      <c r="IMC182"/>
      <c r="IMD182"/>
      <c r="IME182"/>
      <c r="IMF182"/>
      <c r="IMG182"/>
      <c r="IMH182"/>
      <c r="IMI182"/>
      <c r="IMJ182"/>
      <c r="IMK182"/>
      <c r="IML182"/>
      <c r="IMM182"/>
      <c r="IMN182"/>
      <c r="IMO182"/>
      <c r="IMP182"/>
      <c r="IMQ182"/>
      <c r="IMR182"/>
      <c r="IMS182"/>
      <c r="IMT182"/>
      <c r="IMU182"/>
      <c r="IMV182"/>
      <c r="IMW182"/>
      <c r="IMX182"/>
      <c r="IMY182"/>
      <c r="IMZ182"/>
      <c r="INA182"/>
      <c r="INB182"/>
      <c r="INC182"/>
      <c r="IND182"/>
      <c r="INE182"/>
      <c r="INF182"/>
      <c r="ING182"/>
      <c r="INH182"/>
      <c r="INI182"/>
      <c r="INJ182"/>
      <c r="INK182"/>
      <c r="INL182"/>
      <c r="INM182"/>
      <c r="INN182"/>
      <c r="INO182"/>
      <c r="INP182"/>
      <c r="INQ182"/>
      <c r="INR182"/>
      <c r="INS182"/>
      <c r="INT182"/>
      <c r="INU182"/>
      <c r="INV182"/>
      <c r="INW182"/>
      <c r="INX182"/>
      <c r="INY182"/>
      <c r="INZ182"/>
      <c r="IOA182"/>
      <c r="IOB182"/>
      <c r="IOC182"/>
      <c r="IOD182"/>
      <c r="IOE182"/>
      <c r="IOF182"/>
      <c r="IOG182"/>
      <c r="IOH182"/>
      <c r="IOI182"/>
      <c r="IOJ182"/>
      <c r="IOK182"/>
      <c r="IOL182"/>
      <c r="IOM182"/>
      <c r="ION182"/>
      <c r="IOO182"/>
      <c r="IOP182"/>
      <c r="IOQ182"/>
      <c r="IOR182"/>
      <c r="IOS182"/>
      <c r="IOT182"/>
      <c r="IOU182"/>
      <c r="IOV182"/>
      <c r="IOW182"/>
      <c r="IOX182"/>
      <c r="IOY182"/>
      <c r="IOZ182"/>
      <c r="IPA182"/>
      <c r="IPB182"/>
      <c r="IPC182"/>
      <c r="IPD182"/>
      <c r="IPE182"/>
      <c r="IPF182"/>
      <c r="IPG182"/>
      <c r="IPH182"/>
      <c r="IPI182"/>
      <c r="IPJ182"/>
      <c r="IPK182"/>
      <c r="IPL182"/>
      <c r="IPM182"/>
      <c r="IPN182"/>
      <c r="IPO182"/>
      <c r="IPP182"/>
      <c r="IPQ182"/>
      <c r="IPR182"/>
      <c r="IPS182"/>
      <c r="IPT182"/>
      <c r="IPU182"/>
      <c r="IPV182"/>
      <c r="IPW182"/>
      <c r="IPX182"/>
      <c r="IPY182"/>
      <c r="IPZ182"/>
      <c r="IQA182"/>
      <c r="IQB182"/>
      <c r="IQC182"/>
      <c r="IQD182"/>
      <c r="IQE182"/>
      <c r="IQF182"/>
      <c r="IQG182"/>
      <c r="IQH182"/>
      <c r="IQI182"/>
      <c r="IQJ182"/>
      <c r="IQK182"/>
      <c r="IQL182"/>
      <c r="IQM182"/>
      <c r="IQN182"/>
      <c r="IQO182"/>
      <c r="IQP182"/>
      <c r="IQQ182"/>
      <c r="IQR182"/>
      <c r="IQS182"/>
      <c r="IQT182"/>
      <c r="IQU182"/>
      <c r="IQV182"/>
      <c r="IQW182"/>
      <c r="IQX182"/>
      <c r="IQY182"/>
      <c r="IQZ182"/>
      <c r="IRA182"/>
      <c r="IRB182"/>
      <c r="IRC182"/>
      <c r="IRD182"/>
      <c r="IRE182"/>
      <c r="IRF182"/>
      <c r="IRG182"/>
      <c r="IRH182"/>
      <c r="IRI182"/>
      <c r="IRJ182"/>
      <c r="IRK182"/>
      <c r="IRL182"/>
      <c r="IRM182"/>
      <c r="IRN182"/>
      <c r="IRO182"/>
      <c r="IRP182"/>
      <c r="IRQ182"/>
      <c r="IRR182"/>
      <c r="IRS182"/>
      <c r="IRT182"/>
      <c r="IRU182"/>
      <c r="IRV182"/>
      <c r="IRW182"/>
      <c r="IRX182"/>
      <c r="IRY182"/>
      <c r="IRZ182"/>
      <c r="ISA182"/>
      <c r="ISB182"/>
      <c r="ISC182"/>
      <c r="ISD182"/>
      <c r="ISE182"/>
      <c r="ISF182"/>
      <c r="ISG182"/>
      <c r="ISH182"/>
      <c r="ISI182"/>
      <c r="ISJ182"/>
      <c r="ISK182"/>
      <c r="ISL182"/>
      <c r="ISM182"/>
      <c r="ISN182"/>
      <c r="ISO182"/>
      <c r="ISP182"/>
      <c r="ISQ182"/>
      <c r="ISR182"/>
      <c r="ISS182"/>
      <c r="IST182"/>
      <c r="ISU182"/>
      <c r="ISV182"/>
      <c r="ISW182"/>
      <c r="ISX182"/>
      <c r="ISY182"/>
      <c r="ISZ182"/>
      <c r="ITA182"/>
      <c r="ITB182"/>
      <c r="ITC182"/>
      <c r="ITD182"/>
      <c r="ITE182"/>
      <c r="ITF182"/>
      <c r="ITG182"/>
      <c r="ITH182"/>
      <c r="ITI182"/>
      <c r="ITJ182"/>
      <c r="ITK182"/>
      <c r="ITL182"/>
      <c r="ITM182"/>
      <c r="ITN182"/>
      <c r="ITO182"/>
      <c r="ITP182"/>
      <c r="ITQ182"/>
      <c r="ITR182"/>
      <c r="ITS182"/>
      <c r="ITT182"/>
      <c r="ITU182"/>
      <c r="ITV182"/>
      <c r="ITW182"/>
      <c r="ITX182"/>
      <c r="ITY182"/>
      <c r="ITZ182"/>
      <c r="IUA182"/>
      <c r="IUB182"/>
      <c r="IUC182"/>
      <c r="IUD182"/>
      <c r="IUE182"/>
      <c r="IUF182"/>
      <c r="IUG182"/>
      <c r="IUH182"/>
      <c r="IUI182"/>
      <c r="IUJ182"/>
      <c r="IUK182"/>
      <c r="IUL182"/>
      <c r="IUM182"/>
      <c r="IUN182"/>
      <c r="IUO182"/>
      <c r="IUP182"/>
      <c r="IUQ182"/>
      <c r="IUR182"/>
      <c r="IUS182"/>
      <c r="IUT182"/>
      <c r="IUU182"/>
      <c r="IUV182"/>
      <c r="IUW182"/>
      <c r="IUX182"/>
      <c r="IUY182"/>
      <c r="IUZ182"/>
      <c r="IVA182"/>
      <c r="IVB182"/>
      <c r="IVC182"/>
      <c r="IVD182"/>
      <c r="IVE182"/>
      <c r="IVF182"/>
      <c r="IVG182"/>
      <c r="IVH182"/>
      <c r="IVI182"/>
      <c r="IVJ182"/>
      <c r="IVK182"/>
      <c r="IVL182"/>
      <c r="IVM182"/>
      <c r="IVN182"/>
      <c r="IVO182"/>
      <c r="IVP182"/>
      <c r="IVQ182"/>
      <c r="IVR182"/>
      <c r="IVS182"/>
      <c r="IVT182"/>
      <c r="IVU182"/>
      <c r="IVV182"/>
      <c r="IVW182"/>
      <c r="IVX182"/>
      <c r="IVY182"/>
      <c r="IVZ182"/>
      <c r="IWA182"/>
      <c r="IWB182"/>
      <c r="IWC182"/>
      <c r="IWD182"/>
      <c r="IWE182"/>
      <c r="IWF182"/>
      <c r="IWG182"/>
      <c r="IWH182"/>
      <c r="IWI182"/>
      <c r="IWJ182"/>
      <c r="IWK182"/>
      <c r="IWL182"/>
      <c r="IWM182"/>
      <c r="IWN182"/>
      <c r="IWO182"/>
      <c r="IWP182"/>
      <c r="IWQ182"/>
      <c r="IWR182"/>
      <c r="IWS182"/>
      <c r="IWT182"/>
      <c r="IWU182"/>
      <c r="IWV182"/>
      <c r="IWW182"/>
      <c r="IWX182"/>
      <c r="IWY182"/>
      <c r="IWZ182"/>
      <c r="IXA182"/>
      <c r="IXB182"/>
      <c r="IXC182"/>
      <c r="IXD182"/>
      <c r="IXE182"/>
      <c r="IXF182"/>
      <c r="IXG182"/>
      <c r="IXH182"/>
      <c r="IXI182"/>
      <c r="IXJ182"/>
      <c r="IXK182"/>
      <c r="IXL182"/>
      <c r="IXM182"/>
      <c r="IXN182"/>
      <c r="IXO182"/>
      <c r="IXP182"/>
      <c r="IXQ182"/>
      <c r="IXR182"/>
      <c r="IXS182"/>
      <c r="IXT182"/>
      <c r="IXU182"/>
      <c r="IXV182"/>
      <c r="IXW182"/>
      <c r="IXX182"/>
      <c r="IXY182"/>
      <c r="IXZ182"/>
      <c r="IYA182"/>
      <c r="IYB182"/>
      <c r="IYC182"/>
      <c r="IYD182"/>
      <c r="IYE182"/>
      <c r="IYF182"/>
      <c r="IYG182"/>
      <c r="IYH182"/>
      <c r="IYI182"/>
      <c r="IYJ182"/>
      <c r="IYK182"/>
      <c r="IYL182"/>
      <c r="IYM182"/>
      <c r="IYN182"/>
      <c r="IYO182"/>
      <c r="IYP182"/>
      <c r="IYQ182"/>
      <c r="IYR182"/>
      <c r="IYS182"/>
      <c r="IYT182"/>
      <c r="IYU182"/>
      <c r="IYV182"/>
      <c r="IYW182"/>
      <c r="IYX182"/>
      <c r="IYY182"/>
      <c r="IYZ182"/>
      <c r="IZA182"/>
      <c r="IZB182"/>
      <c r="IZC182"/>
      <c r="IZD182"/>
      <c r="IZE182"/>
      <c r="IZF182"/>
      <c r="IZG182"/>
      <c r="IZH182"/>
      <c r="IZI182"/>
      <c r="IZJ182"/>
      <c r="IZK182"/>
      <c r="IZL182"/>
      <c r="IZM182"/>
      <c r="IZN182"/>
      <c r="IZO182"/>
      <c r="IZP182"/>
      <c r="IZQ182"/>
      <c r="IZR182"/>
      <c r="IZS182"/>
      <c r="IZT182"/>
      <c r="IZU182"/>
      <c r="IZV182"/>
      <c r="IZW182"/>
      <c r="IZX182"/>
      <c r="IZY182"/>
      <c r="IZZ182"/>
      <c r="JAA182"/>
      <c r="JAB182"/>
      <c r="JAC182"/>
      <c r="JAD182"/>
      <c r="JAE182"/>
      <c r="JAF182"/>
      <c r="JAG182"/>
      <c r="JAH182"/>
      <c r="JAI182"/>
      <c r="JAJ182"/>
      <c r="JAK182"/>
      <c r="JAL182"/>
      <c r="JAM182"/>
      <c r="JAN182"/>
      <c r="JAO182"/>
      <c r="JAP182"/>
      <c r="JAQ182"/>
      <c r="JAR182"/>
      <c r="JAS182"/>
      <c r="JAT182"/>
      <c r="JAU182"/>
      <c r="JAV182"/>
      <c r="JAW182"/>
      <c r="JAX182"/>
      <c r="JAY182"/>
      <c r="JAZ182"/>
      <c r="JBA182"/>
      <c r="JBB182"/>
      <c r="JBC182"/>
      <c r="JBD182"/>
      <c r="JBE182"/>
      <c r="JBF182"/>
      <c r="JBG182"/>
      <c r="JBH182"/>
      <c r="JBI182"/>
      <c r="JBJ182"/>
      <c r="JBK182"/>
      <c r="JBL182"/>
      <c r="JBM182"/>
      <c r="JBN182"/>
      <c r="JBO182"/>
      <c r="JBP182"/>
      <c r="JBQ182"/>
      <c r="JBR182"/>
      <c r="JBS182"/>
      <c r="JBT182"/>
      <c r="JBU182"/>
      <c r="JBV182"/>
      <c r="JBW182"/>
      <c r="JBX182"/>
      <c r="JBY182"/>
      <c r="JBZ182"/>
      <c r="JCA182"/>
      <c r="JCB182"/>
      <c r="JCC182"/>
      <c r="JCD182"/>
      <c r="JCE182"/>
      <c r="JCF182"/>
      <c r="JCG182"/>
      <c r="JCH182"/>
      <c r="JCI182"/>
      <c r="JCJ182"/>
      <c r="JCK182"/>
      <c r="JCL182"/>
      <c r="JCM182"/>
      <c r="JCN182"/>
      <c r="JCO182"/>
      <c r="JCP182"/>
      <c r="JCQ182"/>
      <c r="JCR182"/>
      <c r="JCS182"/>
      <c r="JCT182"/>
      <c r="JCU182"/>
      <c r="JCV182"/>
      <c r="JCW182"/>
      <c r="JCX182"/>
      <c r="JCY182"/>
      <c r="JCZ182"/>
      <c r="JDA182"/>
      <c r="JDB182"/>
      <c r="JDC182"/>
      <c r="JDD182"/>
      <c r="JDE182"/>
      <c r="JDF182"/>
      <c r="JDG182"/>
      <c r="JDH182"/>
      <c r="JDI182"/>
      <c r="JDJ182"/>
      <c r="JDK182"/>
      <c r="JDL182"/>
      <c r="JDM182"/>
      <c r="JDN182"/>
      <c r="JDO182"/>
      <c r="JDP182"/>
      <c r="JDQ182"/>
      <c r="JDR182"/>
      <c r="JDS182"/>
      <c r="JDT182"/>
      <c r="JDU182"/>
      <c r="JDV182"/>
      <c r="JDW182"/>
      <c r="JDX182"/>
      <c r="JDY182"/>
      <c r="JDZ182"/>
      <c r="JEA182"/>
      <c r="JEB182"/>
      <c r="JEC182"/>
      <c r="JED182"/>
      <c r="JEE182"/>
      <c r="JEF182"/>
      <c r="JEG182"/>
      <c r="JEH182"/>
      <c r="JEI182"/>
      <c r="JEJ182"/>
      <c r="JEK182"/>
      <c r="JEL182"/>
      <c r="JEM182"/>
      <c r="JEN182"/>
      <c r="JEO182"/>
      <c r="JEP182"/>
      <c r="JEQ182"/>
      <c r="JER182"/>
      <c r="JES182"/>
      <c r="JET182"/>
      <c r="JEU182"/>
      <c r="JEV182"/>
      <c r="JEW182"/>
      <c r="JEX182"/>
      <c r="JEY182"/>
      <c r="JEZ182"/>
      <c r="JFA182"/>
      <c r="JFB182"/>
      <c r="JFC182"/>
      <c r="JFD182"/>
      <c r="JFE182"/>
      <c r="JFF182"/>
      <c r="JFG182"/>
      <c r="JFH182"/>
      <c r="JFI182"/>
      <c r="JFJ182"/>
      <c r="JFK182"/>
      <c r="JFL182"/>
      <c r="JFM182"/>
      <c r="JFN182"/>
      <c r="JFO182"/>
      <c r="JFP182"/>
      <c r="JFQ182"/>
      <c r="JFR182"/>
      <c r="JFS182"/>
      <c r="JFT182"/>
      <c r="JFU182"/>
      <c r="JFV182"/>
      <c r="JFW182"/>
      <c r="JFX182"/>
      <c r="JFY182"/>
      <c r="JFZ182"/>
      <c r="JGA182"/>
      <c r="JGB182"/>
      <c r="JGC182"/>
      <c r="JGD182"/>
      <c r="JGE182"/>
      <c r="JGF182"/>
      <c r="JGG182"/>
      <c r="JGH182"/>
      <c r="JGI182"/>
      <c r="JGJ182"/>
      <c r="JGK182"/>
      <c r="JGL182"/>
      <c r="JGM182"/>
      <c r="JGN182"/>
      <c r="JGO182"/>
      <c r="JGP182"/>
      <c r="JGQ182"/>
      <c r="JGR182"/>
      <c r="JGS182"/>
      <c r="JGT182"/>
      <c r="JGU182"/>
      <c r="JGV182"/>
      <c r="JGW182"/>
      <c r="JGX182"/>
      <c r="JGY182"/>
      <c r="JGZ182"/>
      <c r="JHA182"/>
      <c r="JHB182"/>
      <c r="JHC182"/>
      <c r="JHD182"/>
      <c r="JHE182"/>
      <c r="JHF182"/>
      <c r="JHG182"/>
      <c r="JHH182"/>
      <c r="JHI182"/>
      <c r="JHJ182"/>
      <c r="JHK182"/>
      <c r="JHL182"/>
      <c r="JHM182"/>
      <c r="JHN182"/>
      <c r="JHO182"/>
      <c r="JHP182"/>
      <c r="JHQ182"/>
      <c r="JHR182"/>
      <c r="JHS182"/>
      <c r="JHT182"/>
      <c r="JHU182"/>
      <c r="JHV182"/>
      <c r="JHW182"/>
      <c r="JHX182"/>
      <c r="JHY182"/>
      <c r="JHZ182"/>
      <c r="JIA182"/>
      <c r="JIB182"/>
      <c r="JIC182"/>
      <c r="JID182"/>
      <c r="JIE182"/>
      <c r="JIF182"/>
      <c r="JIG182"/>
      <c r="JIH182"/>
      <c r="JII182"/>
      <c r="JIJ182"/>
      <c r="JIK182"/>
      <c r="JIL182"/>
      <c r="JIM182"/>
      <c r="JIN182"/>
      <c r="JIO182"/>
      <c r="JIP182"/>
      <c r="JIQ182"/>
      <c r="JIR182"/>
      <c r="JIS182"/>
      <c r="JIT182"/>
      <c r="JIU182"/>
      <c r="JIV182"/>
      <c r="JIW182"/>
      <c r="JIX182"/>
      <c r="JIY182"/>
      <c r="JIZ182"/>
      <c r="JJA182"/>
      <c r="JJB182"/>
      <c r="JJC182"/>
      <c r="JJD182"/>
      <c r="JJE182"/>
      <c r="JJF182"/>
      <c r="JJG182"/>
      <c r="JJH182"/>
      <c r="JJI182"/>
      <c r="JJJ182"/>
      <c r="JJK182"/>
      <c r="JJL182"/>
      <c r="JJM182"/>
      <c r="JJN182"/>
      <c r="JJO182"/>
      <c r="JJP182"/>
      <c r="JJQ182"/>
      <c r="JJR182"/>
      <c r="JJS182"/>
      <c r="JJT182"/>
      <c r="JJU182"/>
      <c r="JJV182"/>
      <c r="JJW182"/>
      <c r="JJX182"/>
      <c r="JJY182"/>
      <c r="JJZ182"/>
      <c r="JKA182"/>
      <c r="JKB182"/>
      <c r="JKC182"/>
      <c r="JKD182"/>
      <c r="JKE182"/>
      <c r="JKF182"/>
      <c r="JKG182"/>
      <c r="JKH182"/>
      <c r="JKI182"/>
      <c r="JKJ182"/>
      <c r="JKK182"/>
      <c r="JKL182"/>
      <c r="JKM182"/>
      <c r="JKN182"/>
      <c r="JKO182"/>
      <c r="JKP182"/>
      <c r="JKQ182"/>
      <c r="JKR182"/>
      <c r="JKS182"/>
      <c r="JKT182"/>
      <c r="JKU182"/>
      <c r="JKV182"/>
      <c r="JKW182"/>
      <c r="JKX182"/>
      <c r="JKY182"/>
      <c r="JKZ182"/>
      <c r="JLA182"/>
      <c r="JLB182"/>
      <c r="JLC182"/>
      <c r="JLD182"/>
      <c r="JLE182"/>
      <c r="JLF182"/>
      <c r="JLG182"/>
      <c r="JLH182"/>
      <c r="JLI182"/>
      <c r="JLJ182"/>
      <c r="JLK182"/>
      <c r="JLL182"/>
      <c r="JLM182"/>
      <c r="JLN182"/>
      <c r="JLO182"/>
      <c r="JLP182"/>
      <c r="JLQ182"/>
      <c r="JLR182"/>
      <c r="JLS182"/>
      <c r="JLT182"/>
      <c r="JLU182"/>
      <c r="JLV182"/>
      <c r="JLW182"/>
      <c r="JLX182"/>
      <c r="JLY182"/>
      <c r="JLZ182"/>
      <c r="JMA182"/>
      <c r="JMB182"/>
      <c r="JMC182"/>
      <c r="JMD182"/>
      <c r="JME182"/>
      <c r="JMF182"/>
      <c r="JMG182"/>
      <c r="JMH182"/>
      <c r="JMI182"/>
      <c r="JMJ182"/>
      <c r="JMK182"/>
      <c r="JML182"/>
      <c r="JMM182"/>
      <c r="JMN182"/>
      <c r="JMO182"/>
      <c r="JMP182"/>
      <c r="JMQ182"/>
      <c r="JMR182"/>
      <c r="JMS182"/>
      <c r="JMT182"/>
      <c r="JMU182"/>
      <c r="JMV182"/>
      <c r="JMW182"/>
      <c r="JMX182"/>
      <c r="JMY182"/>
      <c r="JMZ182"/>
      <c r="JNA182"/>
      <c r="JNB182"/>
      <c r="JNC182"/>
      <c r="JND182"/>
      <c r="JNE182"/>
      <c r="JNF182"/>
      <c r="JNG182"/>
      <c r="JNH182"/>
      <c r="JNI182"/>
      <c r="JNJ182"/>
      <c r="JNK182"/>
      <c r="JNL182"/>
      <c r="JNM182"/>
      <c r="JNN182"/>
      <c r="JNO182"/>
      <c r="JNP182"/>
      <c r="JNQ182"/>
      <c r="JNR182"/>
      <c r="JNS182"/>
      <c r="JNT182"/>
      <c r="JNU182"/>
      <c r="JNV182"/>
      <c r="JNW182"/>
      <c r="JNX182"/>
      <c r="JNY182"/>
      <c r="JNZ182"/>
      <c r="JOA182"/>
      <c r="JOB182"/>
      <c r="JOC182"/>
      <c r="JOD182"/>
      <c r="JOE182"/>
      <c r="JOF182"/>
      <c r="JOG182"/>
      <c r="JOH182"/>
      <c r="JOI182"/>
      <c r="JOJ182"/>
      <c r="JOK182"/>
      <c r="JOL182"/>
      <c r="JOM182"/>
      <c r="JON182"/>
      <c r="JOO182"/>
      <c r="JOP182"/>
      <c r="JOQ182"/>
      <c r="JOR182"/>
      <c r="JOS182"/>
      <c r="JOT182"/>
      <c r="JOU182"/>
      <c r="JOV182"/>
      <c r="JOW182"/>
      <c r="JOX182"/>
      <c r="JOY182"/>
      <c r="JOZ182"/>
      <c r="JPA182"/>
      <c r="JPB182"/>
      <c r="JPC182"/>
      <c r="JPD182"/>
      <c r="JPE182"/>
      <c r="JPF182"/>
      <c r="JPG182"/>
      <c r="JPH182"/>
      <c r="JPI182"/>
      <c r="JPJ182"/>
      <c r="JPK182"/>
      <c r="JPL182"/>
      <c r="JPM182"/>
      <c r="JPN182"/>
      <c r="JPO182"/>
      <c r="JPP182"/>
      <c r="JPQ182"/>
      <c r="JPR182"/>
      <c r="JPS182"/>
      <c r="JPT182"/>
      <c r="JPU182"/>
      <c r="JPV182"/>
      <c r="JPW182"/>
      <c r="JPX182"/>
      <c r="JPY182"/>
      <c r="JPZ182"/>
      <c r="JQA182"/>
      <c r="JQB182"/>
      <c r="JQC182"/>
      <c r="JQD182"/>
      <c r="JQE182"/>
      <c r="JQF182"/>
      <c r="JQG182"/>
      <c r="JQH182"/>
      <c r="JQI182"/>
      <c r="JQJ182"/>
      <c r="JQK182"/>
      <c r="JQL182"/>
      <c r="JQM182"/>
      <c r="JQN182"/>
      <c r="JQO182"/>
      <c r="JQP182"/>
      <c r="JQQ182"/>
      <c r="JQR182"/>
      <c r="JQS182"/>
      <c r="JQT182"/>
      <c r="JQU182"/>
      <c r="JQV182"/>
      <c r="JQW182"/>
      <c r="JQX182"/>
      <c r="JQY182"/>
      <c r="JQZ182"/>
      <c r="JRA182"/>
      <c r="JRB182"/>
      <c r="JRC182"/>
      <c r="JRD182"/>
      <c r="JRE182"/>
      <c r="JRF182"/>
      <c r="JRG182"/>
      <c r="JRH182"/>
      <c r="JRI182"/>
      <c r="JRJ182"/>
      <c r="JRK182"/>
      <c r="JRL182"/>
      <c r="JRM182"/>
      <c r="JRN182"/>
      <c r="JRO182"/>
      <c r="JRP182"/>
      <c r="JRQ182"/>
      <c r="JRR182"/>
      <c r="JRS182"/>
      <c r="JRT182"/>
      <c r="JRU182"/>
      <c r="JRV182"/>
      <c r="JRW182"/>
      <c r="JRX182"/>
      <c r="JRY182"/>
      <c r="JRZ182"/>
      <c r="JSA182"/>
      <c r="JSB182"/>
      <c r="JSC182"/>
      <c r="JSD182"/>
      <c r="JSE182"/>
      <c r="JSF182"/>
      <c r="JSG182"/>
      <c r="JSH182"/>
      <c r="JSI182"/>
      <c r="JSJ182"/>
      <c r="JSK182"/>
      <c r="JSL182"/>
      <c r="JSM182"/>
      <c r="JSN182"/>
      <c r="JSO182"/>
      <c r="JSP182"/>
      <c r="JSQ182"/>
      <c r="JSR182"/>
      <c r="JSS182"/>
      <c r="JST182"/>
      <c r="JSU182"/>
      <c r="JSV182"/>
      <c r="JSW182"/>
      <c r="JSX182"/>
      <c r="JSY182"/>
      <c r="JSZ182"/>
      <c r="JTA182"/>
      <c r="JTB182"/>
      <c r="JTC182"/>
      <c r="JTD182"/>
      <c r="JTE182"/>
      <c r="JTF182"/>
      <c r="JTG182"/>
      <c r="JTH182"/>
      <c r="JTI182"/>
      <c r="JTJ182"/>
      <c r="JTK182"/>
      <c r="JTL182"/>
      <c r="JTM182"/>
      <c r="JTN182"/>
      <c r="JTO182"/>
      <c r="JTP182"/>
      <c r="JTQ182"/>
      <c r="JTR182"/>
      <c r="JTS182"/>
      <c r="JTT182"/>
      <c r="JTU182"/>
      <c r="JTV182"/>
      <c r="JTW182"/>
      <c r="JTX182"/>
      <c r="JTY182"/>
      <c r="JTZ182"/>
      <c r="JUA182"/>
      <c r="JUB182"/>
      <c r="JUC182"/>
      <c r="JUD182"/>
      <c r="JUE182"/>
      <c r="JUF182"/>
      <c r="JUG182"/>
      <c r="JUH182"/>
      <c r="JUI182"/>
      <c r="JUJ182"/>
      <c r="JUK182"/>
      <c r="JUL182"/>
      <c r="JUM182"/>
      <c r="JUN182"/>
      <c r="JUO182"/>
      <c r="JUP182"/>
      <c r="JUQ182"/>
      <c r="JUR182"/>
      <c r="JUS182"/>
      <c r="JUT182"/>
      <c r="JUU182"/>
      <c r="JUV182"/>
      <c r="JUW182"/>
      <c r="JUX182"/>
      <c r="JUY182"/>
      <c r="JUZ182"/>
      <c r="JVA182"/>
      <c r="JVB182"/>
      <c r="JVC182"/>
      <c r="JVD182"/>
      <c r="JVE182"/>
      <c r="JVF182"/>
      <c r="JVG182"/>
      <c r="JVH182"/>
      <c r="JVI182"/>
      <c r="JVJ182"/>
      <c r="JVK182"/>
      <c r="JVL182"/>
      <c r="JVM182"/>
      <c r="JVN182"/>
      <c r="JVO182"/>
      <c r="JVP182"/>
      <c r="JVQ182"/>
      <c r="JVR182"/>
      <c r="JVS182"/>
      <c r="JVT182"/>
      <c r="JVU182"/>
      <c r="JVV182"/>
      <c r="JVW182"/>
      <c r="JVX182"/>
      <c r="JVY182"/>
      <c r="JVZ182"/>
      <c r="JWA182"/>
      <c r="JWB182"/>
      <c r="JWC182"/>
      <c r="JWD182"/>
      <c r="JWE182"/>
      <c r="JWF182"/>
      <c r="JWG182"/>
      <c r="JWH182"/>
      <c r="JWI182"/>
      <c r="JWJ182"/>
      <c r="JWK182"/>
      <c r="JWL182"/>
      <c r="JWM182"/>
      <c r="JWN182"/>
      <c r="JWO182"/>
      <c r="JWP182"/>
      <c r="JWQ182"/>
      <c r="JWR182"/>
      <c r="JWS182"/>
      <c r="JWT182"/>
      <c r="JWU182"/>
      <c r="JWV182"/>
      <c r="JWW182"/>
      <c r="JWX182"/>
      <c r="JWY182"/>
      <c r="JWZ182"/>
      <c r="JXA182"/>
      <c r="JXB182"/>
      <c r="JXC182"/>
      <c r="JXD182"/>
      <c r="JXE182"/>
      <c r="JXF182"/>
      <c r="JXG182"/>
      <c r="JXH182"/>
      <c r="JXI182"/>
      <c r="JXJ182"/>
      <c r="JXK182"/>
      <c r="JXL182"/>
      <c r="JXM182"/>
      <c r="JXN182"/>
      <c r="JXO182"/>
      <c r="JXP182"/>
      <c r="JXQ182"/>
      <c r="JXR182"/>
      <c r="JXS182"/>
      <c r="JXT182"/>
      <c r="JXU182"/>
      <c r="JXV182"/>
      <c r="JXW182"/>
      <c r="JXX182"/>
      <c r="JXY182"/>
      <c r="JXZ182"/>
      <c r="JYA182"/>
      <c r="JYB182"/>
      <c r="JYC182"/>
      <c r="JYD182"/>
      <c r="JYE182"/>
      <c r="JYF182"/>
      <c r="JYG182"/>
      <c r="JYH182"/>
      <c r="JYI182"/>
      <c r="JYJ182"/>
      <c r="JYK182"/>
      <c r="JYL182"/>
      <c r="JYM182"/>
      <c r="JYN182"/>
      <c r="JYO182"/>
      <c r="JYP182"/>
      <c r="JYQ182"/>
      <c r="JYR182"/>
      <c r="JYS182"/>
      <c r="JYT182"/>
      <c r="JYU182"/>
      <c r="JYV182"/>
      <c r="JYW182"/>
      <c r="JYX182"/>
      <c r="JYY182"/>
      <c r="JYZ182"/>
      <c r="JZA182"/>
      <c r="JZB182"/>
      <c r="JZC182"/>
      <c r="JZD182"/>
      <c r="JZE182"/>
      <c r="JZF182"/>
      <c r="JZG182"/>
      <c r="JZH182"/>
      <c r="JZI182"/>
      <c r="JZJ182"/>
      <c r="JZK182"/>
      <c r="JZL182"/>
      <c r="JZM182"/>
      <c r="JZN182"/>
      <c r="JZO182"/>
      <c r="JZP182"/>
      <c r="JZQ182"/>
      <c r="JZR182"/>
      <c r="JZS182"/>
      <c r="JZT182"/>
      <c r="JZU182"/>
      <c r="JZV182"/>
      <c r="JZW182"/>
      <c r="JZX182"/>
      <c r="JZY182"/>
      <c r="JZZ182"/>
      <c r="KAA182"/>
      <c r="KAB182"/>
      <c r="KAC182"/>
      <c r="KAD182"/>
      <c r="KAE182"/>
      <c r="KAF182"/>
      <c r="KAG182"/>
      <c r="KAH182"/>
      <c r="KAI182"/>
      <c r="KAJ182"/>
      <c r="KAK182"/>
      <c r="KAL182"/>
      <c r="KAM182"/>
      <c r="KAN182"/>
      <c r="KAO182"/>
      <c r="KAP182"/>
      <c r="KAQ182"/>
      <c r="KAR182"/>
      <c r="KAS182"/>
      <c r="KAT182"/>
      <c r="KAU182"/>
      <c r="KAV182"/>
      <c r="KAW182"/>
      <c r="KAX182"/>
      <c r="KAY182"/>
      <c r="KAZ182"/>
      <c r="KBA182"/>
      <c r="KBB182"/>
      <c r="KBC182"/>
      <c r="KBD182"/>
      <c r="KBE182"/>
      <c r="KBF182"/>
      <c r="KBG182"/>
      <c r="KBH182"/>
      <c r="KBI182"/>
      <c r="KBJ182"/>
      <c r="KBK182"/>
      <c r="KBL182"/>
      <c r="KBM182"/>
      <c r="KBN182"/>
      <c r="KBO182"/>
      <c r="KBP182"/>
      <c r="KBQ182"/>
      <c r="KBR182"/>
      <c r="KBS182"/>
      <c r="KBT182"/>
      <c r="KBU182"/>
      <c r="KBV182"/>
      <c r="KBW182"/>
      <c r="KBX182"/>
      <c r="KBY182"/>
      <c r="KBZ182"/>
      <c r="KCA182"/>
      <c r="KCB182"/>
      <c r="KCC182"/>
      <c r="KCD182"/>
      <c r="KCE182"/>
      <c r="KCF182"/>
      <c r="KCG182"/>
      <c r="KCH182"/>
      <c r="KCI182"/>
      <c r="KCJ182"/>
      <c r="KCK182"/>
      <c r="KCL182"/>
      <c r="KCM182"/>
      <c r="KCN182"/>
      <c r="KCO182"/>
      <c r="KCP182"/>
      <c r="KCQ182"/>
      <c r="KCR182"/>
      <c r="KCS182"/>
      <c r="KCT182"/>
      <c r="KCU182"/>
      <c r="KCV182"/>
      <c r="KCW182"/>
      <c r="KCX182"/>
      <c r="KCY182"/>
      <c r="KCZ182"/>
      <c r="KDA182"/>
      <c r="KDB182"/>
      <c r="KDC182"/>
      <c r="KDD182"/>
      <c r="KDE182"/>
      <c r="KDF182"/>
      <c r="KDG182"/>
      <c r="KDH182"/>
      <c r="KDI182"/>
      <c r="KDJ182"/>
      <c r="KDK182"/>
      <c r="KDL182"/>
      <c r="KDM182"/>
      <c r="KDN182"/>
      <c r="KDO182"/>
      <c r="KDP182"/>
      <c r="KDQ182"/>
      <c r="KDR182"/>
      <c r="KDS182"/>
      <c r="KDT182"/>
      <c r="KDU182"/>
      <c r="KDV182"/>
      <c r="KDW182"/>
      <c r="KDX182"/>
      <c r="KDY182"/>
      <c r="KDZ182"/>
      <c r="KEA182"/>
      <c r="KEB182"/>
      <c r="KEC182"/>
      <c r="KED182"/>
      <c r="KEE182"/>
      <c r="KEF182"/>
      <c r="KEG182"/>
      <c r="KEH182"/>
      <c r="KEI182"/>
      <c r="KEJ182"/>
      <c r="KEK182"/>
      <c r="KEL182"/>
      <c r="KEM182"/>
      <c r="KEN182"/>
      <c r="KEO182"/>
      <c r="KEP182"/>
      <c r="KEQ182"/>
      <c r="KER182"/>
      <c r="KES182"/>
      <c r="KET182"/>
      <c r="KEU182"/>
      <c r="KEV182"/>
      <c r="KEW182"/>
      <c r="KEX182"/>
      <c r="KEY182"/>
      <c r="KEZ182"/>
      <c r="KFA182"/>
      <c r="KFB182"/>
      <c r="KFC182"/>
      <c r="KFD182"/>
      <c r="KFE182"/>
      <c r="KFF182"/>
      <c r="KFG182"/>
      <c r="KFH182"/>
      <c r="KFI182"/>
      <c r="KFJ182"/>
      <c r="KFK182"/>
      <c r="KFL182"/>
      <c r="KFM182"/>
      <c r="KFN182"/>
      <c r="KFO182"/>
      <c r="KFP182"/>
      <c r="KFQ182"/>
      <c r="KFR182"/>
      <c r="KFS182"/>
      <c r="KFT182"/>
      <c r="KFU182"/>
      <c r="KFV182"/>
      <c r="KFW182"/>
      <c r="KFX182"/>
      <c r="KFY182"/>
      <c r="KFZ182"/>
      <c r="KGA182"/>
      <c r="KGB182"/>
      <c r="KGC182"/>
      <c r="KGD182"/>
      <c r="KGE182"/>
      <c r="KGF182"/>
      <c r="KGG182"/>
      <c r="KGH182"/>
      <c r="KGI182"/>
      <c r="KGJ182"/>
      <c r="KGK182"/>
      <c r="KGL182"/>
      <c r="KGM182"/>
      <c r="KGN182"/>
      <c r="KGO182"/>
      <c r="KGP182"/>
      <c r="KGQ182"/>
      <c r="KGR182"/>
      <c r="KGS182"/>
      <c r="KGT182"/>
      <c r="KGU182"/>
      <c r="KGV182"/>
      <c r="KGW182"/>
      <c r="KGX182"/>
      <c r="KGY182"/>
      <c r="KGZ182"/>
      <c r="KHA182"/>
      <c r="KHB182"/>
      <c r="KHC182"/>
      <c r="KHD182"/>
      <c r="KHE182"/>
      <c r="KHF182"/>
      <c r="KHG182"/>
      <c r="KHH182"/>
      <c r="KHI182"/>
      <c r="KHJ182"/>
      <c r="KHK182"/>
      <c r="KHL182"/>
      <c r="KHM182"/>
      <c r="KHN182"/>
      <c r="KHO182"/>
      <c r="KHP182"/>
      <c r="KHQ182"/>
      <c r="KHR182"/>
      <c r="KHS182"/>
      <c r="KHT182"/>
      <c r="KHU182"/>
      <c r="KHV182"/>
      <c r="KHW182"/>
      <c r="KHX182"/>
      <c r="KHY182"/>
      <c r="KHZ182"/>
      <c r="KIA182"/>
      <c r="KIB182"/>
      <c r="KIC182"/>
      <c r="KID182"/>
      <c r="KIE182"/>
      <c r="KIF182"/>
      <c r="KIG182"/>
      <c r="KIH182"/>
      <c r="KII182"/>
      <c r="KIJ182"/>
      <c r="KIK182"/>
      <c r="KIL182"/>
      <c r="KIM182"/>
      <c r="KIN182"/>
      <c r="KIO182"/>
      <c r="KIP182"/>
      <c r="KIQ182"/>
      <c r="KIR182"/>
      <c r="KIS182"/>
      <c r="KIT182"/>
      <c r="KIU182"/>
      <c r="KIV182"/>
      <c r="KIW182"/>
      <c r="KIX182"/>
      <c r="KIY182"/>
      <c r="KIZ182"/>
      <c r="KJA182"/>
      <c r="KJB182"/>
      <c r="KJC182"/>
      <c r="KJD182"/>
      <c r="KJE182"/>
      <c r="KJF182"/>
      <c r="KJG182"/>
      <c r="KJH182"/>
      <c r="KJI182"/>
      <c r="KJJ182"/>
      <c r="KJK182"/>
      <c r="KJL182"/>
      <c r="KJM182"/>
      <c r="KJN182"/>
      <c r="KJO182"/>
      <c r="KJP182"/>
      <c r="KJQ182"/>
      <c r="KJR182"/>
      <c r="KJS182"/>
      <c r="KJT182"/>
      <c r="KJU182"/>
      <c r="KJV182"/>
      <c r="KJW182"/>
      <c r="KJX182"/>
      <c r="KJY182"/>
      <c r="KJZ182"/>
      <c r="KKA182"/>
      <c r="KKB182"/>
      <c r="KKC182"/>
      <c r="KKD182"/>
      <c r="KKE182"/>
      <c r="KKF182"/>
      <c r="KKG182"/>
      <c r="KKH182"/>
      <c r="KKI182"/>
      <c r="KKJ182"/>
      <c r="KKK182"/>
      <c r="KKL182"/>
      <c r="KKM182"/>
      <c r="KKN182"/>
      <c r="KKO182"/>
      <c r="KKP182"/>
      <c r="KKQ182"/>
      <c r="KKR182"/>
      <c r="KKS182"/>
      <c r="KKT182"/>
      <c r="KKU182"/>
      <c r="KKV182"/>
      <c r="KKW182"/>
      <c r="KKX182"/>
      <c r="KKY182"/>
      <c r="KKZ182"/>
      <c r="KLA182"/>
      <c r="KLB182"/>
      <c r="KLC182"/>
      <c r="KLD182"/>
      <c r="KLE182"/>
      <c r="KLF182"/>
      <c r="KLG182"/>
      <c r="KLH182"/>
      <c r="KLI182"/>
      <c r="KLJ182"/>
      <c r="KLK182"/>
      <c r="KLL182"/>
      <c r="KLM182"/>
      <c r="KLN182"/>
      <c r="KLO182"/>
      <c r="KLP182"/>
      <c r="KLQ182"/>
      <c r="KLR182"/>
      <c r="KLS182"/>
      <c r="KLT182"/>
      <c r="KLU182"/>
      <c r="KLV182"/>
      <c r="KLW182"/>
      <c r="KLX182"/>
      <c r="KLY182"/>
      <c r="KLZ182"/>
      <c r="KMA182"/>
      <c r="KMB182"/>
      <c r="KMC182"/>
      <c r="KMD182"/>
      <c r="KME182"/>
      <c r="KMF182"/>
      <c r="KMG182"/>
      <c r="KMH182"/>
      <c r="KMI182"/>
      <c r="KMJ182"/>
      <c r="KMK182"/>
      <c r="KML182"/>
      <c r="KMM182"/>
      <c r="KMN182"/>
      <c r="KMO182"/>
      <c r="KMP182"/>
      <c r="KMQ182"/>
      <c r="KMR182"/>
      <c r="KMS182"/>
      <c r="KMT182"/>
      <c r="KMU182"/>
      <c r="KMV182"/>
      <c r="KMW182"/>
      <c r="KMX182"/>
      <c r="KMY182"/>
      <c r="KMZ182"/>
      <c r="KNA182"/>
      <c r="KNB182"/>
      <c r="KNC182"/>
      <c r="KND182"/>
      <c r="KNE182"/>
      <c r="KNF182"/>
      <c r="KNG182"/>
      <c r="KNH182"/>
      <c r="KNI182"/>
      <c r="KNJ182"/>
      <c r="KNK182"/>
      <c r="KNL182"/>
      <c r="KNM182"/>
      <c r="KNN182"/>
      <c r="KNO182"/>
      <c r="KNP182"/>
      <c r="KNQ182"/>
      <c r="KNR182"/>
      <c r="KNS182"/>
      <c r="KNT182"/>
      <c r="KNU182"/>
      <c r="KNV182"/>
      <c r="KNW182"/>
      <c r="KNX182"/>
      <c r="KNY182"/>
      <c r="KNZ182"/>
      <c r="KOA182"/>
      <c r="KOB182"/>
      <c r="KOC182"/>
      <c r="KOD182"/>
      <c r="KOE182"/>
      <c r="KOF182"/>
      <c r="KOG182"/>
      <c r="KOH182"/>
      <c r="KOI182"/>
      <c r="KOJ182"/>
      <c r="KOK182"/>
      <c r="KOL182"/>
      <c r="KOM182"/>
      <c r="KON182"/>
      <c r="KOO182"/>
      <c r="KOP182"/>
      <c r="KOQ182"/>
      <c r="KOR182"/>
      <c r="KOS182"/>
      <c r="KOT182"/>
      <c r="KOU182"/>
      <c r="KOV182"/>
      <c r="KOW182"/>
      <c r="KOX182"/>
      <c r="KOY182"/>
      <c r="KOZ182"/>
      <c r="KPA182"/>
      <c r="KPB182"/>
      <c r="KPC182"/>
      <c r="KPD182"/>
      <c r="KPE182"/>
      <c r="KPF182"/>
      <c r="KPG182"/>
      <c r="KPH182"/>
      <c r="KPI182"/>
      <c r="KPJ182"/>
      <c r="KPK182"/>
      <c r="KPL182"/>
      <c r="KPM182"/>
      <c r="KPN182"/>
      <c r="KPO182"/>
      <c r="KPP182"/>
      <c r="KPQ182"/>
      <c r="KPR182"/>
      <c r="KPS182"/>
      <c r="KPT182"/>
      <c r="KPU182"/>
      <c r="KPV182"/>
      <c r="KPW182"/>
      <c r="KPX182"/>
      <c r="KPY182"/>
      <c r="KPZ182"/>
      <c r="KQA182"/>
      <c r="KQB182"/>
      <c r="KQC182"/>
      <c r="KQD182"/>
      <c r="KQE182"/>
      <c r="KQF182"/>
      <c r="KQG182"/>
      <c r="KQH182"/>
      <c r="KQI182"/>
      <c r="KQJ182"/>
      <c r="KQK182"/>
      <c r="KQL182"/>
      <c r="KQM182"/>
      <c r="KQN182"/>
      <c r="KQO182"/>
      <c r="KQP182"/>
      <c r="KQQ182"/>
      <c r="KQR182"/>
      <c r="KQS182"/>
      <c r="KQT182"/>
      <c r="KQU182"/>
      <c r="KQV182"/>
      <c r="KQW182"/>
      <c r="KQX182"/>
      <c r="KQY182"/>
      <c r="KQZ182"/>
      <c r="KRA182"/>
      <c r="KRB182"/>
      <c r="KRC182"/>
      <c r="KRD182"/>
      <c r="KRE182"/>
      <c r="KRF182"/>
      <c r="KRG182"/>
      <c r="KRH182"/>
      <c r="KRI182"/>
      <c r="KRJ182"/>
      <c r="KRK182"/>
      <c r="KRL182"/>
      <c r="KRM182"/>
      <c r="KRN182"/>
      <c r="KRO182"/>
      <c r="KRP182"/>
      <c r="KRQ182"/>
      <c r="KRR182"/>
      <c r="KRS182"/>
      <c r="KRT182"/>
      <c r="KRU182"/>
      <c r="KRV182"/>
      <c r="KRW182"/>
      <c r="KRX182"/>
      <c r="KRY182"/>
      <c r="KRZ182"/>
      <c r="KSA182"/>
      <c r="KSB182"/>
      <c r="KSC182"/>
      <c r="KSD182"/>
      <c r="KSE182"/>
      <c r="KSF182"/>
      <c r="KSG182"/>
      <c r="KSH182"/>
      <c r="KSI182"/>
      <c r="KSJ182"/>
      <c r="KSK182"/>
      <c r="KSL182"/>
      <c r="KSM182"/>
      <c r="KSN182"/>
      <c r="KSO182"/>
      <c r="KSP182"/>
      <c r="KSQ182"/>
      <c r="KSR182"/>
      <c r="KSS182"/>
      <c r="KST182"/>
      <c r="KSU182"/>
      <c r="KSV182"/>
      <c r="KSW182"/>
      <c r="KSX182"/>
      <c r="KSY182"/>
      <c r="KSZ182"/>
      <c r="KTA182"/>
      <c r="KTB182"/>
      <c r="KTC182"/>
      <c r="KTD182"/>
      <c r="KTE182"/>
      <c r="KTF182"/>
      <c r="KTG182"/>
      <c r="KTH182"/>
      <c r="KTI182"/>
      <c r="KTJ182"/>
      <c r="KTK182"/>
      <c r="KTL182"/>
      <c r="KTM182"/>
      <c r="KTN182"/>
      <c r="KTO182"/>
      <c r="KTP182"/>
      <c r="KTQ182"/>
      <c r="KTR182"/>
      <c r="KTS182"/>
      <c r="KTT182"/>
      <c r="KTU182"/>
      <c r="KTV182"/>
      <c r="KTW182"/>
      <c r="KTX182"/>
      <c r="KTY182"/>
      <c r="KTZ182"/>
      <c r="KUA182"/>
      <c r="KUB182"/>
      <c r="KUC182"/>
      <c r="KUD182"/>
      <c r="KUE182"/>
      <c r="KUF182"/>
      <c r="KUG182"/>
      <c r="KUH182"/>
      <c r="KUI182"/>
      <c r="KUJ182"/>
      <c r="KUK182"/>
      <c r="KUL182"/>
      <c r="KUM182"/>
      <c r="KUN182"/>
      <c r="KUO182"/>
      <c r="KUP182"/>
      <c r="KUQ182"/>
      <c r="KUR182"/>
      <c r="KUS182"/>
      <c r="KUT182"/>
      <c r="KUU182"/>
      <c r="KUV182"/>
      <c r="KUW182"/>
      <c r="KUX182"/>
      <c r="KUY182"/>
      <c r="KUZ182"/>
      <c r="KVA182"/>
      <c r="KVB182"/>
      <c r="KVC182"/>
      <c r="KVD182"/>
      <c r="KVE182"/>
      <c r="KVF182"/>
      <c r="KVG182"/>
      <c r="KVH182"/>
      <c r="KVI182"/>
      <c r="KVJ182"/>
      <c r="KVK182"/>
      <c r="KVL182"/>
      <c r="KVM182"/>
      <c r="KVN182"/>
      <c r="KVO182"/>
      <c r="KVP182"/>
      <c r="KVQ182"/>
      <c r="KVR182"/>
      <c r="KVS182"/>
      <c r="KVT182"/>
      <c r="KVU182"/>
      <c r="KVV182"/>
      <c r="KVW182"/>
      <c r="KVX182"/>
      <c r="KVY182"/>
      <c r="KVZ182"/>
      <c r="KWA182"/>
      <c r="KWB182"/>
      <c r="KWC182"/>
      <c r="KWD182"/>
      <c r="KWE182"/>
      <c r="KWF182"/>
      <c r="KWG182"/>
      <c r="KWH182"/>
      <c r="KWI182"/>
      <c r="KWJ182"/>
      <c r="KWK182"/>
      <c r="KWL182"/>
      <c r="KWM182"/>
      <c r="KWN182"/>
      <c r="KWO182"/>
      <c r="KWP182"/>
      <c r="KWQ182"/>
      <c r="KWR182"/>
      <c r="KWS182"/>
      <c r="KWT182"/>
      <c r="KWU182"/>
      <c r="KWV182"/>
      <c r="KWW182"/>
      <c r="KWX182"/>
      <c r="KWY182"/>
      <c r="KWZ182"/>
      <c r="KXA182"/>
      <c r="KXB182"/>
      <c r="KXC182"/>
      <c r="KXD182"/>
      <c r="KXE182"/>
      <c r="KXF182"/>
      <c r="KXG182"/>
      <c r="KXH182"/>
      <c r="KXI182"/>
      <c r="KXJ182"/>
      <c r="KXK182"/>
      <c r="KXL182"/>
      <c r="KXM182"/>
      <c r="KXN182"/>
      <c r="KXO182"/>
      <c r="KXP182"/>
      <c r="KXQ182"/>
      <c r="KXR182"/>
      <c r="KXS182"/>
      <c r="KXT182"/>
      <c r="KXU182"/>
      <c r="KXV182"/>
      <c r="KXW182"/>
      <c r="KXX182"/>
      <c r="KXY182"/>
      <c r="KXZ182"/>
      <c r="KYA182"/>
      <c r="KYB182"/>
      <c r="KYC182"/>
      <c r="KYD182"/>
      <c r="KYE182"/>
      <c r="KYF182"/>
      <c r="KYG182"/>
      <c r="KYH182"/>
      <c r="KYI182"/>
      <c r="KYJ182"/>
      <c r="KYK182"/>
      <c r="KYL182"/>
      <c r="KYM182"/>
      <c r="KYN182"/>
      <c r="KYO182"/>
      <c r="KYP182"/>
      <c r="KYQ182"/>
      <c r="KYR182"/>
      <c r="KYS182"/>
      <c r="KYT182"/>
      <c r="KYU182"/>
      <c r="KYV182"/>
      <c r="KYW182"/>
      <c r="KYX182"/>
      <c r="KYY182"/>
      <c r="KYZ182"/>
      <c r="KZA182"/>
      <c r="KZB182"/>
      <c r="KZC182"/>
      <c r="KZD182"/>
      <c r="KZE182"/>
      <c r="KZF182"/>
      <c r="KZG182"/>
      <c r="KZH182"/>
      <c r="KZI182"/>
      <c r="KZJ182"/>
      <c r="KZK182"/>
      <c r="KZL182"/>
      <c r="KZM182"/>
      <c r="KZN182"/>
      <c r="KZO182"/>
      <c r="KZP182"/>
      <c r="KZQ182"/>
      <c r="KZR182"/>
      <c r="KZS182"/>
      <c r="KZT182"/>
      <c r="KZU182"/>
      <c r="KZV182"/>
      <c r="KZW182"/>
      <c r="KZX182"/>
      <c r="KZY182"/>
      <c r="KZZ182"/>
      <c r="LAA182"/>
      <c r="LAB182"/>
      <c r="LAC182"/>
      <c r="LAD182"/>
      <c r="LAE182"/>
      <c r="LAF182"/>
      <c r="LAG182"/>
      <c r="LAH182"/>
      <c r="LAI182"/>
      <c r="LAJ182"/>
      <c r="LAK182"/>
      <c r="LAL182"/>
      <c r="LAM182"/>
      <c r="LAN182"/>
      <c r="LAO182"/>
      <c r="LAP182"/>
      <c r="LAQ182"/>
      <c r="LAR182"/>
      <c r="LAS182"/>
      <c r="LAT182"/>
      <c r="LAU182"/>
      <c r="LAV182"/>
      <c r="LAW182"/>
      <c r="LAX182"/>
      <c r="LAY182"/>
      <c r="LAZ182"/>
      <c r="LBA182"/>
      <c r="LBB182"/>
      <c r="LBC182"/>
      <c r="LBD182"/>
      <c r="LBE182"/>
      <c r="LBF182"/>
      <c r="LBG182"/>
      <c r="LBH182"/>
      <c r="LBI182"/>
      <c r="LBJ182"/>
      <c r="LBK182"/>
      <c r="LBL182"/>
      <c r="LBM182"/>
      <c r="LBN182"/>
      <c r="LBO182"/>
      <c r="LBP182"/>
      <c r="LBQ182"/>
      <c r="LBR182"/>
      <c r="LBS182"/>
      <c r="LBT182"/>
      <c r="LBU182"/>
      <c r="LBV182"/>
      <c r="LBW182"/>
      <c r="LBX182"/>
      <c r="LBY182"/>
      <c r="LBZ182"/>
      <c r="LCA182"/>
      <c r="LCB182"/>
      <c r="LCC182"/>
      <c r="LCD182"/>
      <c r="LCE182"/>
      <c r="LCF182"/>
      <c r="LCG182"/>
      <c r="LCH182"/>
      <c r="LCI182"/>
      <c r="LCJ182"/>
      <c r="LCK182"/>
      <c r="LCL182"/>
      <c r="LCM182"/>
      <c r="LCN182"/>
      <c r="LCO182"/>
      <c r="LCP182"/>
      <c r="LCQ182"/>
      <c r="LCR182"/>
      <c r="LCS182"/>
      <c r="LCT182"/>
      <c r="LCU182"/>
      <c r="LCV182"/>
      <c r="LCW182"/>
      <c r="LCX182"/>
      <c r="LCY182"/>
      <c r="LCZ182"/>
      <c r="LDA182"/>
      <c r="LDB182"/>
      <c r="LDC182"/>
      <c r="LDD182"/>
      <c r="LDE182"/>
      <c r="LDF182"/>
      <c r="LDG182"/>
      <c r="LDH182"/>
      <c r="LDI182"/>
      <c r="LDJ182"/>
      <c r="LDK182"/>
      <c r="LDL182"/>
      <c r="LDM182"/>
      <c r="LDN182"/>
      <c r="LDO182"/>
      <c r="LDP182"/>
      <c r="LDQ182"/>
      <c r="LDR182"/>
      <c r="LDS182"/>
      <c r="LDT182"/>
      <c r="LDU182"/>
      <c r="LDV182"/>
      <c r="LDW182"/>
      <c r="LDX182"/>
      <c r="LDY182"/>
      <c r="LDZ182"/>
      <c r="LEA182"/>
      <c r="LEB182"/>
      <c r="LEC182"/>
      <c r="LED182"/>
      <c r="LEE182"/>
      <c r="LEF182"/>
      <c r="LEG182"/>
      <c r="LEH182"/>
      <c r="LEI182"/>
      <c r="LEJ182"/>
      <c r="LEK182"/>
      <c r="LEL182"/>
      <c r="LEM182"/>
      <c r="LEN182"/>
      <c r="LEO182"/>
      <c r="LEP182"/>
      <c r="LEQ182"/>
      <c r="LER182"/>
      <c r="LES182"/>
      <c r="LET182"/>
      <c r="LEU182"/>
      <c r="LEV182"/>
      <c r="LEW182"/>
      <c r="LEX182"/>
      <c r="LEY182"/>
      <c r="LEZ182"/>
      <c r="LFA182"/>
      <c r="LFB182"/>
      <c r="LFC182"/>
      <c r="LFD182"/>
      <c r="LFE182"/>
      <c r="LFF182"/>
      <c r="LFG182"/>
      <c r="LFH182"/>
      <c r="LFI182"/>
      <c r="LFJ182"/>
      <c r="LFK182"/>
      <c r="LFL182"/>
      <c r="LFM182"/>
      <c r="LFN182"/>
      <c r="LFO182"/>
      <c r="LFP182"/>
      <c r="LFQ182"/>
      <c r="LFR182"/>
      <c r="LFS182"/>
      <c r="LFT182"/>
      <c r="LFU182"/>
      <c r="LFV182"/>
      <c r="LFW182"/>
      <c r="LFX182"/>
      <c r="LFY182"/>
      <c r="LFZ182"/>
      <c r="LGA182"/>
      <c r="LGB182"/>
      <c r="LGC182"/>
      <c r="LGD182"/>
      <c r="LGE182"/>
      <c r="LGF182"/>
      <c r="LGG182"/>
      <c r="LGH182"/>
      <c r="LGI182"/>
      <c r="LGJ182"/>
      <c r="LGK182"/>
      <c r="LGL182"/>
      <c r="LGM182"/>
      <c r="LGN182"/>
      <c r="LGO182"/>
      <c r="LGP182"/>
      <c r="LGQ182"/>
      <c r="LGR182"/>
      <c r="LGS182"/>
      <c r="LGT182"/>
      <c r="LGU182"/>
      <c r="LGV182"/>
      <c r="LGW182"/>
      <c r="LGX182"/>
      <c r="LGY182"/>
      <c r="LGZ182"/>
      <c r="LHA182"/>
      <c r="LHB182"/>
      <c r="LHC182"/>
      <c r="LHD182"/>
      <c r="LHE182"/>
      <c r="LHF182"/>
      <c r="LHG182"/>
      <c r="LHH182"/>
      <c r="LHI182"/>
      <c r="LHJ182"/>
      <c r="LHK182"/>
      <c r="LHL182"/>
      <c r="LHM182"/>
      <c r="LHN182"/>
      <c r="LHO182"/>
      <c r="LHP182"/>
      <c r="LHQ182"/>
      <c r="LHR182"/>
      <c r="LHS182"/>
      <c r="LHT182"/>
      <c r="LHU182"/>
      <c r="LHV182"/>
      <c r="LHW182"/>
      <c r="LHX182"/>
      <c r="LHY182"/>
      <c r="LHZ182"/>
      <c r="LIA182"/>
      <c r="LIB182"/>
      <c r="LIC182"/>
      <c r="LID182"/>
      <c r="LIE182"/>
      <c r="LIF182"/>
      <c r="LIG182"/>
      <c r="LIH182"/>
      <c r="LII182"/>
      <c r="LIJ182"/>
      <c r="LIK182"/>
      <c r="LIL182"/>
      <c r="LIM182"/>
      <c r="LIN182"/>
      <c r="LIO182"/>
      <c r="LIP182"/>
      <c r="LIQ182"/>
      <c r="LIR182"/>
      <c r="LIS182"/>
      <c r="LIT182"/>
      <c r="LIU182"/>
      <c r="LIV182"/>
      <c r="LIW182"/>
      <c r="LIX182"/>
      <c r="LIY182"/>
      <c r="LIZ182"/>
      <c r="LJA182"/>
      <c r="LJB182"/>
      <c r="LJC182"/>
      <c r="LJD182"/>
      <c r="LJE182"/>
      <c r="LJF182"/>
      <c r="LJG182"/>
      <c r="LJH182"/>
      <c r="LJI182"/>
      <c r="LJJ182"/>
      <c r="LJK182"/>
      <c r="LJL182"/>
      <c r="LJM182"/>
      <c r="LJN182"/>
      <c r="LJO182"/>
      <c r="LJP182"/>
      <c r="LJQ182"/>
      <c r="LJR182"/>
      <c r="LJS182"/>
      <c r="LJT182"/>
      <c r="LJU182"/>
      <c r="LJV182"/>
      <c r="LJW182"/>
      <c r="LJX182"/>
      <c r="LJY182"/>
      <c r="LJZ182"/>
      <c r="LKA182"/>
      <c r="LKB182"/>
      <c r="LKC182"/>
      <c r="LKD182"/>
      <c r="LKE182"/>
      <c r="LKF182"/>
      <c r="LKG182"/>
      <c r="LKH182"/>
      <c r="LKI182"/>
      <c r="LKJ182"/>
      <c r="LKK182"/>
      <c r="LKL182"/>
      <c r="LKM182"/>
      <c r="LKN182"/>
      <c r="LKO182"/>
      <c r="LKP182"/>
      <c r="LKQ182"/>
      <c r="LKR182"/>
      <c r="LKS182"/>
      <c r="LKT182"/>
      <c r="LKU182"/>
      <c r="LKV182"/>
      <c r="LKW182"/>
      <c r="LKX182"/>
      <c r="LKY182"/>
      <c r="LKZ182"/>
      <c r="LLA182"/>
      <c r="LLB182"/>
      <c r="LLC182"/>
      <c r="LLD182"/>
      <c r="LLE182"/>
      <c r="LLF182"/>
      <c r="LLG182"/>
      <c r="LLH182"/>
      <c r="LLI182"/>
      <c r="LLJ182"/>
      <c r="LLK182"/>
      <c r="LLL182"/>
      <c r="LLM182"/>
      <c r="LLN182"/>
      <c r="LLO182"/>
      <c r="LLP182"/>
      <c r="LLQ182"/>
      <c r="LLR182"/>
      <c r="LLS182"/>
      <c r="LLT182"/>
      <c r="LLU182"/>
      <c r="LLV182"/>
      <c r="LLW182"/>
      <c r="LLX182"/>
      <c r="LLY182"/>
      <c r="LLZ182"/>
      <c r="LMA182"/>
      <c r="LMB182"/>
      <c r="LMC182"/>
      <c r="LMD182"/>
      <c r="LME182"/>
      <c r="LMF182"/>
      <c r="LMG182"/>
      <c r="LMH182"/>
      <c r="LMI182"/>
      <c r="LMJ182"/>
      <c r="LMK182"/>
      <c r="LML182"/>
      <c r="LMM182"/>
      <c r="LMN182"/>
      <c r="LMO182"/>
      <c r="LMP182"/>
      <c r="LMQ182"/>
      <c r="LMR182"/>
      <c r="LMS182"/>
      <c r="LMT182"/>
      <c r="LMU182"/>
      <c r="LMV182"/>
      <c r="LMW182"/>
      <c r="LMX182"/>
      <c r="LMY182"/>
      <c r="LMZ182"/>
      <c r="LNA182"/>
      <c r="LNB182"/>
      <c r="LNC182"/>
      <c r="LND182"/>
      <c r="LNE182"/>
      <c r="LNF182"/>
      <c r="LNG182"/>
      <c r="LNH182"/>
      <c r="LNI182"/>
      <c r="LNJ182"/>
      <c r="LNK182"/>
      <c r="LNL182"/>
      <c r="LNM182"/>
      <c r="LNN182"/>
      <c r="LNO182"/>
      <c r="LNP182"/>
      <c r="LNQ182"/>
      <c r="LNR182"/>
      <c r="LNS182"/>
      <c r="LNT182"/>
      <c r="LNU182"/>
      <c r="LNV182"/>
      <c r="LNW182"/>
      <c r="LNX182"/>
      <c r="LNY182"/>
      <c r="LNZ182"/>
      <c r="LOA182"/>
      <c r="LOB182"/>
      <c r="LOC182"/>
      <c r="LOD182"/>
      <c r="LOE182"/>
      <c r="LOF182"/>
      <c r="LOG182"/>
      <c r="LOH182"/>
      <c r="LOI182"/>
      <c r="LOJ182"/>
      <c r="LOK182"/>
      <c r="LOL182"/>
      <c r="LOM182"/>
      <c r="LON182"/>
      <c r="LOO182"/>
      <c r="LOP182"/>
      <c r="LOQ182"/>
      <c r="LOR182"/>
      <c r="LOS182"/>
      <c r="LOT182"/>
      <c r="LOU182"/>
      <c r="LOV182"/>
      <c r="LOW182"/>
      <c r="LOX182"/>
      <c r="LOY182"/>
      <c r="LOZ182"/>
      <c r="LPA182"/>
      <c r="LPB182"/>
      <c r="LPC182"/>
      <c r="LPD182"/>
      <c r="LPE182"/>
      <c r="LPF182"/>
      <c r="LPG182"/>
      <c r="LPH182"/>
      <c r="LPI182"/>
      <c r="LPJ182"/>
      <c r="LPK182"/>
      <c r="LPL182"/>
      <c r="LPM182"/>
      <c r="LPN182"/>
      <c r="LPO182"/>
      <c r="LPP182"/>
      <c r="LPQ182"/>
      <c r="LPR182"/>
      <c r="LPS182"/>
      <c r="LPT182"/>
      <c r="LPU182"/>
      <c r="LPV182"/>
      <c r="LPW182"/>
      <c r="LPX182"/>
      <c r="LPY182"/>
      <c r="LPZ182"/>
      <c r="LQA182"/>
      <c r="LQB182"/>
      <c r="LQC182"/>
      <c r="LQD182"/>
      <c r="LQE182"/>
      <c r="LQF182"/>
      <c r="LQG182"/>
      <c r="LQH182"/>
      <c r="LQI182"/>
      <c r="LQJ182"/>
      <c r="LQK182"/>
      <c r="LQL182"/>
      <c r="LQM182"/>
      <c r="LQN182"/>
      <c r="LQO182"/>
      <c r="LQP182"/>
      <c r="LQQ182"/>
      <c r="LQR182"/>
      <c r="LQS182"/>
      <c r="LQT182"/>
      <c r="LQU182"/>
      <c r="LQV182"/>
      <c r="LQW182"/>
      <c r="LQX182"/>
      <c r="LQY182"/>
      <c r="LQZ182"/>
      <c r="LRA182"/>
      <c r="LRB182"/>
      <c r="LRC182"/>
      <c r="LRD182"/>
      <c r="LRE182"/>
      <c r="LRF182"/>
      <c r="LRG182"/>
      <c r="LRH182"/>
      <c r="LRI182"/>
      <c r="LRJ182"/>
      <c r="LRK182"/>
      <c r="LRL182"/>
      <c r="LRM182"/>
      <c r="LRN182"/>
      <c r="LRO182"/>
      <c r="LRP182"/>
      <c r="LRQ182"/>
      <c r="LRR182"/>
      <c r="LRS182"/>
      <c r="LRT182"/>
      <c r="LRU182"/>
      <c r="LRV182"/>
      <c r="LRW182"/>
      <c r="LRX182"/>
      <c r="LRY182"/>
      <c r="LRZ182"/>
      <c r="LSA182"/>
      <c r="LSB182"/>
      <c r="LSC182"/>
      <c r="LSD182"/>
      <c r="LSE182"/>
      <c r="LSF182"/>
      <c r="LSG182"/>
      <c r="LSH182"/>
      <c r="LSI182"/>
      <c r="LSJ182"/>
      <c r="LSK182"/>
      <c r="LSL182"/>
      <c r="LSM182"/>
      <c r="LSN182"/>
      <c r="LSO182"/>
      <c r="LSP182"/>
      <c r="LSQ182"/>
      <c r="LSR182"/>
      <c r="LSS182"/>
      <c r="LST182"/>
      <c r="LSU182"/>
      <c r="LSV182"/>
      <c r="LSW182"/>
      <c r="LSX182"/>
      <c r="LSY182"/>
      <c r="LSZ182"/>
      <c r="LTA182"/>
      <c r="LTB182"/>
      <c r="LTC182"/>
      <c r="LTD182"/>
      <c r="LTE182"/>
      <c r="LTF182"/>
      <c r="LTG182"/>
      <c r="LTH182"/>
      <c r="LTI182"/>
      <c r="LTJ182"/>
      <c r="LTK182"/>
      <c r="LTL182"/>
      <c r="LTM182"/>
      <c r="LTN182"/>
      <c r="LTO182"/>
      <c r="LTP182"/>
      <c r="LTQ182"/>
      <c r="LTR182"/>
      <c r="LTS182"/>
      <c r="LTT182"/>
      <c r="LTU182"/>
      <c r="LTV182"/>
      <c r="LTW182"/>
      <c r="LTX182"/>
      <c r="LTY182"/>
      <c r="LTZ182"/>
      <c r="LUA182"/>
      <c r="LUB182"/>
      <c r="LUC182"/>
      <c r="LUD182"/>
      <c r="LUE182"/>
      <c r="LUF182"/>
      <c r="LUG182"/>
      <c r="LUH182"/>
      <c r="LUI182"/>
      <c r="LUJ182"/>
      <c r="LUK182"/>
      <c r="LUL182"/>
      <c r="LUM182"/>
      <c r="LUN182"/>
      <c r="LUO182"/>
      <c r="LUP182"/>
      <c r="LUQ182"/>
      <c r="LUR182"/>
      <c r="LUS182"/>
      <c r="LUT182"/>
      <c r="LUU182"/>
      <c r="LUV182"/>
      <c r="LUW182"/>
      <c r="LUX182"/>
      <c r="LUY182"/>
      <c r="LUZ182"/>
      <c r="LVA182"/>
      <c r="LVB182"/>
      <c r="LVC182"/>
      <c r="LVD182"/>
      <c r="LVE182"/>
      <c r="LVF182"/>
      <c r="LVG182"/>
      <c r="LVH182"/>
      <c r="LVI182"/>
      <c r="LVJ182"/>
      <c r="LVK182"/>
      <c r="LVL182"/>
      <c r="LVM182"/>
      <c r="LVN182"/>
      <c r="LVO182"/>
      <c r="LVP182"/>
      <c r="LVQ182"/>
      <c r="LVR182"/>
      <c r="LVS182"/>
      <c r="LVT182"/>
      <c r="LVU182"/>
      <c r="LVV182"/>
      <c r="LVW182"/>
      <c r="LVX182"/>
      <c r="LVY182"/>
      <c r="LVZ182"/>
      <c r="LWA182"/>
      <c r="LWB182"/>
      <c r="LWC182"/>
      <c r="LWD182"/>
      <c r="LWE182"/>
      <c r="LWF182"/>
      <c r="LWG182"/>
      <c r="LWH182"/>
      <c r="LWI182"/>
      <c r="LWJ182"/>
      <c r="LWK182"/>
      <c r="LWL182"/>
      <c r="LWM182"/>
      <c r="LWN182"/>
      <c r="LWO182"/>
      <c r="LWP182"/>
      <c r="LWQ182"/>
      <c r="LWR182"/>
      <c r="LWS182"/>
      <c r="LWT182"/>
      <c r="LWU182"/>
      <c r="LWV182"/>
      <c r="LWW182"/>
      <c r="LWX182"/>
      <c r="LWY182"/>
      <c r="LWZ182"/>
      <c r="LXA182"/>
      <c r="LXB182"/>
      <c r="LXC182"/>
      <c r="LXD182"/>
      <c r="LXE182"/>
      <c r="LXF182"/>
      <c r="LXG182"/>
      <c r="LXH182"/>
      <c r="LXI182"/>
      <c r="LXJ182"/>
      <c r="LXK182"/>
      <c r="LXL182"/>
      <c r="LXM182"/>
      <c r="LXN182"/>
      <c r="LXO182"/>
      <c r="LXP182"/>
      <c r="LXQ182"/>
      <c r="LXR182"/>
      <c r="LXS182"/>
      <c r="LXT182"/>
      <c r="LXU182"/>
      <c r="LXV182"/>
      <c r="LXW182"/>
      <c r="LXX182"/>
      <c r="LXY182"/>
      <c r="LXZ182"/>
      <c r="LYA182"/>
      <c r="LYB182"/>
      <c r="LYC182"/>
      <c r="LYD182"/>
      <c r="LYE182"/>
      <c r="LYF182"/>
      <c r="LYG182"/>
      <c r="LYH182"/>
      <c r="LYI182"/>
      <c r="LYJ182"/>
      <c r="LYK182"/>
      <c r="LYL182"/>
      <c r="LYM182"/>
      <c r="LYN182"/>
      <c r="LYO182"/>
      <c r="LYP182"/>
      <c r="LYQ182"/>
      <c r="LYR182"/>
      <c r="LYS182"/>
      <c r="LYT182"/>
      <c r="LYU182"/>
      <c r="LYV182"/>
      <c r="LYW182"/>
      <c r="LYX182"/>
      <c r="LYY182"/>
      <c r="LYZ182"/>
      <c r="LZA182"/>
      <c r="LZB182"/>
      <c r="LZC182"/>
      <c r="LZD182"/>
      <c r="LZE182"/>
      <c r="LZF182"/>
      <c r="LZG182"/>
      <c r="LZH182"/>
      <c r="LZI182"/>
      <c r="LZJ182"/>
      <c r="LZK182"/>
      <c r="LZL182"/>
      <c r="LZM182"/>
      <c r="LZN182"/>
      <c r="LZO182"/>
      <c r="LZP182"/>
      <c r="LZQ182"/>
      <c r="LZR182"/>
      <c r="LZS182"/>
      <c r="LZT182"/>
      <c r="LZU182"/>
      <c r="LZV182"/>
      <c r="LZW182"/>
      <c r="LZX182"/>
      <c r="LZY182"/>
      <c r="LZZ182"/>
      <c r="MAA182"/>
      <c r="MAB182"/>
      <c r="MAC182"/>
      <c r="MAD182"/>
      <c r="MAE182"/>
      <c r="MAF182"/>
      <c r="MAG182"/>
      <c r="MAH182"/>
      <c r="MAI182"/>
      <c r="MAJ182"/>
      <c r="MAK182"/>
      <c r="MAL182"/>
      <c r="MAM182"/>
      <c r="MAN182"/>
      <c r="MAO182"/>
      <c r="MAP182"/>
      <c r="MAQ182"/>
      <c r="MAR182"/>
      <c r="MAS182"/>
      <c r="MAT182"/>
      <c r="MAU182"/>
      <c r="MAV182"/>
      <c r="MAW182"/>
      <c r="MAX182"/>
      <c r="MAY182"/>
      <c r="MAZ182"/>
      <c r="MBA182"/>
      <c r="MBB182"/>
      <c r="MBC182"/>
      <c r="MBD182"/>
      <c r="MBE182"/>
      <c r="MBF182"/>
      <c r="MBG182"/>
      <c r="MBH182"/>
      <c r="MBI182"/>
      <c r="MBJ182"/>
      <c r="MBK182"/>
      <c r="MBL182"/>
      <c r="MBM182"/>
      <c r="MBN182"/>
      <c r="MBO182"/>
      <c r="MBP182"/>
      <c r="MBQ182"/>
      <c r="MBR182"/>
      <c r="MBS182"/>
      <c r="MBT182"/>
      <c r="MBU182"/>
      <c r="MBV182"/>
      <c r="MBW182"/>
      <c r="MBX182"/>
      <c r="MBY182"/>
      <c r="MBZ182"/>
      <c r="MCA182"/>
      <c r="MCB182"/>
      <c r="MCC182"/>
      <c r="MCD182"/>
      <c r="MCE182"/>
      <c r="MCF182"/>
      <c r="MCG182"/>
      <c r="MCH182"/>
      <c r="MCI182"/>
      <c r="MCJ182"/>
      <c r="MCK182"/>
      <c r="MCL182"/>
      <c r="MCM182"/>
      <c r="MCN182"/>
      <c r="MCO182"/>
      <c r="MCP182"/>
      <c r="MCQ182"/>
      <c r="MCR182"/>
      <c r="MCS182"/>
      <c r="MCT182"/>
      <c r="MCU182"/>
      <c r="MCV182"/>
      <c r="MCW182"/>
      <c r="MCX182"/>
      <c r="MCY182"/>
      <c r="MCZ182"/>
      <c r="MDA182"/>
      <c r="MDB182"/>
      <c r="MDC182"/>
      <c r="MDD182"/>
      <c r="MDE182"/>
      <c r="MDF182"/>
      <c r="MDG182"/>
      <c r="MDH182"/>
      <c r="MDI182"/>
      <c r="MDJ182"/>
      <c r="MDK182"/>
      <c r="MDL182"/>
      <c r="MDM182"/>
      <c r="MDN182"/>
      <c r="MDO182"/>
      <c r="MDP182"/>
      <c r="MDQ182"/>
      <c r="MDR182"/>
      <c r="MDS182"/>
      <c r="MDT182"/>
      <c r="MDU182"/>
      <c r="MDV182"/>
      <c r="MDW182"/>
      <c r="MDX182"/>
      <c r="MDY182"/>
      <c r="MDZ182"/>
      <c r="MEA182"/>
      <c r="MEB182"/>
      <c r="MEC182"/>
      <c r="MED182"/>
      <c r="MEE182"/>
      <c r="MEF182"/>
      <c r="MEG182"/>
      <c r="MEH182"/>
      <c r="MEI182"/>
      <c r="MEJ182"/>
      <c r="MEK182"/>
      <c r="MEL182"/>
      <c r="MEM182"/>
      <c r="MEN182"/>
      <c r="MEO182"/>
      <c r="MEP182"/>
      <c r="MEQ182"/>
      <c r="MER182"/>
      <c r="MES182"/>
      <c r="MET182"/>
      <c r="MEU182"/>
      <c r="MEV182"/>
      <c r="MEW182"/>
      <c r="MEX182"/>
      <c r="MEY182"/>
      <c r="MEZ182"/>
      <c r="MFA182"/>
      <c r="MFB182"/>
      <c r="MFC182"/>
      <c r="MFD182"/>
      <c r="MFE182"/>
      <c r="MFF182"/>
      <c r="MFG182"/>
      <c r="MFH182"/>
      <c r="MFI182"/>
      <c r="MFJ182"/>
      <c r="MFK182"/>
      <c r="MFL182"/>
      <c r="MFM182"/>
      <c r="MFN182"/>
      <c r="MFO182"/>
      <c r="MFP182"/>
      <c r="MFQ182"/>
      <c r="MFR182"/>
      <c r="MFS182"/>
      <c r="MFT182"/>
      <c r="MFU182"/>
      <c r="MFV182"/>
      <c r="MFW182"/>
      <c r="MFX182"/>
      <c r="MFY182"/>
      <c r="MFZ182"/>
      <c r="MGA182"/>
      <c r="MGB182"/>
      <c r="MGC182"/>
      <c r="MGD182"/>
      <c r="MGE182"/>
      <c r="MGF182"/>
      <c r="MGG182"/>
      <c r="MGH182"/>
      <c r="MGI182"/>
      <c r="MGJ182"/>
      <c r="MGK182"/>
      <c r="MGL182"/>
      <c r="MGM182"/>
      <c r="MGN182"/>
      <c r="MGO182"/>
      <c r="MGP182"/>
      <c r="MGQ182"/>
      <c r="MGR182"/>
      <c r="MGS182"/>
      <c r="MGT182"/>
      <c r="MGU182"/>
      <c r="MGV182"/>
      <c r="MGW182"/>
      <c r="MGX182"/>
      <c r="MGY182"/>
      <c r="MGZ182"/>
      <c r="MHA182"/>
      <c r="MHB182"/>
      <c r="MHC182"/>
      <c r="MHD182"/>
      <c r="MHE182"/>
      <c r="MHF182"/>
      <c r="MHG182"/>
      <c r="MHH182"/>
      <c r="MHI182"/>
      <c r="MHJ182"/>
      <c r="MHK182"/>
      <c r="MHL182"/>
      <c r="MHM182"/>
      <c r="MHN182"/>
      <c r="MHO182"/>
      <c r="MHP182"/>
      <c r="MHQ182"/>
      <c r="MHR182"/>
      <c r="MHS182"/>
      <c r="MHT182"/>
      <c r="MHU182"/>
      <c r="MHV182"/>
      <c r="MHW182"/>
      <c r="MHX182"/>
      <c r="MHY182"/>
      <c r="MHZ182"/>
      <c r="MIA182"/>
      <c r="MIB182"/>
      <c r="MIC182"/>
      <c r="MID182"/>
      <c r="MIE182"/>
      <c r="MIF182"/>
      <c r="MIG182"/>
      <c r="MIH182"/>
      <c r="MII182"/>
      <c r="MIJ182"/>
      <c r="MIK182"/>
      <c r="MIL182"/>
      <c r="MIM182"/>
      <c r="MIN182"/>
      <c r="MIO182"/>
      <c r="MIP182"/>
      <c r="MIQ182"/>
      <c r="MIR182"/>
      <c r="MIS182"/>
      <c r="MIT182"/>
      <c r="MIU182"/>
      <c r="MIV182"/>
      <c r="MIW182"/>
      <c r="MIX182"/>
      <c r="MIY182"/>
      <c r="MIZ182"/>
      <c r="MJA182"/>
      <c r="MJB182"/>
      <c r="MJC182"/>
      <c r="MJD182"/>
      <c r="MJE182"/>
      <c r="MJF182"/>
      <c r="MJG182"/>
      <c r="MJH182"/>
      <c r="MJI182"/>
      <c r="MJJ182"/>
      <c r="MJK182"/>
      <c r="MJL182"/>
      <c r="MJM182"/>
      <c r="MJN182"/>
      <c r="MJO182"/>
      <c r="MJP182"/>
      <c r="MJQ182"/>
      <c r="MJR182"/>
      <c r="MJS182"/>
      <c r="MJT182"/>
      <c r="MJU182"/>
      <c r="MJV182"/>
      <c r="MJW182"/>
      <c r="MJX182"/>
      <c r="MJY182"/>
      <c r="MJZ182"/>
      <c r="MKA182"/>
      <c r="MKB182"/>
      <c r="MKC182"/>
      <c r="MKD182"/>
      <c r="MKE182"/>
      <c r="MKF182"/>
      <c r="MKG182"/>
      <c r="MKH182"/>
      <c r="MKI182"/>
      <c r="MKJ182"/>
      <c r="MKK182"/>
      <c r="MKL182"/>
      <c r="MKM182"/>
      <c r="MKN182"/>
      <c r="MKO182"/>
      <c r="MKP182"/>
      <c r="MKQ182"/>
      <c r="MKR182"/>
      <c r="MKS182"/>
      <c r="MKT182"/>
      <c r="MKU182"/>
      <c r="MKV182"/>
      <c r="MKW182"/>
      <c r="MKX182"/>
      <c r="MKY182"/>
      <c r="MKZ182"/>
      <c r="MLA182"/>
      <c r="MLB182"/>
      <c r="MLC182"/>
      <c r="MLD182"/>
      <c r="MLE182"/>
      <c r="MLF182"/>
      <c r="MLG182"/>
      <c r="MLH182"/>
      <c r="MLI182"/>
      <c r="MLJ182"/>
      <c r="MLK182"/>
      <c r="MLL182"/>
      <c r="MLM182"/>
      <c r="MLN182"/>
      <c r="MLO182"/>
      <c r="MLP182"/>
      <c r="MLQ182"/>
      <c r="MLR182"/>
      <c r="MLS182"/>
      <c r="MLT182"/>
      <c r="MLU182"/>
      <c r="MLV182"/>
      <c r="MLW182"/>
      <c r="MLX182"/>
      <c r="MLY182"/>
      <c r="MLZ182"/>
      <c r="MMA182"/>
      <c r="MMB182"/>
      <c r="MMC182"/>
      <c r="MMD182"/>
      <c r="MME182"/>
      <c r="MMF182"/>
      <c r="MMG182"/>
      <c r="MMH182"/>
      <c r="MMI182"/>
      <c r="MMJ182"/>
      <c r="MMK182"/>
      <c r="MML182"/>
      <c r="MMM182"/>
      <c r="MMN182"/>
      <c r="MMO182"/>
      <c r="MMP182"/>
      <c r="MMQ182"/>
      <c r="MMR182"/>
      <c r="MMS182"/>
      <c r="MMT182"/>
      <c r="MMU182"/>
      <c r="MMV182"/>
      <c r="MMW182"/>
      <c r="MMX182"/>
      <c r="MMY182"/>
      <c r="MMZ182"/>
      <c r="MNA182"/>
      <c r="MNB182"/>
      <c r="MNC182"/>
      <c r="MND182"/>
      <c r="MNE182"/>
      <c r="MNF182"/>
      <c r="MNG182"/>
      <c r="MNH182"/>
      <c r="MNI182"/>
      <c r="MNJ182"/>
      <c r="MNK182"/>
      <c r="MNL182"/>
      <c r="MNM182"/>
      <c r="MNN182"/>
      <c r="MNO182"/>
      <c r="MNP182"/>
      <c r="MNQ182"/>
      <c r="MNR182"/>
      <c r="MNS182"/>
      <c r="MNT182"/>
      <c r="MNU182"/>
      <c r="MNV182"/>
      <c r="MNW182"/>
      <c r="MNX182"/>
      <c r="MNY182"/>
      <c r="MNZ182"/>
      <c r="MOA182"/>
      <c r="MOB182"/>
      <c r="MOC182"/>
      <c r="MOD182"/>
      <c r="MOE182"/>
      <c r="MOF182"/>
      <c r="MOG182"/>
      <c r="MOH182"/>
      <c r="MOI182"/>
      <c r="MOJ182"/>
      <c r="MOK182"/>
      <c r="MOL182"/>
      <c r="MOM182"/>
      <c r="MON182"/>
      <c r="MOO182"/>
      <c r="MOP182"/>
      <c r="MOQ182"/>
      <c r="MOR182"/>
      <c r="MOS182"/>
      <c r="MOT182"/>
      <c r="MOU182"/>
      <c r="MOV182"/>
      <c r="MOW182"/>
      <c r="MOX182"/>
      <c r="MOY182"/>
      <c r="MOZ182"/>
      <c r="MPA182"/>
      <c r="MPB182"/>
      <c r="MPC182"/>
      <c r="MPD182"/>
      <c r="MPE182"/>
      <c r="MPF182"/>
      <c r="MPG182"/>
      <c r="MPH182"/>
      <c r="MPI182"/>
      <c r="MPJ182"/>
      <c r="MPK182"/>
      <c r="MPL182"/>
      <c r="MPM182"/>
      <c r="MPN182"/>
      <c r="MPO182"/>
      <c r="MPP182"/>
      <c r="MPQ182"/>
      <c r="MPR182"/>
      <c r="MPS182"/>
      <c r="MPT182"/>
      <c r="MPU182"/>
      <c r="MPV182"/>
      <c r="MPW182"/>
      <c r="MPX182"/>
      <c r="MPY182"/>
      <c r="MPZ182"/>
      <c r="MQA182"/>
      <c r="MQB182"/>
      <c r="MQC182"/>
      <c r="MQD182"/>
      <c r="MQE182"/>
      <c r="MQF182"/>
      <c r="MQG182"/>
      <c r="MQH182"/>
      <c r="MQI182"/>
      <c r="MQJ182"/>
      <c r="MQK182"/>
      <c r="MQL182"/>
      <c r="MQM182"/>
      <c r="MQN182"/>
      <c r="MQO182"/>
      <c r="MQP182"/>
      <c r="MQQ182"/>
      <c r="MQR182"/>
      <c r="MQS182"/>
      <c r="MQT182"/>
      <c r="MQU182"/>
      <c r="MQV182"/>
      <c r="MQW182"/>
      <c r="MQX182"/>
      <c r="MQY182"/>
      <c r="MQZ182"/>
      <c r="MRA182"/>
      <c r="MRB182"/>
      <c r="MRC182"/>
      <c r="MRD182"/>
      <c r="MRE182"/>
      <c r="MRF182"/>
      <c r="MRG182"/>
      <c r="MRH182"/>
      <c r="MRI182"/>
      <c r="MRJ182"/>
      <c r="MRK182"/>
      <c r="MRL182"/>
      <c r="MRM182"/>
      <c r="MRN182"/>
      <c r="MRO182"/>
      <c r="MRP182"/>
      <c r="MRQ182"/>
      <c r="MRR182"/>
      <c r="MRS182"/>
      <c r="MRT182"/>
      <c r="MRU182"/>
      <c r="MRV182"/>
      <c r="MRW182"/>
      <c r="MRX182"/>
      <c r="MRY182"/>
      <c r="MRZ182"/>
      <c r="MSA182"/>
      <c r="MSB182"/>
      <c r="MSC182"/>
      <c r="MSD182"/>
      <c r="MSE182"/>
      <c r="MSF182"/>
      <c r="MSG182"/>
      <c r="MSH182"/>
      <c r="MSI182"/>
      <c r="MSJ182"/>
      <c r="MSK182"/>
      <c r="MSL182"/>
      <c r="MSM182"/>
      <c r="MSN182"/>
      <c r="MSO182"/>
      <c r="MSP182"/>
      <c r="MSQ182"/>
      <c r="MSR182"/>
      <c r="MSS182"/>
      <c r="MST182"/>
      <c r="MSU182"/>
      <c r="MSV182"/>
      <c r="MSW182"/>
      <c r="MSX182"/>
      <c r="MSY182"/>
      <c r="MSZ182"/>
      <c r="MTA182"/>
      <c r="MTB182"/>
      <c r="MTC182"/>
      <c r="MTD182"/>
      <c r="MTE182"/>
      <c r="MTF182"/>
      <c r="MTG182"/>
      <c r="MTH182"/>
      <c r="MTI182"/>
      <c r="MTJ182"/>
      <c r="MTK182"/>
      <c r="MTL182"/>
      <c r="MTM182"/>
      <c r="MTN182"/>
      <c r="MTO182"/>
      <c r="MTP182"/>
      <c r="MTQ182"/>
      <c r="MTR182"/>
      <c r="MTS182"/>
      <c r="MTT182"/>
      <c r="MTU182"/>
      <c r="MTV182"/>
      <c r="MTW182"/>
      <c r="MTX182"/>
      <c r="MTY182"/>
      <c r="MTZ182"/>
      <c r="MUA182"/>
      <c r="MUB182"/>
      <c r="MUC182"/>
      <c r="MUD182"/>
      <c r="MUE182"/>
      <c r="MUF182"/>
      <c r="MUG182"/>
      <c r="MUH182"/>
      <c r="MUI182"/>
      <c r="MUJ182"/>
      <c r="MUK182"/>
      <c r="MUL182"/>
      <c r="MUM182"/>
      <c r="MUN182"/>
      <c r="MUO182"/>
      <c r="MUP182"/>
      <c r="MUQ182"/>
      <c r="MUR182"/>
      <c r="MUS182"/>
      <c r="MUT182"/>
      <c r="MUU182"/>
      <c r="MUV182"/>
      <c r="MUW182"/>
      <c r="MUX182"/>
      <c r="MUY182"/>
      <c r="MUZ182"/>
      <c r="MVA182"/>
      <c r="MVB182"/>
      <c r="MVC182"/>
      <c r="MVD182"/>
      <c r="MVE182"/>
      <c r="MVF182"/>
      <c r="MVG182"/>
      <c r="MVH182"/>
      <c r="MVI182"/>
      <c r="MVJ182"/>
      <c r="MVK182"/>
      <c r="MVL182"/>
      <c r="MVM182"/>
      <c r="MVN182"/>
      <c r="MVO182"/>
      <c r="MVP182"/>
      <c r="MVQ182"/>
      <c r="MVR182"/>
      <c r="MVS182"/>
      <c r="MVT182"/>
      <c r="MVU182"/>
      <c r="MVV182"/>
      <c r="MVW182"/>
      <c r="MVX182"/>
      <c r="MVY182"/>
      <c r="MVZ182"/>
      <c r="MWA182"/>
      <c r="MWB182"/>
      <c r="MWC182"/>
      <c r="MWD182"/>
      <c r="MWE182"/>
      <c r="MWF182"/>
      <c r="MWG182"/>
      <c r="MWH182"/>
      <c r="MWI182"/>
      <c r="MWJ182"/>
      <c r="MWK182"/>
      <c r="MWL182"/>
      <c r="MWM182"/>
      <c r="MWN182"/>
      <c r="MWO182"/>
      <c r="MWP182"/>
      <c r="MWQ182"/>
      <c r="MWR182"/>
      <c r="MWS182"/>
      <c r="MWT182"/>
      <c r="MWU182"/>
      <c r="MWV182"/>
      <c r="MWW182"/>
      <c r="MWX182"/>
      <c r="MWY182"/>
      <c r="MWZ182"/>
      <c r="MXA182"/>
      <c r="MXB182"/>
      <c r="MXC182"/>
      <c r="MXD182"/>
      <c r="MXE182"/>
      <c r="MXF182"/>
      <c r="MXG182"/>
      <c r="MXH182"/>
      <c r="MXI182"/>
      <c r="MXJ182"/>
      <c r="MXK182"/>
      <c r="MXL182"/>
      <c r="MXM182"/>
      <c r="MXN182"/>
      <c r="MXO182"/>
      <c r="MXP182"/>
      <c r="MXQ182"/>
      <c r="MXR182"/>
      <c r="MXS182"/>
      <c r="MXT182"/>
      <c r="MXU182"/>
      <c r="MXV182"/>
      <c r="MXW182"/>
      <c r="MXX182"/>
      <c r="MXY182"/>
      <c r="MXZ182"/>
      <c r="MYA182"/>
      <c r="MYB182"/>
      <c r="MYC182"/>
      <c r="MYD182"/>
      <c r="MYE182"/>
      <c r="MYF182"/>
      <c r="MYG182"/>
      <c r="MYH182"/>
      <c r="MYI182"/>
      <c r="MYJ182"/>
      <c r="MYK182"/>
      <c r="MYL182"/>
      <c r="MYM182"/>
      <c r="MYN182"/>
      <c r="MYO182"/>
      <c r="MYP182"/>
      <c r="MYQ182"/>
      <c r="MYR182"/>
      <c r="MYS182"/>
      <c r="MYT182"/>
      <c r="MYU182"/>
      <c r="MYV182"/>
      <c r="MYW182"/>
      <c r="MYX182"/>
      <c r="MYY182"/>
      <c r="MYZ182"/>
      <c r="MZA182"/>
      <c r="MZB182"/>
      <c r="MZC182"/>
      <c r="MZD182"/>
      <c r="MZE182"/>
      <c r="MZF182"/>
      <c r="MZG182"/>
      <c r="MZH182"/>
      <c r="MZI182"/>
      <c r="MZJ182"/>
      <c r="MZK182"/>
      <c r="MZL182"/>
      <c r="MZM182"/>
      <c r="MZN182"/>
      <c r="MZO182"/>
      <c r="MZP182"/>
      <c r="MZQ182"/>
      <c r="MZR182"/>
      <c r="MZS182"/>
      <c r="MZT182"/>
      <c r="MZU182"/>
      <c r="MZV182"/>
      <c r="MZW182"/>
      <c r="MZX182"/>
      <c r="MZY182"/>
      <c r="MZZ182"/>
      <c r="NAA182"/>
      <c r="NAB182"/>
      <c r="NAC182"/>
      <c r="NAD182"/>
      <c r="NAE182"/>
      <c r="NAF182"/>
      <c r="NAG182"/>
      <c r="NAH182"/>
      <c r="NAI182"/>
      <c r="NAJ182"/>
      <c r="NAK182"/>
      <c r="NAL182"/>
      <c r="NAM182"/>
      <c r="NAN182"/>
      <c r="NAO182"/>
      <c r="NAP182"/>
      <c r="NAQ182"/>
      <c r="NAR182"/>
      <c r="NAS182"/>
      <c r="NAT182"/>
      <c r="NAU182"/>
      <c r="NAV182"/>
      <c r="NAW182"/>
      <c r="NAX182"/>
      <c r="NAY182"/>
      <c r="NAZ182"/>
      <c r="NBA182"/>
      <c r="NBB182"/>
      <c r="NBC182"/>
      <c r="NBD182"/>
      <c r="NBE182"/>
      <c r="NBF182"/>
      <c r="NBG182"/>
      <c r="NBH182"/>
      <c r="NBI182"/>
      <c r="NBJ182"/>
      <c r="NBK182"/>
      <c r="NBL182"/>
      <c r="NBM182"/>
      <c r="NBN182"/>
      <c r="NBO182"/>
      <c r="NBP182"/>
      <c r="NBQ182"/>
      <c r="NBR182"/>
      <c r="NBS182"/>
      <c r="NBT182"/>
      <c r="NBU182"/>
      <c r="NBV182"/>
      <c r="NBW182"/>
      <c r="NBX182"/>
      <c r="NBY182"/>
      <c r="NBZ182"/>
      <c r="NCA182"/>
      <c r="NCB182"/>
      <c r="NCC182"/>
      <c r="NCD182"/>
      <c r="NCE182"/>
      <c r="NCF182"/>
      <c r="NCG182"/>
      <c r="NCH182"/>
      <c r="NCI182"/>
      <c r="NCJ182"/>
      <c r="NCK182"/>
      <c r="NCL182"/>
      <c r="NCM182"/>
      <c r="NCN182"/>
      <c r="NCO182"/>
      <c r="NCP182"/>
      <c r="NCQ182"/>
      <c r="NCR182"/>
      <c r="NCS182"/>
      <c r="NCT182"/>
      <c r="NCU182"/>
      <c r="NCV182"/>
      <c r="NCW182"/>
      <c r="NCX182"/>
      <c r="NCY182"/>
      <c r="NCZ182"/>
      <c r="NDA182"/>
      <c r="NDB182"/>
      <c r="NDC182"/>
      <c r="NDD182"/>
      <c r="NDE182"/>
      <c r="NDF182"/>
      <c r="NDG182"/>
      <c r="NDH182"/>
      <c r="NDI182"/>
      <c r="NDJ182"/>
      <c r="NDK182"/>
      <c r="NDL182"/>
      <c r="NDM182"/>
      <c r="NDN182"/>
      <c r="NDO182"/>
      <c r="NDP182"/>
      <c r="NDQ182"/>
      <c r="NDR182"/>
      <c r="NDS182"/>
      <c r="NDT182"/>
      <c r="NDU182"/>
      <c r="NDV182"/>
      <c r="NDW182"/>
      <c r="NDX182"/>
      <c r="NDY182"/>
      <c r="NDZ182"/>
      <c r="NEA182"/>
      <c r="NEB182"/>
      <c r="NEC182"/>
      <c r="NED182"/>
      <c r="NEE182"/>
      <c r="NEF182"/>
      <c r="NEG182"/>
      <c r="NEH182"/>
      <c r="NEI182"/>
      <c r="NEJ182"/>
      <c r="NEK182"/>
      <c r="NEL182"/>
      <c r="NEM182"/>
      <c r="NEN182"/>
      <c r="NEO182"/>
      <c r="NEP182"/>
      <c r="NEQ182"/>
      <c r="NER182"/>
      <c r="NES182"/>
      <c r="NET182"/>
      <c r="NEU182"/>
      <c r="NEV182"/>
      <c r="NEW182"/>
      <c r="NEX182"/>
      <c r="NEY182"/>
      <c r="NEZ182"/>
      <c r="NFA182"/>
      <c r="NFB182"/>
      <c r="NFC182"/>
      <c r="NFD182"/>
      <c r="NFE182"/>
      <c r="NFF182"/>
      <c r="NFG182"/>
      <c r="NFH182"/>
      <c r="NFI182"/>
      <c r="NFJ182"/>
      <c r="NFK182"/>
      <c r="NFL182"/>
      <c r="NFM182"/>
      <c r="NFN182"/>
      <c r="NFO182"/>
      <c r="NFP182"/>
      <c r="NFQ182"/>
      <c r="NFR182"/>
      <c r="NFS182"/>
      <c r="NFT182"/>
      <c r="NFU182"/>
      <c r="NFV182"/>
      <c r="NFW182"/>
      <c r="NFX182"/>
      <c r="NFY182"/>
      <c r="NFZ182"/>
      <c r="NGA182"/>
      <c r="NGB182"/>
      <c r="NGC182"/>
      <c r="NGD182"/>
      <c r="NGE182"/>
      <c r="NGF182"/>
      <c r="NGG182"/>
      <c r="NGH182"/>
      <c r="NGI182"/>
      <c r="NGJ182"/>
      <c r="NGK182"/>
      <c r="NGL182"/>
      <c r="NGM182"/>
      <c r="NGN182"/>
      <c r="NGO182"/>
      <c r="NGP182"/>
      <c r="NGQ182"/>
      <c r="NGR182"/>
      <c r="NGS182"/>
      <c r="NGT182"/>
      <c r="NGU182"/>
      <c r="NGV182"/>
      <c r="NGW182"/>
      <c r="NGX182"/>
      <c r="NGY182"/>
      <c r="NGZ182"/>
      <c r="NHA182"/>
      <c r="NHB182"/>
      <c r="NHC182"/>
      <c r="NHD182"/>
      <c r="NHE182"/>
      <c r="NHF182"/>
      <c r="NHG182"/>
      <c r="NHH182"/>
      <c r="NHI182"/>
      <c r="NHJ182"/>
      <c r="NHK182"/>
      <c r="NHL182"/>
      <c r="NHM182"/>
      <c r="NHN182"/>
      <c r="NHO182"/>
      <c r="NHP182"/>
      <c r="NHQ182"/>
      <c r="NHR182"/>
      <c r="NHS182"/>
      <c r="NHT182"/>
      <c r="NHU182"/>
      <c r="NHV182"/>
      <c r="NHW182"/>
      <c r="NHX182"/>
      <c r="NHY182"/>
      <c r="NHZ182"/>
      <c r="NIA182"/>
      <c r="NIB182"/>
      <c r="NIC182"/>
      <c r="NID182"/>
      <c r="NIE182"/>
      <c r="NIF182"/>
      <c r="NIG182"/>
      <c r="NIH182"/>
      <c r="NII182"/>
      <c r="NIJ182"/>
      <c r="NIK182"/>
      <c r="NIL182"/>
      <c r="NIM182"/>
      <c r="NIN182"/>
      <c r="NIO182"/>
      <c r="NIP182"/>
      <c r="NIQ182"/>
      <c r="NIR182"/>
      <c r="NIS182"/>
      <c r="NIT182"/>
      <c r="NIU182"/>
      <c r="NIV182"/>
      <c r="NIW182"/>
      <c r="NIX182"/>
      <c r="NIY182"/>
      <c r="NIZ182"/>
      <c r="NJA182"/>
      <c r="NJB182"/>
      <c r="NJC182"/>
      <c r="NJD182"/>
      <c r="NJE182"/>
      <c r="NJF182"/>
      <c r="NJG182"/>
      <c r="NJH182"/>
      <c r="NJI182"/>
      <c r="NJJ182"/>
      <c r="NJK182"/>
      <c r="NJL182"/>
      <c r="NJM182"/>
      <c r="NJN182"/>
      <c r="NJO182"/>
      <c r="NJP182"/>
      <c r="NJQ182"/>
      <c r="NJR182"/>
      <c r="NJS182"/>
      <c r="NJT182"/>
      <c r="NJU182"/>
      <c r="NJV182"/>
      <c r="NJW182"/>
      <c r="NJX182"/>
      <c r="NJY182"/>
      <c r="NJZ182"/>
      <c r="NKA182"/>
      <c r="NKB182"/>
      <c r="NKC182"/>
      <c r="NKD182"/>
      <c r="NKE182"/>
      <c r="NKF182"/>
      <c r="NKG182"/>
      <c r="NKH182"/>
      <c r="NKI182"/>
      <c r="NKJ182"/>
      <c r="NKK182"/>
      <c r="NKL182"/>
      <c r="NKM182"/>
      <c r="NKN182"/>
      <c r="NKO182"/>
      <c r="NKP182"/>
      <c r="NKQ182"/>
      <c r="NKR182"/>
      <c r="NKS182"/>
      <c r="NKT182"/>
      <c r="NKU182"/>
      <c r="NKV182"/>
      <c r="NKW182"/>
      <c r="NKX182"/>
      <c r="NKY182"/>
      <c r="NKZ182"/>
      <c r="NLA182"/>
      <c r="NLB182"/>
      <c r="NLC182"/>
      <c r="NLD182"/>
      <c r="NLE182"/>
      <c r="NLF182"/>
      <c r="NLG182"/>
      <c r="NLH182"/>
      <c r="NLI182"/>
      <c r="NLJ182"/>
      <c r="NLK182"/>
      <c r="NLL182"/>
      <c r="NLM182"/>
      <c r="NLN182"/>
      <c r="NLO182"/>
      <c r="NLP182"/>
      <c r="NLQ182"/>
      <c r="NLR182"/>
      <c r="NLS182"/>
      <c r="NLT182"/>
      <c r="NLU182"/>
      <c r="NLV182"/>
      <c r="NLW182"/>
      <c r="NLX182"/>
      <c r="NLY182"/>
      <c r="NLZ182"/>
      <c r="NMA182"/>
      <c r="NMB182"/>
      <c r="NMC182"/>
      <c r="NMD182"/>
      <c r="NME182"/>
      <c r="NMF182"/>
      <c r="NMG182"/>
      <c r="NMH182"/>
      <c r="NMI182"/>
      <c r="NMJ182"/>
      <c r="NMK182"/>
      <c r="NML182"/>
      <c r="NMM182"/>
      <c r="NMN182"/>
      <c r="NMO182"/>
      <c r="NMP182"/>
      <c r="NMQ182"/>
      <c r="NMR182"/>
      <c r="NMS182"/>
      <c r="NMT182"/>
      <c r="NMU182"/>
      <c r="NMV182"/>
      <c r="NMW182"/>
      <c r="NMX182"/>
      <c r="NMY182"/>
      <c r="NMZ182"/>
      <c r="NNA182"/>
      <c r="NNB182"/>
      <c r="NNC182"/>
      <c r="NND182"/>
      <c r="NNE182"/>
      <c r="NNF182"/>
      <c r="NNG182"/>
      <c r="NNH182"/>
      <c r="NNI182"/>
      <c r="NNJ182"/>
      <c r="NNK182"/>
      <c r="NNL182"/>
      <c r="NNM182"/>
      <c r="NNN182"/>
      <c r="NNO182"/>
      <c r="NNP182"/>
      <c r="NNQ182"/>
      <c r="NNR182"/>
      <c r="NNS182"/>
      <c r="NNT182"/>
      <c r="NNU182"/>
      <c r="NNV182"/>
      <c r="NNW182"/>
      <c r="NNX182"/>
      <c r="NNY182"/>
      <c r="NNZ182"/>
      <c r="NOA182"/>
      <c r="NOB182"/>
      <c r="NOC182"/>
      <c r="NOD182"/>
      <c r="NOE182"/>
      <c r="NOF182"/>
      <c r="NOG182"/>
      <c r="NOH182"/>
      <c r="NOI182"/>
      <c r="NOJ182"/>
      <c r="NOK182"/>
      <c r="NOL182"/>
      <c r="NOM182"/>
      <c r="NON182"/>
      <c r="NOO182"/>
      <c r="NOP182"/>
      <c r="NOQ182"/>
      <c r="NOR182"/>
      <c r="NOS182"/>
      <c r="NOT182"/>
      <c r="NOU182"/>
      <c r="NOV182"/>
      <c r="NOW182"/>
      <c r="NOX182"/>
      <c r="NOY182"/>
      <c r="NOZ182"/>
      <c r="NPA182"/>
      <c r="NPB182"/>
      <c r="NPC182"/>
      <c r="NPD182"/>
      <c r="NPE182"/>
      <c r="NPF182"/>
      <c r="NPG182"/>
      <c r="NPH182"/>
      <c r="NPI182"/>
      <c r="NPJ182"/>
      <c r="NPK182"/>
      <c r="NPL182"/>
      <c r="NPM182"/>
      <c r="NPN182"/>
      <c r="NPO182"/>
      <c r="NPP182"/>
      <c r="NPQ182"/>
      <c r="NPR182"/>
      <c r="NPS182"/>
      <c r="NPT182"/>
      <c r="NPU182"/>
      <c r="NPV182"/>
      <c r="NPW182"/>
      <c r="NPX182"/>
      <c r="NPY182"/>
      <c r="NPZ182"/>
      <c r="NQA182"/>
      <c r="NQB182"/>
      <c r="NQC182"/>
      <c r="NQD182"/>
      <c r="NQE182"/>
      <c r="NQF182"/>
      <c r="NQG182"/>
      <c r="NQH182"/>
      <c r="NQI182"/>
      <c r="NQJ182"/>
      <c r="NQK182"/>
      <c r="NQL182"/>
      <c r="NQM182"/>
      <c r="NQN182"/>
      <c r="NQO182"/>
      <c r="NQP182"/>
      <c r="NQQ182"/>
      <c r="NQR182"/>
      <c r="NQS182"/>
      <c r="NQT182"/>
      <c r="NQU182"/>
      <c r="NQV182"/>
      <c r="NQW182"/>
      <c r="NQX182"/>
      <c r="NQY182"/>
      <c r="NQZ182"/>
      <c r="NRA182"/>
      <c r="NRB182"/>
      <c r="NRC182"/>
      <c r="NRD182"/>
      <c r="NRE182"/>
      <c r="NRF182"/>
      <c r="NRG182"/>
      <c r="NRH182"/>
      <c r="NRI182"/>
      <c r="NRJ182"/>
      <c r="NRK182"/>
      <c r="NRL182"/>
      <c r="NRM182"/>
      <c r="NRN182"/>
      <c r="NRO182"/>
      <c r="NRP182"/>
      <c r="NRQ182"/>
      <c r="NRR182"/>
      <c r="NRS182"/>
      <c r="NRT182"/>
      <c r="NRU182"/>
      <c r="NRV182"/>
      <c r="NRW182"/>
      <c r="NRX182"/>
      <c r="NRY182"/>
      <c r="NRZ182"/>
      <c r="NSA182"/>
      <c r="NSB182"/>
      <c r="NSC182"/>
      <c r="NSD182"/>
      <c r="NSE182"/>
      <c r="NSF182"/>
      <c r="NSG182"/>
      <c r="NSH182"/>
      <c r="NSI182"/>
      <c r="NSJ182"/>
      <c r="NSK182"/>
      <c r="NSL182"/>
      <c r="NSM182"/>
      <c r="NSN182"/>
      <c r="NSO182"/>
      <c r="NSP182"/>
      <c r="NSQ182"/>
      <c r="NSR182"/>
      <c r="NSS182"/>
      <c r="NST182"/>
      <c r="NSU182"/>
      <c r="NSV182"/>
      <c r="NSW182"/>
      <c r="NSX182"/>
      <c r="NSY182"/>
      <c r="NSZ182"/>
      <c r="NTA182"/>
      <c r="NTB182"/>
      <c r="NTC182"/>
      <c r="NTD182"/>
      <c r="NTE182"/>
      <c r="NTF182"/>
      <c r="NTG182"/>
      <c r="NTH182"/>
      <c r="NTI182"/>
      <c r="NTJ182"/>
      <c r="NTK182"/>
      <c r="NTL182"/>
      <c r="NTM182"/>
      <c r="NTN182"/>
      <c r="NTO182"/>
      <c r="NTP182"/>
      <c r="NTQ182"/>
      <c r="NTR182"/>
      <c r="NTS182"/>
      <c r="NTT182"/>
      <c r="NTU182"/>
      <c r="NTV182"/>
      <c r="NTW182"/>
      <c r="NTX182"/>
      <c r="NTY182"/>
      <c r="NTZ182"/>
      <c r="NUA182"/>
      <c r="NUB182"/>
      <c r="NUC182"/>
      <c r="NUD182"/>
      <c r="NUE182"/>
      <c r="NUF182"/>
      <c r="NUG182"/>
      <c r="NUH182"/>
      <c r="NUI182"/>
      <c r="NUJ182"/>
      <c r="NUK182"/>
      <c r="NUL182"/>
      <c r="NUM182"/>
      <c r="NUN182"/>
      <c r="NUO182"/>
      <c r="NUP182"/>
      <c r="NUQ182"/>
      <c r="NUR182"/>
      <c r="NUS182"/>
      <c r="NUT182"/>
      <c r="NUU182"/>
      <c r="NUV182"/>
      <c r="NUW182"/>
      <c r="NUX182"/>
      <c r="NUY182"/>
      <c r="NUZ182"/>
      <c r="NVA182"/>
      <c r="NVB182"/>
      <c r="NVC182"/>
      <c r="NVD182"/>
      <c r="NVE182"/>
      <c r="NVF182"/>
      <c r="NVG182"/>
      <c r="NVH182"/>
      <c r="NVI182"/>
      <c r="NVJ182"/>
      <c r="NVK182"/>
      <c r="NVL182"/>
      <c r="NVM182"/>
      <c r="NVN182"/>
      <c r="NVO182"/>
      <c r="NVP182"/>
      <c r="NVQ182"/>
      <c r="NVR182"/>
      <c r="NVS182"/>
      <c r="NVT182"/>
      <c r="NVU182"/>
      <c r="NVV182"/>
      <c r="NVW182"/>
      <c r="NVX182"/>
      <c r="NVY182"/>
      <c r="NVZ182"/>
      <c r="NWA182"/>
      <c r="NWB182"/>
      <c r="NWC182"/>
      <c r="NWD182"/>
      <c r="NWE182"/>
      <c r="NWF182"/>
      <c r="NWG182"/>
      <c r="NWH182"/>
      <c r="NWI182"/>
      <c r="NWJ182"/>
      <c r="NWK182"/>
      <c r="NWL182"/>
      <c r="NWM182"/>
      <c r="NWN182"/>
      <c r="NWO182"/>
      <c r="NWP182"/>
      <c r="NWQ182"/>
      <c r="NWR182"/>
      <c r="NWS182"/>
      <c r="NWT182"/>
      <c r="NWU182"/>
      <c r="NWV182"/>
      <c r="NWW182"/>
      <c r="NWX182"/>
      <c r="NWY182"/>
      <c r="NWZ182"/>
      <c r="NXA182"/>
      <c r="NXB182"/>
      <c r="NXC182"/>
      <c r="NXD182"/>
      <c r="NXE182"/>
      <c r="NXF182"/>
      <c r="NXG182"/>
      <c r="NXH182"/>
      <c r="NXI182"/>
      <c r="NXJ182"/>
      <c r="NXK182"/>
      <c r="NXL182"/>
      <c r="NXM182"/>
      <c r="NXN182"/>
      <c r="NXO182"/>
      <c r="NXP182"/>
      <c r="NXQ182"/>
      <c r="NXR182"/>
      <c r="NXS182"/>
      <c r="NXT182"/>
      <c r="NXU182"/>
      <c r="NXV182"/>
      <c r="NXW182"/>
      <c r="NXX182"/>
      <c r="NXY182"/>
      <c r="NXZ182"/>
      <c r="NYA182"/>
      <c r="NYB182"/>
      <c r="NYC182"/>
      <c r="NYD182"/>
      <c r="NYE182"/>
      <c r="NYF182"/>
      <c r="NYG182"/>
      <c r="NYH182"/>
      <c r="NYI182"/>
      <c r="NYJ182"/>
      <c r="NYK182"/>
      <c r="NYL182"/>
      <c r="NYM182"/>
      <c r="NYN182"/>
      <c r="NYO182"/>
      <c r="NYP182"/>
      <c r="NYQ182"/>
      <c r="NYR182"/>
      <c r="NYS182"/>
      <c r="NYT182"/>
      <c r="NYU182"/>
      <c r="NYV182"/>
      <c r="NYW182"/>
      <c r="NYX182"/>
      <c r="NYY182"/>
      <c r="NYZ182"/>
      <c r="NZA182"/>
      <c r="NZB182"/>
      <c r="NZC182"/>
      <c r="NZD182"/>
      <c r="NZE182"/>
      <c r="NZF182"/>
      <c r="NZG182"/>
      <c r="NZH182"/>
      <c r="NZI182"/>
      <c r="NZJ182"/>
      <c r="NZK182"/>
      <c r="NZL182"/>
      <c r="NZM182"/>
      <c r="NZN182"/>
      <c r="NZO182"/>
      <c r="NZP182"/>
      <c r="NZQ182"/>
      <c r="NZR182"/>
      <c r="NZS182"/>
      <c r="NZT182"/>
      <c r="NZU182"/>
      <c r="NZV182"/>
      <c r="NZW182"/>
      <c r="NZX182"/>
      <c r="NZY182"/>
      <c r="NZZ182"/>
      <c r="OAA182"/>
      <c r="OAB182"/>
      <c r="OAC182"/>
      <c r="OAD182"/>
      <c r="OAE182"/>
      <c r="OAF182"/>
      <c r="OAG182"/>
      <c r="OAH182"/>
      <c r="OAI182"/>
      <c r="OAJ182"/>
      <c r="OAK182"/>
      <c r="OAL182"/>
      <c r="OAM182"/>
      <c r="OAN182"/>
      <c r="OAO182"/>
      <c r="OAP182"/>
      <c r="OAQ182"/>
      <c r="OAR182"/>
      <c r="OAS182"/>
      <c r="OAT182"/>
      <c r="OAU182"/>
      <c r="OAV182"/>
      <c r="OAW182"/>
      <c r="OAX182"/>
      <c r="OAY182"/>
      <c r="OAZ182"/>
      <c r="OBA182"/>
      <c r="OBB182"/>
      <c r="OBC182"/>
      <c r="OBD182"/>
      <c r="OBE182"/>
      <c r="OBF182"/>
      <c r="OBG182"/>
      <c r="OBH182"/>
      <c r="OBI182"/>
      <c r="OBJ182"/>
      <c r="OBK182"/>
      <c r="OBL182"/>
      <c r="OBM182"/>
      <c r="OBN182"/>
      <c r="OBO182"/>
      <c r="OBP182"/>
      <c r="OBQ182"/>
      <c r="OBR182"/>
      <c r="OBS182"/>
      <c r="OBT182"/>
      <c r="OBU182"/>
      <c r="OBV182"/>
      <c r="OBW182"/>
      <c r="OBX182"/>
      <c r="OBY182"/>
      <c r="OBZ182"/>
      <c r="OCA182"/>
      <c r="OCB182"/>
      <c r="OCC182"/>
      <c r="OCD182"/>
      <c r="OCE182"/>
      <c r="OCF182"/>
      <c r="OCG182"/>
      <c r="OCH182"/>
      <c r="OCI182"/>
      <c r="OCJ182"/>
      <c r="OCK182"/>
      <c r="OCL182"/>
      <c r="OCM182"/>
      <c r="OCN182"/>
      <c r="OCO182"/>
      <c r="OCP182"/>
      <c r="OCQ182"/>
      <c r="OCR182"/>
      <c r="OCS182"/>
      <c r="OCT182"/>
      <c r="OCU182"/>
      <c r="OCV182"/>
      <c r="OCW182"/>
      <c r="OCX182"/>
      <c r="OCY182"/>
      <c r="OCZ182"/>
      <c r="ODA182"/>
      <c r="ODB182"/>
      <c r="ODC182"/>
      <c r="ODD182"/>
      <c r="ODE182"/>
      <c r="ODF182"/>
      <c r="ODG182"/>
      <c r="ODH182"/>
      <c r="ODI182"/>
      <c r="ODJ182"/>
      <c r="ODK182"/>
      <c r="ODL182"/>
      <c r="ODM182"/>
      <c r="ODN182"/>
      <c r="ODO182"/>
      <c r="ODP182"/>
      <c r="ODQ182"/>
      <c r="ODR182"/>
      <c r="ODS182"/>
      <c r="ODT182"/>
      <c r="ODU182"/>
      <c r="ODV182"/>
      <c r="ODW182"/>
      <c r="ODX182"/>
      <c r="ODY182"/>
      <c r="ODZ182"/>
      <c r="OEA182"/>
      <c r="OEB182"/>
      <c r="OEC182"/>
      <c r="OED182"/>
      <c r="OEE182"/>
      <c r="OEF182"/>
      <c r="OEG182"/>
      <c r="OEH182"/>
      <c r="OEI182"/>
      <c r="OEJ182"/>
      <c r="OEK182"/>
      <c r="OEL182"/>
      <c r="OEM182"/>
      <c r="OEN182"/>
      <c r="OEO182"/>
      <c r="OEP182"/>
      <c r="OEQ182"/>
      <c r="OER182"/>
      <c r="OES182"/>
      <c r="OET182"/>
      <c r="OEU182"/>
      <c r="OEV182"/>
      <c r="OEW182"/>
      <c r="OEX182"/>
      <c r="OEY182"/>
      <c r="OEZ182"/>
      <c r="OFA182"/>
      <c r="OFB182"/>
      <c r="OFC182"/>
      <c r="OFD182"/>
      <c r="OFE182"/>
      <c r="OFF182"/>
      <c r="OFG182"/>
      <c r="OFH182"/>
      <c r="OFI182"/>
      <c r="OFJ182"/>
      <c r="OFK182"/>
      <c r="OFL182"/>
      <c r="OFM182"/>
      <c r="OFN182"/>
      <c r="OFO182"/>
      <c r="OFP182"/>
      <c r="OFQ182"/>
      <c r="OFR182"/>
      <c r="OFS182"/>
      <c r="OFT182"/>
      <c r="OFU182"/>
      <c r="OFV182"/>
      <c r="OFW182"/>
      <c r="OFX182"/>
      <c r="OFY182"/>
      <c r="OFZ182"/>
      <c r="OGA182"/>
      <c r="OGB182"/>
      <c r="OGC182"/>
      <c r="OGD182"/>
      <c r="OGE182"/>
      <c r="OGF182"/>
      <c r="OGG182"/>
      <c r="OGH182"/>
      <c r="OGI182"/>
      <c r="OGJ182"/>
      <c r="OGK182"/>
      <c r="OGL182"/>
      <c r="OGM182"/>
      <c r="OGN182"/>
      <c r="OGO182"/>
      <c r="OGP182"/>
      <c r="OGQ182"/>
      <c r="OGR182"/>
      <c r="OGS182"/>
      <c r="OGT182"/>
      <c r="OGU182"/>
      <c r="OGV182"/>
      <c r="OGW182"/>
      <c r="OGX182"/>
      <c r="OGY182"/>
      <c r="OGZ182"/>
      <c r="OHA182"/>
      <c r="OHB182"/>
      <c r="OHC182"/>
      <c r="OHD182"/>
      <c r="OHE182"/>
      <c r="OHF182"/>
      <c r="OHG182"/>
      <c r="OHH182"/>
      <c r="OHI182"/>
      <c r="OHJ182"/>
      <c r="OHK182"/>
      <c r="OHL182"/>
      <c r="OHM182"/>
      <c r="OHN182"/>
      <c r="OHO182"/>
      <c r="OHP182"/>
      <c r="OHQ182"/>
      <c r="OHR182"/>
      <c r="OHS182"/>
      <c r="OHT182"/>
      <c r="OHU182"/>
      <c r="OHV182"/>
      <c r="OHW182"/>
      <c r="OHX182"/>
      <c r="OHY182"/>
      <c r="OHZ182"/>
      <c r="OIA182"/>
      <c r="OIB182"/>
      <c r="OIC182"/>
      <c r="OID182"/>
      <c r="OIE182"/>
      <c r="OIF182"/>
      <c r="OIG182"/>
      <c r="OIH182"/>
      <c r="OII182"/>
      <c r="OIJ182"/>
      <c r="OIK182"/>
      <c r="OIL182"/>
      <c r="OIM182"/>
      <c r="OIN182"/>
      <c r="OIO182"/>
      <c r="OIP182"/>
      <c r="OIQ182"/>
      <c r="OIR182"/>
      <c r="OIS182"/>
      <c r="OIT182"/>
      <c r="OIU182"/>
      <c r="OIV182"/>
      <c r="OIW182"/>
      <c r="OIX182"/>
      <c r="OIY182"/>
      <c r="OIZ182"/>
      <c r="OJA182"/>
      <c r="OJB182"/>
      <c r="OJC182"/>
      <c r="OJD182"/>
      <c r="OJE182"/>
      <c r="OJF182"/>
      <c r="OJG182"/>
      <c r="OJH182"/>
      <c r="OJI182"/>
      <c r="OJJ182"/>
      <c r="OJK182"/>
      <c r="OJL182"/>
      <c r="OJM182"/>
      <c r="OJN182"/>
      <c r="OJO182"/>
      <c r="OJP182"/>
      <c r="OJQ182"/>
      <c r="OJR182"/>
      <c r="OJS182"/>
      <c r="OJT182"/>
      <c r="OJU182"/>
      <c r="OJV182"/>
      <c r="OJW182"/>
      <c r="OJX182"/>
      <c r="OJY182"/>
      <c r="OJZ182"/>
      <c r="OKA182"/>
      <c r="OKB182"/>
      <c r="OKC182"/>
      <c r="OKD182"/>
      <c r="OKE182"/>
      <c r="OKF182"/>
      <c r="OKG182"/>
      <c r="OKH182"/>
      <c r="OKI182"/>
      <c r="OKJ182"/>
      <c r="OKK182"/>
      <c r="OKL182"/>
      <c r="OKM182"/>
      <c r="OKN182"/>
      <c r="OKO182"/>
      <c r="OKP182"/>
      <c r="OKQ182"/>
      <c r="OKR182"/>
      <c r="OKS182"/>
      <c r="OKT182"/>
      <c r="OKU182"/>
      <c r="OKV182"/>
      <c r="OKW182"/>
      <c r="OKX182"/>
      <c r="OKY182"/>
      <c r="OKZ182"/>
      <c r="OLA182"/>
      <c r="OLB182"/>
      <c r="OLC182"/>
      <c r="OLD182"/>
      <c r="OLE182"/>
      <c r="OLF182"/>
      <c r="OLG182"/>
      <c r="OLH182"/>
      <c r="OLI182"/>
      <c r="OLJ182"/>
      <c r="OLK182"/>
      <c r="OLL182"/>
      <c r="OLM182"/>
      <c r="OLN182"/>
      <c r="OLO182"/>
      <c r="OLP182"/>
      <c r="OLQ182"/>
      <c r="OLR182"/>
      <c r="OLS182"/>
      <c r="OLT182"/>
      <c r="OLU182"/>
      <c r="OLV182"/>
      <c r="OLW182"/>
      <c r="OLX182"/>
      <c r="OLY182"/>
      <c r="OLZ182"/>
      <c r="OMA182"/>
      <c r="OMB182"/>
      <c r="OMC182"/>
      <c r="OMD182"/>
      <c r="OME182"/>
      <c r="OMF182"/>
      <c r="OMG182"/>
      <c r="OMH182"/>
      <c r="OMI182"/>
      <c r="OMJ182"/>
      <c r="OMK182"/>
      <c r="OML182"/>
      <c r="OMM182"/>
      <c r="OMN182"/>
      <c r="OMO182"/>
      <c r="OMP182"/>
      <c r="OMQ182"/>
      <c r="OMR182"/>
      <c r="OMS182"/>
      <c r="OMT182"/>
      <c r="OMU182"/>
      <c r="OMV182"/>
      <c r="OMW182"/>
      <c r="OMX182"/>
      <c r="OMY182"/>
      <c r="OMZ182"/>
      <c r="ONA182"/>
      <c r="ONB182"/>
      <c r="ONC182"/>
      <c r="OND182"/>
      <c r="ONE182"/>
      <c r="ONF182"/>
      <c r="ONG182"/>
      <c r="ONH182"/>
      <c r="ONI182"/>
      <c r="ONJ182"/>
      <c r="ONK182"/>
      <c r="ONL182"/>
      <c r="ONM182"/>
      <c r="ONN182"/>
      <c r="ONO182"/>
      <c r="ONP182"/>
      <c r="ONQ182"/>
      <c r="ONR182"/>
      <c r="ONS182"/>
      <c r="ONT182"/>
      <c r="ONU182"/>
      <c r="ONV182"/>
      <c r="ONW182"/>
      <c r="ONX182"/>
      <c r="ONY182"/>
      <c r="ONZ182"/>
      <c r="OOA182"/>
      <c r="OOB182"/>
      <c r="OOC182"/>
      <c r="OOD182"/>
      <c r="OOE182"/>
      <c r="OOF182"/>
      <c r="OOG182"/>
      <c r="OOH182"/>
      <c r="OOI182"/>
      <c r="OOJ182"/>
      <c r="OOK182"/>
      <c r="OOL182"/>
      <c r="OOM182"/>
      <c r="OON182"/>
      <c r="OOO182"/>
      <c r="OOP182"/>
      <c r="OOQ182"/>
      <c r="OOR182"/>
      <c r="OOS182"/>
      <c r="OOT182"/>
      <c r="OOU182"/>
      <c r="OOV182"/>
      <c r="OOW182"/>
      <c r="OOX182"/>
      <c r="OOY182"/>
      <c r="OOZ182"/>
      <c r="OPA182"/>
      <c r="OPB182"/>
      <c r="OPC182"/>
      <c r="OPD182"/>
      <c r="OPE182"/>
      <c r="OPF182"/>
      <c r="OPG182"/>
      <c r="OPH182"/>
      <c r="OPI182"/>
      <c r="OPJ182"/>
      <c r="OPK182"/>
      <c r="OPL182"/>
      <c r="OPM182"/>
      <c r="OPN182"/>
      <c r="OPO182"/>
      <c r="OPP182"/>
      <c r="OPQ182"/>
      <c r="OPR182"/>
      <c r="OPS182"/>
      <c r="OPT182"/>
      <c r="OPU182"/>
      <c r="OPV182"/>
      <c r="OPW182"/>
      <c r="OPX182"/>
      <c r="OPY182"/>
      <c r="OPZ182"/>
      <c r="OQA182"/>
      <c r="OQB182"/>
      <c r="OQC182"/>
      <c r="OQD182"/>
      <c r="OQE182"/>
      <c r="OQF182"/>
      <c r="OQG182"/>
      <c r="OQH182"/>
      <c r="OQI182"/>
      <c r="OQJ182"/>
      <c r="OQK182"/>
      <c r="OQL182"/>
      <c r="OQM182"/>
      <c r="OQN182"/>
      <c r="OQO182"/>
      <c r="OQP182"/>
      <c r="OQQ182"/>
      <c r="OQR182"/>
      <c r="OQS182"/>
      <c r="OQT182"/>
      <c r="OQU182"/>
      <c r="OQV182"/>
      <c r="OQW182"/>
      <c r="OQX182"/>
      <c r="OQY182"/>
      <c r="OQZ182"/>
      <c r="ORA182"/>
      <c r="ORB182"/>
      <c r="ORC182"/>
      <c r="ORD182"/>
      <c r="ORE182"/>
      <c r="ORF182"/>
      <c r="ORG182"/>
      <c r="ORH182"/>
      <c r="ORI182"/>
      <c r="ORJ182"/>
      <c r="ORK182"/>
      <c r="ORL182"/>
      <c r="ORM182"/>
      <c r="ORN182"/>
      <c r="ORO182"/>
      <c r="ORP182"/>
      <c r="ORQ182"/>
      <c r="ORR182"/>
      <c r="ORS182"/>
      <c r="ORT182"/>
      <c r="ORU182"/>
      <c r="ORV182"/>
      <c r="ORW182"/>
      <c r="ORX182"/>
      <c r="ORY182"/>
      <c r="ORZ182"/>
      <c r="OSA182"/>
      <c r="OSB182"/>
      <c r="OSC182"/>
      <c r="OSD182"/>
      <c r="OSE182"/>
      <c r="OSF182"/>
      <c r="OSG182"/>
      <c r="OSH182"/>
      <c r="OSI182"/>
      <c r="OSJ182"/>
      <c r="OSK182"/>
      <c r="OSL182"/>
      <c r="OSM182"/>
      <c r="OSN182"/>
      <c r="OSO182"/>
      <c r="OSP182"/>
      <c r="OSQ182"/>
      <c r="OSR182"/>
      <c r="OSS182"/>
      <c r="OST182"/>
      <c r="OSU182"/>
      <c r="OSV182"/>
      <c r="OSW182"/>
      <c r="OSX182"/>
      <c r="OSY182"/>
      <c r="OSZ182"/>
      <c r="OTA182"/>
      <c r="OTB182"/>
      <c r="OTC182"/>
      <c r="OTD182"/>
      <c r="OTE182"/>
      <c r="OTF182"/>
      <c r="OTG182"/>
      <c r="OTH182"/>
      <c r="OTI182"/>
      <c r="OTJ182"/>
      <c r="OTK182"/>
      <c r="OTL182"/>
      <c r="OTM182"/>
      <c r="OTN182"/>
      <c r="OTO182"/>
      <c r="OTP182"/>
      <c r="OTQ182"/>
      <c r="OTR182"/>
      <c r="OTS182"/>
      <c r="OTT182"/>
      <c r="OTU182"/>
      <c r="OTV182"/>
      <c r="OTW182"/>
      <c r="OTX182"/>
      <c r="OTY182"/>
      <c r="OTZ182"/>
      <c r="OUA182"/>
      <c r="OUB182"/>
      <c r="OUC182"/>
      <c r="OUD182"/>
      <c r="OUE182"/>
      <c r="OUF182"/>
      <c r="OUG182"/>
      <c r="OUH182"/>
      <c r="OUI182"/>
      <c r="OUJ182"/>
      <c r="OUK182"/>
      <c r="OUL182"/>
      <c r="OUM182"/>
      <c r="OUN182"/>
      <c r="OUO182"/>
      <c r="OUP182"/>
      <c r="OUQ182"/>
      <c r="OUR182"/>
      <c r="OUS182"/>
      <c r="OUT182"/>
      <c r="OUU182"/>
      <c r="OUV182"/>
      <c r="OUW182"/>
      <c r="OUX182"/>
      <c r="OUY182"/>
      <c r="OUZ182"/>
      <c r="OVA182"/>
      <c r="OVB182"/>
      <c r="OVC182"/>
      <c r="OVD182"/>
      <c r="OVE182"/>
      <c r="OVF182"/>
      <c r="OVG182"/>
      <c r="OVH182"/>
      <c r="OVI182"/>
      <c r="OVJ182"/>
      <c r="OVK182"/>
      <c r="OVL182"/>
      <c r="OVM182"/>
      <c r="OVN182"/>
      <c r="OVO182"/>
      <c r="OVP182"/>
      <c r="OVQ182"/>
      <c r="OVR182"/>
      <c r="OVS182"/>
      <c r="OVT182"/>
      <c r="OVU182"/>
      <c r="OVV182"/>
      <c r="OVW182"/>
      <c r="OVX182"/>
      <c r="OVY182"/>
      <c r="OVZ182"/>
      <c r="OWA182"/>
      <c r="OWB182"/>
      <c r="OWC182"/>
      <c r="OWD182"/>
      <c r="OWE182"/>
      <c r="OWF182"/>
      <c r="OWG182"/>
      <c r="OWH182"/>
      <c r="OWI182"/>
      <c r="OWJ182"/>
      <c r="OWK182"/>
      <c r="OWL182"/>
      <c r="OWM182"/>
      <c r="OWN182"/>
      <c r="OWO182"/>
      <c r="OWP182"/>
      <c r="OWQ182"/>
      <c r="OWR182"/>
      <c r="OWS182"/>
      <c r="OWT182"/>
      <c r="OWU182"/>
      <c r="OWV182"/>
      <c r="OWW182"/>
      <c r="OWX182"/>
      <c r="OWY182"/>
      <c r="OWZ182"/>
      <c r="OXA182"/>
      <c r="OXB182"/>
      <c r="OXC182"/>
      <c r="OXD182"/>
      <c r="OXE182"/>
      <c r="OXF182"/>
      <c r="OXG182"/>
      <c r="OXH182"/>
      <c r="OXI182"/>
      <c r="OXJ182"/>
      <c r="OXK182"/>
      <c r="OXL182"/>
      <c r="OXM182"/>
      <c r="OXN182"/>
      <c r="OXO182"/>
      <c r="OXP182"/>
      <c r="OXQ182"/>
      <c r="OXR182"/>
      <c r="OXS182"/>
      <c r="OXT182"/>
      <c r="OXU182"/>
      <c r="OXV182"/>
      <c r="OXW182"/>
      <c r="OXX182"/>
      <c r="OXY182"/>
      <c r="OXZ182"/>
      <c r="OYA182"/>
      <c r="OYB182"/>
      <c r="OYC182"/>
      <c r="OYD182"/>
      <c r="OYE182"/>
      <c r="OYF182"/>
      <c r="OYG182"/>
      <c r="OYH182"/>
      <c r="OYI182"/>
      <c r="OYJ182"/>
      <c r="OYK182"/>
      <c r="OYL182"/>
      <c r="OYM182"/>
      <c r="OYN182"/>
      <c r="OYO182"/>
      <c r="OYP182"/>
      <c r="OYQ182"/>
      <c r="OYR182"/>
      <c r="OYS182"/>
      <c r="OYT182"/>
      <c r="OYU182"/>
      <c r="OYV182"/>
      <c r="OYW182"/>
      <c r="OYX182"/>
      <c r="OYY182"/>
      <c r="OYZ182"/>
      <c r="OZA182"/>
      <c r="OZB182"/>
      <c r="OZC182"/>
      <c r="OZD182"/>
      <c r="OZE182"/>
      <c r="OZF182"/>
      <c r="OZG182"/>
      <c r="OZH182"/>
      <c r="OZI182"/>
      <c r="OZJ182"/>
      <c r="OZK182"/>
      <c r="OZL182"/>
      <c r="OZM182"/>
      <c r="OZN182"/>
      <c r="OZO182"/>
      <c r="OZP182"/>
      <c r="OZQ182"/>
      <c r="OZR182"/>
      <c r="OZS182"/>
      <c r="OZT182"/>
      <c r="OZU182"/>
      <c r="OZV182"/>
      <c r="OZW182"/>
      <c r="OZX182"/>
      <c r="OZY182"/>
      <c r="OZZ182"/>
      <c r="PAA182"/>
      <c r="PAB182"/>
      <c r="PAC182"/>
      <c r="PAD182"/>
      <c r="PAE182"/>
      <c r="PAF182"/>
      <c r="PAG182"/>
      <c r="PAH182"/>
      <c r="PAI182"/>
      <c r="PAJ182"/>
      <c r="PAK182"/>
      <c r="PAL182"/>
      <c r="PAM182"/>
      <c r="PAN182"/>
      <c r="PAO182"/>
      <c r="PAP182"/>
      <c r="PAQ182"/>
      <c r="PAR182"/>
      <c r="PAS182"/>
      <c r="PAT182"/>
      <c r="PAU182"/>
      <c r="PAV182"/>
      <c r="PAW182"/>
      <c r="PAX182"/>
      <c r="PAY182"/>
      <c r="PAZ182"/>
      <c r="PBA182"/>
      <c r="PBB182"/>
      <c r="PBC182"/>
      <c r="PBD182"/>
      <c r="PBE182"/>
      <c r="PBF182"/>
      <c r="PBG182"/>
      <c r="PBH182"/>
      <c r="PBI182"/>
      <c r="PBJ182"/>
      <c r="PBK182"/>
      <c r="PBL182"/>
      <c r="PBM182"/>
      <c r="PBN182"/>
      <c r="PBO182"/>
      <c r="PBP182"/>
      <c r="PBQ182"/>
      <c r="PBR182"/>
      <c r="PBS182"/>
      <c r="PBT182"/>
      <c r="PBU182"/>
      <c r="PBV182"/>
      <c r="PBW182"/>
      <c r="PBX182"/>
      <c r="PBY182"/>
      <c r="PBZ182"/>
      <c r="PCA182"/>
      <c r="PCB182"/>
      <c r="PCC182"/>
      <c r="PCD182"/>
      <c r="PCE182"/>
      <c r="PCF182"/>
      <c r="PCG182"/>
      <c r="PCH182"/>
      <c r="PCI182"/>
      <c r="PCJ182"/>
      <c r="PCK182"/>
      <c r="PCL182"/>
      <c r="PCM182"/>
      <c r="PCN182"/>
      <c r="PCO182"/>
      <c r="PCP182"/>
      <c r="PCQ182"/>
      <c r="PCR182"/>
      <c r="PCS182"/>
      <c r="PCT182"/>
      <c r="PCU182"/>
      <c r="PCV182"/>
      <c r="PCW182"/>
      <c r="PCX182"/>
      <c r="PCY182"/>
      <c r="PCZ182"/>
      <c r="PDA182"/>
      <c r="PDB182"/>
      <c r="PDC182"/>
      <c r="PDD182"/>
      <c r="PDE182"/>
      <c r="PDF182"/>
      <c r="PDG182"/>
      <c r="PDH182"/>
      <c r="PDI182"/>
      <c r="PDJ182"/>
      <c r="PDK182"/>
      <c r="PDL182"/>
      <c r="PDM182"/>
      <c r="PDN182"/>
      <c r="PDO182"/>
      <c r="PDP182"/>
      <c r="PDQ182"/>
      <c r="PDR182"/>
      <c r="PDS182"/>
      <c r="PDT182"/>
      <c r="PDU182"/>
      <c r="PDV182"/>
      <c r="PDW182"/>
      <c r="PDX182"/>
      <c r="PDY182"/>
      <c r="PDZ182"/>
      <c r="PEA182"/>
      <c r="PEB182"/>
      <c r="PEC182"/>
      <c r="PED182"/>
      <c r="PEE182"/>
      <c r="PEF182"/>
      <c r="PEG182"/>
      <c r="PEH182"/>
      <c r="PEI182"/>
      <c r="PEJ182"/>
      <c r="PEK182"/>
      <c r="PEL182"/>
      <c r="PEM182"/>
      <c r="PEN182"/>
      <c r="PEO182"/>
      <c r="PEP182"/>
      <c r="PEQ182"/>
      <c r="PER182"/>
      <c r="PES182"/>
      <c r="PET182"/>
      <c r="PEU182"/>
      <c r="PEV182"/>
      <c r="PEW182"/>
      <c r="PEX182"/>
      <c r="PEY182"/>
      <c r="PEZ182"/>
      <c r="PFA182"/>
      <c r="PFB182"/>
      <c r="PFC182"/>
      <c r="PFD182"/>
      <c r="PFE182"/>
      <c r="PFF182"/>
      <c r="PFG182"/>
      <c r="PFH182"/>
      <c r="PFI182"/>
      <c r="PFJ182"/>
      <c r="PFK182"/>
      <c r="PFL182"/>
      <c r="PFM182"/>
      <c r="PFN182"/>
      <c r="PFO182"/>
      <c r="PFP182"/>
      <c r="PFQ182"/>
      <c r="PFR182"/>
      <c r="PFS182"/>
      <c r="PFT182"/>
      <c r="PFU182"/>
      <c r="PFV182"/>
      <c r="PFW182"/>
      <c r="PFX182"/>
      <c r="PFY182"/>
      <c r="PFZ182"/>
      <c r="PGA182"/>
      <c r="PGB182"/>
      <c r="PGC182"/>
      <c r="PGD182"/>
      <c r="PGE182"/>
      <c r="PGF182"/>
      <c r="PGG182"/>
      <c r="PGH182"/>
      <c r="PGI182"/>
      <c r="PGJ182"/>
      <c r="PGK182"/>
      <c r="PGL182"/>
      <c r="PGM182"/>
      <c r="PGN182"/>
      <c r="PGO182"/>
      <c r="PGP182"/>
      <c r="PGQ182"/>
      <c r="PGR182"/>
      <c r="PGS182"/>
      <c r="PGT182"/>
      <c r="PGU182"/>
      <c r="PGV182"/>
      <c r="PGW182"/>
      <c r="PGX182"/>
      <c r="PGY182"/>
      <c r="PGZ182"/>
      <c r="PHA182"/>
      <c r="PHB182"/>
      <c r="PHC182"/>
      <c r="PHD182"/>
      <c r="PHE182"/>
      <c r="PHF182"/>
      <c r="PHG182"/>
      <c r="PHH182"/>
      <c r="PHI182"/>
      <c r="PHJ182"/>
      <c r="PHK182"/>
      <c r="PHL182"/>
      <c r="PHM182"/>
      <c r="PHN182"/>
      <c r="PHO182"/>
      <c r="PHP182"/>
      <c r="PHQ182"/>
      <c r="PHR182"/>
      <c r="PHS182"/>
      <c r="PHT182"/>
      <c r="PHU182"/>
      <c r="PHV182"/>
      <c r="PHW182"/>
      <c r="PHX182"/>
      <c r="PHY182"/>
      <c r="PHZ182"/>
      <c r="PIA182"/>
      <c r="PIB182"/>
      <c r="PIC182"/>
      <c r="PID182"/>
      <c r="PIE182"/>
      <c r="PIF182"/>
      <c r="PIG182"/>
      <c r="PIH182"/>
      <c r="PII182"/>
      <c r="PIJ182"/>
      <c r="PIK182"/>
      <c r="PIL182"/>
      <c r="PIM182"/>
      <c r="PIN182"/>
      <c r="PIO182"/>
      <c r="PIP182"/>
      <c r="PIQ182"/>
      <c r="PIR182"/>
      <c r="PIS182"/>
      <c r="PIT182"/>
      <c r="PIU182"/>
      <c r="PIV182"/>
      <c r="PIW182"/>
      <c r="PIX182"/>
      <c r="PIY182"/>
      <c r="PIZ182"/>
      <c r="PJA182"/>
      <c r="PJB182"/>
      <c r="PJC182"/>
      <c r="PJD182"/>
      <c r="PJE182"/>
      <c r="PJF182"/>
      <c r="PJG182"/>
      <c r="PJH182"/>
      <c r="PJI182"/>
      <c r="PJJ182"/>
      <c r="PJK182"/>
      <c r="PJL182"/>
      <c r="PJM182"/>
      <c r="PJN182"/>
      <c r="PJO182"/>
      <c r="PJP182"/>
      <c r="PJQ182"/>
      <c r="PJR182"/>
      <c r="PJS182"/>
      <c r="PJT182"/>
      <c r="PJU182"/>
      <c r="PJV182"/>
      <c r="PJW182"/>
      <c r="PJX182"/>
      <c r="PJY182"/>
      <c r="PJZ182"/>
      <c r="PKA182"/>
      <c r="PKB182"/>
      <c r="PKC182"/>
      <c r="PKD182"/>
      <c r="PKE182"/>
      <c r="PKF182"/>
      <c r="PKG182"/>
      <c r="PKH182"/>
      <c r="PKI182"/>
      <c r="PKJ182"/>
      <c r="PKK182"/>
      <c r="PKL182"/>
      <c r="PKM182"/>
      <c r="PKN182"/>
      <c r="PKO182"/>
      <c r="PKP182"/>
      <c r="PKQ182"/>
      <c r="PKR182"/>
      <c r="PKS182"/>
      <c r="PKT182"/>
      <c r="PKU182"/>
      <c r="PKV182"/>
      <c r="PKW182"/>
      <c r="PKX182"/>
      <c r="PKY182"/>
      <c r="PKZ182"/>
      <c r="PLA182"/>
      <c r="PLB182"/>
      <c r="PLC182"/>
      <c r="PLD182"/>
      <c r="PLE182"/>
      <c r="PLF182"/>
      <c r="PLG182"/>
      <c r="PLH182"/>
      <c r="PLI182"/>
      <c r="PLJ182"/>
      <c r="PLK182"/>
      <c r="PLL182"/>
      <c r="PLM182"/>
      <c r="PLN182"/>
      <c r="PLO182"/>
      <c r="PLP182"/>
      <c r="PLQ182"/>
      <c r="PLR182"/>
      <c r="PLS182"/>
      <c r="PLT182"/>
      <c r="PLU182"/>
      <c r="PLV182"/>
      <c r="PLW182"/>
      <c r="PLX182"/>
      <c r="PLY182"/>
      <c r="PLZ182"/>
      <c r="PMA182"/>
      <c r="PMB182"/>
      <c r="PMC182"/>
      <c r="PMD182"/>
      <c r="PME182"/>
      <c r="PMF182"/>
      <c r="PMG182"/>
      <c r="PMH182"/>
      <c r="PMI182"/>
      <c r="PMJ182"/>
      <c r="PMK182"/>
      <c r="PML182"/>
      <c r="PMM182"/>
      <c r="PMN182"/>
      <c r="PMO182"/>
      <c r="PMP182"/>
      <c r="PMQ182"/>
      <c r="PMR182"/>
      <c r="PMS182"/>
      <c r="PMT182"/>
      <c r="PMU182"/>
      <c r="PMV182"/>
      <c r="PMW182"/>
      <c r="PMX182"/>
      <c r="PMY182"/>
      <c r="PMZ182"/>
      <c r="PNA182"/>
      <c r="PNB182"/>
      <c r="PNC182"/>
      <c r="PND182"/>
      <c r="PNE182"/>
      <c r="PNF182"/>
      <c r="PNG182"/>
      <c r="PNH182"/>
      <c r="PNI182"/>
      <c r="PNJ182"/>
      <c r="PNK182"/>
      <c r="PNL182"/>
      <c r="PNM182"/>
      <c r="PNN182"/>
      <c r="PNO182"/>
      <c r="PNP182"/>
      <c r="PNQ182"/>
      <c r="PNR182"/>
      <c r="PNS182"/>
      <c r="PNT182"/>
      <c r="PNU182"/>
      <c r="PNV182"/>
      <c r="PNW182"/>
      <c r="PNX182"/>
      <c r="PNY182"/>
      <c r="PNZ182"/>
      <c r="POA182"/>
      <c r="POB182"/>
      <c r="POC182"/>
      <c r="POD182"/>
      <c r="POE182"/>
      <c r="POF182"/>
      <c r="POG182"/>
      <c r="POH182"/>
      <c r="POI182"/>
      <c r="POJ182"/>
      <c r="POK182"/>
      <c r="POL182"/>
      <c r="POM182"/>
      <c r="PON182"/>
      <c r="POO182"/>
      <c r="POP182"/>
      <c r="POQ182"/>
      <c r="POR182"/>
      <c r="POS182"/>
      <c r="POT182"/>
      <c r="POU182"/>
      <c r="POV182"/>
      <c r="POW182"/>
      <c r="POX182"/>
      <c r="POY182"/>
      <c r="POZ182"/>
      <c r="PPA182"/>
      <c r="PPB182"/>
      <c r="PPC182"/>
      <c r="PPD182"/>
      <c r="PPE182"/>
      <c r="PPF182"/>
      <c r="PPG182"/>
      <c r="PPH182"/>
      <c r="PPI182"/>
      <c r="PPJ182"/>
      <c r="PPK182"/>
      <c r="PPL182"/>
      <c r="PPM182"/>
      <c r="PPN182"/>
      <c r="PPO182"/>
      <c r="PPP182"/>
      <c r="PPQ182"/>
      <c r="PPR182"/>
      <c r="PPS182"/>
      <c r="PPT182"/>
      <c r="PPU182"/>
      <c r="PPV182"/>
      <c r="PPW182"/>
      <c r="PPX182"/>
      <c r="PPY182"/>
      <c r="PPZ182"/>
      <c r="PQA182"/>
      <c r="PQB182"/>
      <c r="PQC182"/>
      <c r="PQD182"/>
      <c r="PQE182"/>
      <c r="PQF182"/>
      <c r="PQG182"/>
      <c r="PQH182"/>
      <c r="PQI182"/>
      <c r="PQJ182"/>
      <c r="PQK182"/>
      <c r="PQL182"/>
      <c r="PQM182"/>
      <c r="PQN182"/>
      <c r="PQO182"/>
      <c r="PQP182"/>
      <c r="PQQ182"/>
      <c r="PQR182"/>
      <c r="PQS182"/>
      <c r="PQT182"/>
      <c r="PQU182"/>
      <c r="PQV182"/>
      <c r="PQW182"/>
      <c r="PQX182"/>
      <c r="PQY182"/>
      <c r="PQZ182"/>
      <c r="PRA182"/>
      <c r="PRB182"/>
      <c r="PRC182"/>
      <c r="PRD182"/>
      <c r="PRE182"/>
      <c r="PRF182"/>
      <c r="PRG182"/>
      <c r="PRH182"/>
      <c r="PRI182"/>
      <c r="PRJ182"/>
      <c r="PRK182"/>
      <c r="PRL182"/>
      <c r="PRM182"/>
      <c r="PRN182"/>
      <c r="PRO182"/>
      <c r="PRP182"/>
      <c r="PRQ182"/>
      <c r="PRR182"/>
      <c r="PRS182"/>
      <c r="PRT182"/>
      <c r="PRU182"/>
      <c r="PRV182"/>
      <c r="PRW182"/>
      <c r="PRX182"/>
      <c r="PRY182"/>
      <c r="PRZ182"/>
      <c r="PSA182"/>
      <c r="PSB182"/>
      <c r="PSC182"/>
      <c r="PSD182"/>
      <c r="PSE182"/>
      <c r="PSF182"/>
      <c r="PSG182"/>
      <c r="PSH182"/>
      <c r="PSI182"/>
      <c r="PSJ182"/>
      <c r="PSK182"/>
      <c r="PSL182"/>
      <c r="PSM182"/>
      <c r="PSN182"/>
      <c r="PSO182"/>
      <c r="PSP182"/>
      <c r="PSQ182"/>
      <c r="PSR182"/>
      <c r="PSS182"/>
      <c r="PST182"/>
      <c r="PSU182"/>
      <c r="PSV182"/>
      <c r="PSW182"/>
      <c r="PSX182"/>
      <c r="PSY182"/>
      <c r="PSZ182"/>
      <c r="PTA182"/>
      <c r="PTB182"/>
      <c r="PTC182"/>
      <c r="PTD182"/>
      <c r="PTE182"/>
      <c r="PTF182"/>
      <c r="PTG182"/>
      <c r="PTH182"/>
      <c r="PTI182"/>
      <c r="PTJ182"/>
      <c r="PTK182"/>
      <c r="PTL182"/>
      <c r="PTM182"/>
      <c r="PTN182"/>
      <c r="PTO182"/>
      <c r="PTP182"/>
      <c r="PTQ182"/>
      <c r="PTR182"/>
      <c r="PTS182"/>
      <c r="PTT182"/>
      <c r="PTU182"/>
      <c r="PTV182"/>
      <c r="PTW182"/>
      <c r="PTX182"/>
      <c r="PTY182"/>
      <c r="PTZ182"/>
      <c r="PUA182"/>
      <c r="PUB182"/>
      <c r="PUC182"/>
      <c r="PUD182"/>
      <c r="PUE182"/>
      <c r="PUF182"/>
      <c r="PUG182"/>
      <c r="PUH182"/>
      <c r="PUI182"/>
      <c r="PUJ182"/>
      <c r="PUK182"/>
      <c r="PUL182"/>
      <c r="PUM182"/>
      <c r="PUN182"/>
      <c r="PUO182"/>
      <c r="PUP182"/>
      <c r="PUQ182"/>
      <c r="PUR182"/>
      <c r="PUS182"/>
      <c r="PUT182"/>
      <c r="PUU182"/>
      <c r="PUV182"/>
      <c r="PUW182"/>
      <c r="PUX182"/>
      <c r="PUY182"/>
      <c r="PUZ182"/>
      <c r="PVA182"/>
      <c r="PVB182"/>
      <c r="PVC182"/>
      <c r="PVD182"/>
      <c r="PVE182"/>
      <c r="PVF182"/>
      <c r="PVG182"/>
      <c r="PVH182"/>
      <c r="PVI182"/>
      <c r="PVJ182"/>
      <c r="PVK182"/>
      <c r="PVL182"/>
      <c r="PVM182"/>
      <c r="PVN182"/>
      <c r="PVO182"/>
      <c r="PVP182"/>
      <c r="PVQ182"/>
      <c r="PVR182"/>
      <c r="PVS182"/>
      <c r="PVT182"/>
      <c r="PVU182"/>
      <c r="PVV182"/>
      <c r="PVW182"/>
      <c r="PVX182"/>
      <c r="PVY182"/>
      <c r="PVZ182"/>
      <c r="PWA182"/>
      <c r="PWB182"/>
      <c r="PWC182"/>
      <c r="PWD182"/>
      <c r="PWE182"/>
      <c r="PWF182"/>
      <c r="PWG182"/>
      <c r="PWH182"/>
      <c r="PWI182"/>
      <c r="PWJ182"/>
      <c r="PWK182"/>
      <c r="PWL182"/>
      <c r="PWM182"/>
      <c r="PWN182"/>
      <c r="PWO182"/>
      <c r="PWP182"/>
      <c r="PWQ182"/>
      <c r="PWR182"/>
      <c r="PWS182"/>
      <c r="PWT182"/>
      <c r="PWU182"/>
      <c r="PWV182"/>
      <c r="PWW182"/>
      <c r="PWX182"/>
      <c r="PWY182"/>
      <c r="PWZ182"/>
      <c r="PXA182"/>
      <c r="PXB182"/>
      <c r="PXC182"/>
      <c r="PXD182"/>
      <c r="PXE182"/>
      <c r="PXF182"/>
      <c r="PXG182"/>
      <c r="PXH182"/>
      <c r="PXI182"/>
      <c r="PXJ182"/>
      <c r="PXK182"/>
      <c r="PXL182"/>
      <c r="PXM182"/>
      <c r="PXN182"/>
      <c r="PXO182"/>
      <c r="PXP182"/>
      <c r="PXQ182"/>
      <c r="PXR182"/>
      <c r="PXS182"/>
      <c r="PXT182"/>
      <c r="PXU182"/>
      <c r="PXV182"/>
      <c r="PXW182"/>
      <c r="PXX182"/>
      <c r="PXY182"/>
      <c r="PXZ182"/>
      <c r="PYA182"/>
      <c r="PYB182"/>
      <c r="PYC182"/>
      <c r="PYD182"/>
      <c r="PYE182"/>
      <c r="PYF182"/>
      <c r="PYG182"/>
      <c r="PYH182"/>
      <c r="PYI182"/>
      <c r="PYJ182"/>
      <c r="PYK182"/>
      <c r="PYL182"/>
      <c r="PYM182"/>
      <c r="PYN182"/>
      <c r="PYO182"/>
      <c r="PYP182"/>
      <c r="PYQ182"/>
      <c r="PYR182"/>
      <c r="PYS182"/>
      <c r="PYT182"/>
      <c r="PYU182"/>
      <c r="PYV182"/>
      <c r="PYW182"/>
      <c r="PYX182"/>
      <c r="PYY182"/>
      <c r="PYZ182"/>
      <c r="PZA182"/>
      <c r="PZB182"/>
      <c r="PZC182"/>
      <c r="PZD182"/>
      <c r="PZE182"/>
      <c r="PZF182"/>
      <c r="PZG182"/>
      <c r="PZH182"/>
      <c r="PZI182"/>
      <c r="PZJ182"/>
      <c r="PZK182"/>
      <c r="PZL182"/>
      <c r="PZM182"/>
      <c r="PZN182"/>
      <c r="PZO182"/>
      <c r="PZP182"/>
      <c r="PZQ182"/>
      <c r="PZR182"/>
      <c r="PZS182"/>
      <c r="PZT182"/>
      <c r="PZU182"/>
      <c r="PZV182"/>
      <c r="PZW182"/>
      <c r="PZX182"/>
      <c r="PZY182"/>
      <c r="PZZ182"/>
      <c r="QAA182"/>
      <c r="QAB182"/>
      <c r="QAC182"/>
      <c r="QAD182"/>
      <c r="QAE182"/>
      <c r="QAF182"/>
      <c r="QAG182"/>
      <c r="QAH182"/>
      <c r="QAI182"/>
      <c r="QAJ182"/>
      <c r="QAK182"/>
      <c r="QAL182"/>
      <c r="QAM182"/>
      <c r="QAN182"/>
      <c r="QAO182"/>
      <c r="QAP182"/>
      <c r="QAQ182"/>
      <c r="QAR182"/>
      <c r="QAS182"/>
      <c r="QAT182"/>
      <c r="QAU182"/>
      <c r="QAV182"/>
      <c r="QAW182"/>
      <c r="QAX182"/>
      <c r="QAY182"/>
      <c r="QAZ182"/>
      <c r="QBA182"/>
      <c r="QBB182"/>
      <c r="QBC182"/>
      <c r="QBD182"/>
      <c r="QBE182"/>
      <c r="QBF182"/>
      <c r="QBG182"/>
      <c r="QBH182"/>
      <c r="QBI182"/>
      <c r="QBJ182"/>
      <c r="QBK182"/>
      <c r="QBL182"/>
      <c r="QBM182"/>
      <c r="QBN182"/>
      <c r="QBO182"/>
      <c r="QBP182"/>
      <c r="QBQ182"/>
      <c r="QBR182"/>
      <c r="QBS182"/>
      <c r="QBT182"/>
      <c r="QBU182"/>
      <c r="QBV182"/>
      <c r="QBW182"/>
      <c r="QBX182"/>
      <c r="QBY182"/>
      <c r="QBZ182"/>
      <c r="QCA182"/>
      <c r="QCB182"/>
      <c r="QCC182"/>
      <c r="QCD182"/>
      <c r="QCE182"/>
      <c r="QCF182"/>
      <c r="QCG182"/>
      <c r="QCH182"/>
      <c r="QCI182"/>
      <c r="QCJ182"/>
      <c r="QCK182"/>
      <c r="QCL182"/>
      <c r="QCM182"/>
      <c r="QCN182"/>
      <c r="QCO182"/>
      <c r="QCP182"/>
      <c r="QCQ182"/>
      <c r="QCR182"/>
      <c r="QCS182"/>
      <c r="QCT182"/>
      <c r="QCU182"/>
      <c r="QCV182"/>
      <c r="QCW182"/>
      <c r="QCX182"/>
      <c r="QCY182"/>
      <c r="QCZ182"/>
      <c r="QDA182"/>
      <c r="QDB182"/>
      <c r="QDC182"/>
      <c r="QDD182"/>
      <c r="QDE182"/>
      <c r="QDF182"/>
      <c r="QDG182"/>
      <c r="QDH182"/>
      <c r="QDI182"/>
      <c r="QDJ182"/>
      <c r="QDK182"/>
      <c r="QDL182"/>
      <c r="QDM182"/>
      <c r="QDN182"/>
      <c r="QDO182"/>
      <c r="QDP182"/>
      <c r="QDQ182"/>
      <c r="QDR182"/>
      <c r="QDS182"/>
      <c r="QDT182"/>
      <c r="QDU182"/>
      <c r="QDV182"/>
      <c r="QDW182"/>
      <c r="QDX182"/>
      <c r="QDY182"/>
      <c r="QDZ182"/>
      <c r="QEA182"/>
      <c r="QEB182"/>
      <c r="QEC182"/>
      <c r="QED182"/>
      <c r="QEE182"/>
      <c r="QEF182"/>
      <c r="QEG182"/>
      <c r="QEH182"/>
      <c r="QEI182"/>
      <c r="QEJ182"/>
      <c r="QEK182"/>
      <c r="QEL182"/>
      <c r="QEM182"/>
      <c r="QEN182"/>
      <c r="QEO182"/>
      <c r="QEP182"/>
      <c r="QEQ182"/>
      <c r="QER182"/>
      <c r="QES182"/>
      <c r="QET182"/>
      <c r="QEU182"/>
      <c r="QEV182"/>
      <c r="QEW182"/>
      <c r="QEX182"/>
      <c r="QEY182"/>
      <c r="QEZ182"/>
      <c r="QFA182"/>
      <c r="QFB182"/>
      <c r="QFC182"/>
      <c r="QFD182"/>
      <c r="QFE182"/>
      <c r="QFF182"/>
      <c r="QFG182"/>
      <c r="QFH182"/>
      <c r="QFI182"/>
      <c r="QFJ182"/>
      <c r="QFK182"/>
      <c r="QFL182"/>
      <c r="QFM182"/>
      <c r="QFN182"/>
      <c r="QFO182"/>
      <c r="QFP182"/>
      <c r="QFQ182"/>
      <c r="QFR182"/>
      <c r="QFS182"/>
      <c r="QFT182"/>
      <c r="QFU182"/>
      <c r="QFV182"/>
      <c r="QFW182"/>
      <c r="QFX182"/>
      <c r="QFY182"/>
      <c r="QFZ182"/>
      <c r="QGA182"/>
      <c r="QGB182"/>
      <c r="QGC182"/>
      <c r="QGD182"/>
      <c r="QGE182"/>
      <c r="QGF182"/>
      <c r="QGG182"/>
      <c r="QGH182"/>
      <c r="QGI182"/>
      <c r="QGJ182"/>
      <c r="QGK182"/>
      <c r="QGL182"/>
      <c r="QGM182"/>
      <c r="QGN182"/>
      <c r="QGO182"/>
      <c r="QGP182"/>
      <c r="QGQ182"/>
      <c r="QGR182"/>
      <c r="QGS182"/>
      <c r="QGT182"/>
      <c r="QGU182"/>
      <c r="QGV182"/>
      <c r="QGW182"/>
      <c r="QGX182"/>
      <c r="QGY182"/>
      <c r="QGZ182"/>
      <c r="QHA182"/>
      <c r="QHB182"/>
      <c r="QHC182"/>
      <c r="QHD182"/>
      <c r="QHE182"/>
      <c r="QHF182"/>
      <c r="QHG182"/>
      <c r="QHH182"/>
      <c r="QHI182"/>
      <c r="QHJ182"/>
      <c r="QHK182"/>
      <c r="QHL182"/>
      <c r="QHM182"/>
      <c r="QHN182"/>
      <c r="QHO182"/>
      <c r="QHP182"/>
      <c r="QHQ182"/>
      <c r="QHR182"/>
      <c r="QHS182"/>
      <c r="QHT182"/>
      <c r="QHU182"/>
      <c r="QHV182"/>
      <c r="QHW182"/>
      <c r="QHX182"/>
      <c r="QHY182"/>
      <c r="QHZ182"/>
      <c r="QIA182"/>
      <c r="QIB182"/>
      <c r="QIC182"/>
      <c r="QID182"/>
      <c r="QIE182"/>
      <c r="QIF182"/>
      <c r="QIG182"/>
      <c r="QIH182"/>
      <c r="QII182"/>
      <c r="QIJ182"/>
      <c r="QIK182"/>
      <c r="QIL182"/>
      <c r="QIM182"/>
      <c r="QIN182"/>
      <c r="QIO182"/>
      <c r="QIP182"/>
      <c r="QIQ182"/>
      <c r="QIR182"/>
      <c r="QIS182"/>
      <c r="QIT182"/>
      <c r="QIU182"/>
      <c r="QIV182"/>
      <c r="QIW182"/>
      <c r="QIX182"/>
      <c r="QIY182"/>
      <c r="QIZ182"/>
      <c r="QJA182"/>
      <c r="QJB182"/>
      <c r="QJC182"/>
      <c r="QJD182"/>
      <c r="QJE182"/>
      <c r="QJF182"/>
      <c r="QJG182"/>
      <c r="QJH182"/>
      <c r="QJI182"/>
      <c r="QJJ182"/>
      <c r="QJK182"/>
      <c r="QJL182"/>
      <c r="QJM182"/>
      <c r="QJN182"/>
      <c r="QJO182"/>
      <c r="QJP182"/>
      <c r="QJQ182"/>
      <c r="QJR182"/>
      <c r="QJS182"/>
      <c r="QJT182"/>
      <c r="QJU182"/>
      <c r="QJV182"/>
      <c r="QJW182"/>
      <c r="QJX182"/>
      <c r="QJY182"/>
      <c r="QJZ182"/>
      <c r="QKA182"/>
      <c r="QKB182"/>
      <c r="QKC182"/>
      <c r="QKD182"/>
      <c r="QKE182"/>
      <c r="QKF182"/>
      <c r="QKG182"/>
      <c r="QKH182"/>
      <c r="QKI182"/>
      <c r="QKJ182"/>
      <c r="QKK182"/>
      <c r="QKL182"/>
      <c r="QKM182"/>
      <c r="QKN182"/>
      <c r="QKO182"/>
      <c r="QKP182"/>
      <c r="QKQ182"/>
      <c r="QKR182"/>
      <c r="QKS182"/>
      <c r="QKT182"/>
      <c r="QKU182"/>
      <c r="QKV182"/>
      <c r="QKW182"/>
      <c r="QKX182"/>
      <c r="QKY182"/>
      <c r="QKZ182"/>
      <c r="QLA182"/>
      <c r="QLB182"/>
      <c r="QLC182"/>
      <c r="QLD182"/>
      <c r="QLE182"/>
      <c r="QLF182"/>
      <c r="QLG182"/>
      <c r="QLH182"/>
      <c r="QLI182"/>
      <c r="QLJ182"/>
      <c r="QLK182"/>
      <c r="QLL182"/>
      <c r="QLM182"/>
      <c r="QLN182"/>
      <c r="QLO182"/>
      <c r="QLP182"/>
      <c r="QLQ182"/>
      <c r="QLR182"/>
      <c r="QLS182"/>
      <c r="QLT182"/>
      <c r="QLU182"/>
      <c r="QLV182"/>
      <c r="QLW182"/>
      <c r="QLX182"/>
      <c r="QLY182"/>
      <c r="QLZ182"/>
      <c r="QMA182"/>
      <c r="QMB182"/>
      <c r="QMC182"/>
      <c r="QMD182"/>
      <c r="QME182"/>
      <c r="QMF182"/>
      <c r="QMG182"/>
      <c r="QMH182"/>
      <c r="QMI182"/>
      <c r="QMJ182"/>
      <c r="QMK182"/>
      <c r="QML182"/>
      <c r="QMM182"/>
      <c r="QMN182"/>
      <c r="QMO182"/>
      <c r="QMP182"/>
      <c r="QMQ182"/>
      <c r="QMR182"/>
      <c r="QMS182"/>
      <c r="QMT182"/>
      <c r="QMU182"/>
      <c r="QMV182"/>
      <c r="QMW182"/>
      <c r="QMX182"/>
      <c r="QMY182"/>
      <c r="QMZ182"/>
      <c r="QNA182"/>
      <c r="QNB182"/>
      <c r="QNC182"/>
      <c r="QND182"/>
      <c r="QNE182"/>
      <c r="QNF182"/>
      <c r="QNG182"/>
      <c r="QNH182"/>
      <c r="QNI182"/>
      <c r="QNJ182"/>
      <c r="QNK182"/>
      <c r="QNL182"/>
      <c r="QNM182"/>
      <c r="QNN182"/>
      <c r="QNO182"/>
      <c r="QNP182"/>
      <c r="QNQ182"/>
      <c r="QNR182"/>
      <c r="QNS182"/>
      <c r="QNT182"/>
      <c r="QNU182"/>
      <c r="QNV182"/>
      <c r="QNW182"/>
      <c r="QNX182"/>
      <c r="QNY182"/>
      <c r="QNZ182"/>
      <c r="QOA182"/>
      <c r="QOB182"/>
      <c r="QOC182"/>
      <c r="QOD182"/>
      <c r="QOE182"/>
      <c r="QOF182"/>
      <c r="QOG182"/>
      <c r="QOH182"/>
      <c r="QOI182"/>
      <c r="QOJ182"/>
      <c r="QOK182"/>
      <c r="QOL182"/>
      <c r="QOM182"/>
      <c r="QON182"/>
      <c r="QOO182"/>
      <c r="QOP182"/>
      <c r="QOQ182"/>
      <c r="QOR182"/>
      <c r="QOS182"/>
      <c r="QOT182"/>
      <c r="QOU182"/>
      <c r="QOV182"/>
      <c r="QOW182"/>
      <c r="QOX182"/>
      <c r="QOY182"/>
      <c r="QOZ182"/>
      <c r="QPA182"/>
      <c r="QPB182"/>
      <c r="QPC182"/>
      <c r="QPD182"/>
      <c r="QPE182"/>
      <c r="QPF182"/>
      <c r="QPG182"/>
      <c r="QPH182"/>
      <c r="QPI182"/>
      <c r="QPJ182"/>
      <c r="QPK182"/>
      <c r="QPL182"/>
      <c r="QPM182"/>
      <c r="QPN182"/>
      <c r="QPO182"/>
      <c r="QPP182"/>
      <c r="QPQ182"/>
      <c r="QPR182"/>
      <c r="QPS182"/>
      <c r="QPT182"/>
      <c r="QPU182"/>
      <c r="QPV182"/>
      <c r="QPW182"/>
      <c r="QPX182"/>
      <c r="QPY182"/>
      <c r="QPZ182"/>
      <c r="QQA182"/>
      <c r="QQB182"/>
      <c r="QQC182"/>
      <c r="QQD182"/>
      <c r="QQE182"/>
      <c r="QQF182"/>
      <c r="QQG182"/>
      <c r="QQH182"/>
      <c r="QQI182"/>
      <c r="QQJ182"/>
      <c r="QQK182"/>
      <c r="QQL182"/>
      <c r="QQM182"/>
      <c r="QQN182"/>
      <c r="QQO182"/>
      <c r="QQP182"/>
      <c r="QQQ182"/>
      <c r="QQR182"/>
      <c r="QQS182"/>
      <c r="QQT182"/>
      <c r="QQU182"/>
      <c r="QQV182"/>
      <c r="QQW182"/>
      <c r="QQX182"/>
      <c r="QQY182"/>
      <c r="QQZ182"/>
      <c r="QRA182"/>
      <c r="QRB182"/>
      <c r="QRC182"/>
      <c r="QRD182"/>
      <c r="QRE182"/>
      <c r="QRF182"/>
      <c r="QRG182"/>
      <c r="QRH182"/>
      <c r="QRI182"/>
      <c r="QRJ182"/>
      <c r="QRK182"/>
      <c r="QRL182"/>
      <c r="QRM182"/>
      <c r="QRN182"/>
      <c r="QRO182"/>
      <c r="QRP182"/>
      <c r="QRQ182"/>
      <c r="QRR182"/>
      <c r="QRS182"/>
      <c r="QRT182"/>
      <c r="QRU182"/>
      <c r="QRV182"/>
      <c r="QRW182"/>
      <c r="QRX182"/>
      <c r="QRY182"/>
      <c r="QRZ182"/>
      <c r="QSA182"/>
      <c r="QSB182"/>
      <c r="QSC182"/>
      <c r="QSD182"/>
      <c r="QSE182"/>
      <c r="QSF182"/>
      <c r="QSG182"/>
      <c r="QSH182"/>
      <c r="QSI182"/>
      <c r="QSJ182"/>
      <c r="QSK182"/>
      <c r="QSL182"/>
      <c r="QSM182"/>
      <c r="QSN182"/>
      <c r="QSO182"/>
      <c r="QSP182"/>
      <c r="QSQ182"/>
      <c r="QSR182"/>
      <c r="QSS182"/>
      <c r="QST182"/>
      <c r="QSU182"/>
      <c r="QSV182"/>
      <c r="QSW182"/>
      <c r="QSX182"/>
      <c r="QSY182"/>
      <c r="QSZ182"/>
      <c r="QTA182"/>
      <c r="QTB182"/>
      <c r="QTC182"/>
      <c r="QTD182"/>
      <c r="QTE182"/>
      <c r="QTF182"/>
      <c r="QTG182"/>
      <c r="QTH182"/>
      <c r="QTI182"/>
      <c r="QTJ182"/>
      <c r="QTK182"/>
      <c r="QTL182"/>
      <c r="QTM182"/>
      <c r="QTN182"/>
      <c r="QTO182"/>
      <c r="QTP182"/>
      <c r="QTQ182"/>
      <c r="QTR182"/>
      <c r="QTS182"/>
      <c r="QTT182"/>
      <c r="QTU182"/>
      <c r="QTV182"/>
      <c r="QTW182"/>
      <c r="QTX182"/>
      <c r="QTY182"/>
      <c r="QTZ182"/>
      <c r="QUA182"/>
      <c r="QUB182"/>
      <c r="QUC182"/>
      <c r="QUD182"/>
      <c r="QUE182"/>
      <c r="QUF182"/>
      <c r="QUG182"/>
      <c r="QUH182"/>
      <c r="QUI182"/>
      <c r="QUJ182"/>
      <c r="QUK182"/>
      <c r="QUL182"/>
      <c r="QUM182"/>
      <c r="QUN182"/>
      <c r="QUO182"/>
      <c r="QUP182"/>
      <c r="QUQ182"/>
      <c r="QUR182"/>
      <c r="QUS182"/>
      <c r="QUT182"/>
      <c r="QUU182"/>
      <c r="QUV182"/>
      <c r="QUW182"/>
      <c r="QUX182"/>
      <c r="QUY182"/>
      <c r="QUZ182"/>
      <c r="QVA182"/>
      <c r="QVB182"/>
      <c r="QVC182"/>
      <c r="QVD182"/>
      <c r="QVE182"/>
      <c r="QVF182"/>
      <c r="QVG182"/>
      <c r="QVH182"/>
      <c r="QVI182"/>
      <c r="QVJ182"/>
      <c r="QVK182"/>
      <c r="QVL182"/>
      <c r="QVM182"/>
      <c r="QVN182"/>
      <c r="QVO182"/>
      <c r="QVP182"/>
      <c r="QVQ182"/>
      <c r="QVR182"/>
      <c r="QVS182"/>
      <c r="QVT182"/>
      <c r="QVU182"/>
      <c r="QVV182"/>
      <c r="QVW182"/>
      <c r="QVX182"/>
      <c r="QVY182"/>
      <c r="QVZ182"/>
      <c r="QWA182"/>
      <c r="QWB182"/>
      <c r="QWC182"/>
      <c r="QWD182"/>
      <c r="QWE182"/>
      <c r="QWF182"/>
      <c r="QWG182"/>
      <c r="QWH182"/>
      <c r="QWI182"/>
      <c r="QWJ182"/>
      <c r="QWK182"/>
      <c r="QWL182"/>
      <c r="QWM182"/>
      <c r="QWN182"/>
      <c r="QWO182"/>
      <c r="QWP182"/>
      <c r="QWQ182"/>
      <c r="QWR182"/>
      <c r="QWS182"/>
      <c r="QWT182"/>
      <c r="QWU182"/>
      <c r="QWV182"/>
      <c r="QWW182"/>
      <c r="QWX182"/>
      <c r="QWY182"/>
      <c r="QWZ182"/>
      <c r="QXA182"/>
      <c r="QXB182"/>
      <c r="QXC182"/>
      <c r="QXD182"/>
      <c r="QXE182"/>
      <c r="QXF182"/>
      <c r="QXG182"/>
      <c r="QXH182"/>
      <c r="QXI182"/>
      <c r="QXJ182"/>
      <c r="QXK182"/>
      <c r="QXL182"/>
      <c r="QXM182"/>
      <c r="QXN182"/>
      <c r="QXO182"/>
      <c r="QXP182"/>
      <c r="QXQ182"/>
      <c r="QXR182"/>
      <c r="QXS182"/>
      <c r="QXT182"/>
      <c r="QXU182"/>
      <c r="QXV182"/>
      <c r="QXW182"/>
      <c r="QXX182"/>
      <c r="QXY182"/>
      <c r="QXZ182"/>
      <c r="QYA182"/>
      <c r="QYB182"/>
      <c r="QYC182"/>
      <c r="QYD182"/>
      <c r="QYE182"/>
      <c r="QYF182"/>
      <c r="QYG182"/>
      <c r="QYH182"/>
      <c r="QYI182"/>
      <c r="QYJ182"/>
      <c r="QYK182"/>
      <c r="QYL182"/>
      <c r="QYM182"/>
      <c r="QYN182"/>
      <c r="QYO182"/>
      <c r="QYP182"/>
      <c r="QYQ182"/>
      <c r="QYR182"/>
      <c r="QYS182"/>
      <c r="QYT182"/>
      <c r="QYU182"/>
      <c r="QYV182"/>
      <c r="QYW182"/>
      <c r="QYX182"/>
      <c r="QYY182"/>
      <c r="QYZ182"/>
      <c r="QZA182"/>
      <c r="QZB182"/>
      <c r="QZC182"/>
      <c r="QZD182"/>
      <c r="QZE182"/>
      <c r="QZF182"/>
      <c r="QZG182"/>
      <c r="QZH182"/>
      <c r="QZI182"/>
      <c r="QZJ182"/>
      <c r="QZK182"/>
      <c r="QZL182"/>
      <c r="QZM182"/>
      <c r="QZN182"/>
      <c r="QZO182"/>
      <c r="QZP182"/>
      <c r="QZQ182"/>
      <c r="QZR182"/>
      <c r="QZS182"/>
      <c r="QZT182"/>
      <c r="QZU182"/>
      <c r="QZV182"/>
      <c r="QZW182"/>
      <c r="QZX182"/>
      <c r="QZY182"/>
      <c r="QZZ182"/>
      <c r="RAA182"/>
      <c r="RAB182"/>
      <c r="RAC182"/>
      <c r="RAD182"/>
      <c r="RAE182"/>
      <c r="RAF182"/>
      <c r="RAG182"/>
      <c r="RAH182"/>
      <c r="RAI182"/>
      <c r="RAJ182"/>
      <c r="RAK182"/>
      <c r="RAL182"/>
      <c r="RAM182"/>
      <c r="RAN182"/>
      <c r="RAO182"/>
      <c r="RAP182"/>
      <c r="RAQ182"/>
      <c r="RAR182"/>
      <c r="RAS182"/>
      <c r="RAT182"/>
      <c r="RAU182"/>
      <c r="RAV182"/>
      <c r="RAW182"/>
      <c r="RAX182"/>
      <c r="RAY182"/>
      <c r="RAZ182"/>
      <c r="RBA182"/>
      <c r="RBB182"/>
      <c r="RBC182"/>
      <c r="RBD182"/>
      <c r="RBE182"/>
      <c r="RBF182"/>
      <c r="RBG182"/>
      <c r="RBH182"/>
      <c r="RBI182"/>
      <c r="RBJ182"/>
      <c r="RBK182"/>
      <c r="RBL182"/>
      <c r="RBM182"/>
      <c r="RBN182"/>
      <c r="RBO182"/>
      <c r="RBP182"/>
      <c r="RBQ182"/>
      <c r="RBR182"/>
      <c r="RBS182"/>
      <c r="RBT182"/>
      <c r="RBU182"/>
      <c r="RBV182"/>
      <c r="RBW182"/>
      <c r="RBX182"/>
      <c r="RBY182"/>
      <c r="RBZ182"/>
      <c r="RCA182"/>
      <c r="RCB182"/>
      <c r="RCC182"/>
      <c r="RCD182"/>
      <c r="RCE182"/>
      <c r="RCF182"/>
      <c r="RCG182"/>
      <c r="RCH182"/>
      <c r="RCI182"/>
      <c r="RCJ182"/>
      <c r="RCK182"/>
      <c r="RCL182"/>
      <c r="RCM182"/>
      <c r="RCN182"/>
      <c r="RCO182"/>
      <c r="RCP182"/>
      <c r="RCQ182"/>
      <c r="RCR182"/>
      <c r="RCS182"/>
      <c r="RCT182"/>
      <c r="RCU182"/>
      <c r="RCV182"/>
      <c r="RCW182"/>
      <c r="RCX182"/>
      <c r="RCY182"/>
      <c r="RCZ182"/>
      <c r="RDA182"/>
      <c r="RDB182"/>
      <c r="RDC182"/>
      <c r="RDD182"/>
      <c r="RDE182"/>
      <c r="RDF182"/>
      <c r="RDG182"/>
      <c r="RDH182"/>
      <c r="RDI182"/>
      <c r="RDJ182"/>
      <c r="RDK182"/>
      <c r="RDL182"/>
      <c r="RDM182"/>
      <c r="RDN182"/>
      <c r="RDO182"/>
      <c r="RDP182"/>
      <c r="RDQ182"/>
      <c r="RDR182"/>
      <c r="RDS182"/>
      <c r="RDT182"/>
      <c r="RDU182"/>
      <c r="RDV182"/>
      <c r="RDW182"/>
      <c r="RDX182"/>
      <c r="RDY182"/>
      <c r="RDZ182"/>
      <c r="REA182"/>
      <c r="REB182"/>
      <c r="REC182"/>
      <c r="RED182"/>
      <c r="REE182"/>
      <c r="REF182"/>
      <c r="REG182"/>
      <c r="REH182"/>
      <c r="REI182"/>
      <c r="REJ182"/>
      <c r="REK182"/>
      <c r="REL182"/>
      <c r="REM182"/>
      <c r="REN182"/>
      <c r="REO182"/>
      <c r="REP182"/>
      <c r="REQ182"/>
      <c r="RER182"/>
      <c r="RES182"/>
      <c r="RET182"/>
      <c r="REU182"/>
      <c r="REV182"/>
      <c r="REW182"/>
      <c r="REX182"/>
      <c r="REY182"/>
      <c r="REZ182"/>
      <c r="RFA182"/>
      <c r="RFB182"/>
      <c r="RFC182"/>
      <c r="RFD182"/>
      <c r="RFE182"/>
      <c r="RFF182"/>
      <c r="RFG182"/>
      <c r="RFH182"/>
      <c r="RFI182"/>
      <c r="RFJ182"/>
      <c r="RFK182"/>
      <c r="RFL182"/>
      <c r="RFM182"/>
      <c r="RFN182"/>
      <c r="RFO182"/>
      <c r="RFP182"/>
      <c r="RFQ182"/>
      <c r="RFR182"/>
      <c r="RFS182"/>
      <c r="RFT182"/>
      <c r="RFU182"/>
      <c r="RFV182"/>
      <c r="RFW182"/>
      <c r="RFX182"/>
      <c r="RFY182"/>
      <c r="RFZ182"/>
      <c r="RGA182"/>
      <c r="RGB182"/>
      <c r="RGC182"/>
      <c r="RGD182"/>
      <c r="RGE182"/>
      <c r="RGF182"/>
      <c r="RGG182"/>
      <c r="RGH182"/>
      <c r="RGI182"/>
      <c r="RGJ182"/>
      <c r="RGK182"/>
      <c r="RGL182"/>
      <c r="RGM182"/>
      <c r="RGN182"/>
      <c r="RGO182"/>
      <c r="RGP182"/>
      <c r="RGQ182"/>
      <c r="RGR182"/>
      <c r="RGS182"/>
      <c r="RGT182"/>
      <c r="RGU182"/>
      <c r="RGV182"/>
      <c r="RGW182"/>
      <c r="RGX182"/>
      <c r="RGY182"/>
      <c r="RGZ182"/>
      <c r="RHA182"/>
      <c r="RHB182"/>
      <c r="RHC182"/>
      <c r="RHD182"/>
      <c r="RHE182"/>
      <c r="RHF182"/>
      <c r="RHG182"/>
      <c r="RHH182"/>
      <c r="RHI182"/>
      <c r="RHJ182"/>
      <c r="RHK182"/>
      <c r="RHL182"/>
      <c r="RHM182"/>
      <c r="RHN182"/>
      <c r="RHO182"/>
      <c r="RHP182"/>
      <c r="RHQ182"/>
      <c r="RHR182"/>
      <c r="RHS182"/>
      <c r="RHT182"/>
      <c r="RHU182"/>
      <c r="RHV182"/>
      <c r="RHW182"/>
      <c r="RHX182"/>
      <c r="RHY182"/>
      <c r="RHZ182"/>
      <c r="RIA182"/>
      <c r="RIB182"/>
      <c r="RIC182"/>
      <c r="RID182"/>
      <c r="RIE182"/>
      <c r="RIF182"/>
      <c r="RIG182"/>
      <c r="RIH182"/>
      <c r="RII182"/>
      <c r="RIJ182"/>
      <c r="RIK182"/>
      <c r="RIL182"/>
      <c r="RIM182"/>
      <c r="RIN182"/>
      <c r="RIO182"/>
      <c r="RIP182"/>
      <c r="RIQ182"/>
      <c r="RIR182"/>
      <c r="RIS182"/>
      <c r="RIT182"/>
      <c r="RIU182"/>
      <c r="RIV182"/>
      <c r="RIW182"/>
      <c r="RIX182"/>
      <c r="RIY182"/>
      <c r="RIZ182"/>
      <c r="RJA182"/>
      <c r="RJB182"/>
      <c r="RJC182"/>
      <c r="RJD182"/>
      <c r="RJE182"/>
      <c r="RJF182"/>
      <c r="RJG182"/>
      <c r="RJH182"/>
      <c r="RJI182"/>
      <c r="RJJ182"/>
      <c r="RJK182"/>
      <c r="RJL182"/>
      <c r="RJM182"/>
      <c r="RJN182"/>
      <c r="RJO182"/>
      <c r="RJP182"/>
      <c r="RJQ182"/>
      <c r="RJR182"/>
      <c r="RJS182"/>
      <c r="RJT182"/>
      <c r="RJU182"/>
      <c r="RJV182"/>
      <c r="RJW182"/>
      <c r="RJX182"/>
      <c r="RJY182"/>
      <c r="RJZ182"/>
      <c r="RKA182"/>
      <c r="RKB182"/>
      <c r="RKC182"/>
      <c r="RKD182"/>
      <c r="RKE182"/>
      <c r="RKF182"/>
      <c r="RKG182"/>
      <c r="RKH182"/>
      <c r="RKI182"/>
      <c r="RKJ182"/>
      <c r="RKK182"/>
      <c r="RKL182"/>
      <c r="RKM182"/>
      <c r="RKN182"/>
      <c r="RKO182"/>
      <c r="RKP182"/>
      <c r="RKQ182"/>
      <c r="RKR182"/>
      <c r="RKS182"/>
      <c r="RKT182"/>
      <c r="RKU182"/>
      <c r="RKV182"/>
      <c r="RKW182"/>
      <c r="RKX182"/>
      <c r="RKY182"/>
      <c r="RKZ182"/>
      <c r="RLA182"/>
      <c r="RLB182"/>
      <c r="RLC182"/>
      <c r="RLD182"/>
      <c r="RLE182"/>
      <c r="RLF182"/>
      <c r="RLG182"/>
      <c r="RLH182"/>
      <c r="RLI182"/>
      <c r="RLJ182"/>
      <c r="RLK182"/>
      <c r="RLL182"/>
      <c r="RLM182"/>
      <c r="RLN182"/>
      <c r="RLO182"/>
      <c r="RLP182"/>
      <c r="RLQ182"/>
      <c r="RLR182"/>
      <c r="RLS182"/>
      <c r="RLT182"/>
      <c r="RLU182"/>
      <c r="RLV182"/>
      <c r="RLW182"/>
      <c r="RLX182"/>
      <c r="RLY182"/>
      <c r="RLZ182"/>
      <c r="RMA182"/>
      <c r="RMB182"/>
      <c r="RMC182"/>
      <c r="RMD182"/>
      <c r="RME182"/>
      <c r="RMF182"/>
      <c r="RMG182"/>
      <c r="RMH182"/>
      <c r="RMI182"/>
      <c r="RMJ182"/>
      <c r="RMK182"/>
      <c r="RML182"/>
      <c r="RMM182"/>
      <c r="RMN182"/>
      <c r="RMO182"/>
      <c r="RMP182"/>
      <c r="RMQ182"/>
      <c r="RMR182"/>
      <c r="RMS182"/>
      <c r="RMT182"/>
      <c r="RMU182"/>
      <c r="RMV182"/>
      <c r="RMW182"/>
      <c r="RMX182"/>
      <c r="RMY182"/>
      <c r="RMZ182"/>
      <c r="RNA182"/>
      <c r="RNB182"/>
      <c r="RNC182"/>
      <c r="RND182"/>
      <c r="RNE182"/>
      <c r="RNF182"/>
      <c r="RNG182"/>
      <c r="RNH182"/>
      <c r="RNI182"/>
      <c r="RNJ182"/>
      <c r="RNK182"/>
      <c r="RNL182"/>
      <c r="RNM182"/>
      <c r="RNN182"/>
      <c r="RNO182"/>
      <c r="RNP182"/>
      <c r="RNQ182"/>
      <c r="RNR182"/>
      <c r="RNS182"/>
      <c r="RNT182"/>
      <c r="RNU182"/>
      <c r="RNV182"/>
      <c r="RNW182"/>
      <c r="RNX182"/>
      <c r="RNY182"/>
      <c r="RNZ182"/>
      <c r="ROA182"/>
      <c r="ROB182"/>
      <c r="ROC182"/>
      <c r="ROD182"/>
      <c r="ROE182"/>
      <c r="ROF182"/>
      <c r="ROG182"/>
      <c r="ROH182"/>
      <c r="ROI182"/>
      <c r="ROJ182"/>
      <c r="ROK182"/>
      <c r="ROL182"/>
      <c r="ROM182"/>
      <c r="RON182"/>
      <c r="ROO182"/>
      <c r="ROP182"/>
      <c r="ROQ182"/>
      <c r="ROR182"/>
      <c r="ROS182"/>
      <c r="ROT182"/>
      <c r="ROU182"/>
      <c r="ROV182"/>
      <c r="ROW182"/>
      <c r="ROX182"/>
      <c r="ROY182"/>
      <c r="ROZ182"/>
      <c r="RPA182"/>
      <c r="RPB182"/>
      <c r="RPC182"/>
      <c r="RPD182"/>
      <c r="RPE182"/>
      <c r="RPF182"/>
      <c r="RPG182"/>
      <c r="RPH182"/>
      <c r="RPI182"/>
      <c r="RPJ182"/>
      <c r="RPK182"/>
      <c r="RPL182"/>
      <c r="RPM182"/>
      <c r="RPN182"/>
      <c r="RPO182"/>
      <c r="RPP182"/>
      <c r="RPQ182"/>
      <c r="RPR182"/>
      <c r="RPS182"/>
      <c r="RPT182"/>
      <c r="RPU182"/>
      <c r="RPV182"/>
      <c r="RPW182"/>
      <c r="RPX182"/>
      <c r="RPY182"/>
      <c r="RPZ182"/>
      <c r="RQA182"/>
      <c r="RQB182"/>
      <c r="RQC182"/>
      <c r="RQD182"/>
      <c r="RQE182"/>
      <c r="RQF182"/>
      <c r="RQG182"/>
      <c r="RQH182"/>
      <c r="RQI182"/>
      <c r="RQJ182"/>
      <c r="RQK182"/>
      <c r="RQL182"/>
      <c r="RQM182"/>
      <c r="RQN182"/>
      <c r="RQO182"/>
      <c r="RQP182"/>
      <c r="RQQ182"/>
      <c r="RQR182"/>
      <c r="RQS182"/>
      <c r="RQT182"/>
      <c r="RQU182"/>
      <c r="RQV182"/>
      <c r="RQW182"/>
      <c r="RQX182"/>
      <c r="RQY182"/>
      <c r="RQZ182"/>
      <c r="RRA182"/>
      <c r="RRB182"/>
      <c r="RRC182"/>
      <c r="RRD182"/>
      <c r="RRE182"/>
      <c r="RRF182"/>
      <c r="RRG182"/>
      <c r="RRH182"/>
      <c r="RRI182"/>
      <c r="RRJ182"/>
      <c r="RRK182"/>
      <c r="RRL182"/>
      <c r="RRM182"/>
      <c r="RRN182"/>
      <c r="RRO182"/>
      <c r="RRP182"/>
      <c r="RRQ182"/>
      <c r="RRR182"/>
      <c r="RRS182"/>
      <c r="RRT182"/>
      <c r="RRU182"/>
      <c r="RRV182"/>
      <c r="RRW182"/>
      <c r="RRX182"/>
      <c r="RRY182"/>
      <c r="RRZ182"/>
      <c r="RSA182"/>
      <c r="RSB182"/>
      <c r="RSC182"/>
      <c r="RSD182"/>
      <c r="RSE182"/>
      <c r="RSF182"/>
      <c r="RSG182"/>
      <c r="RSH182"/>
      <c r="RSI182"/>
      <c r="RSJ182"/>
      <c r="RSK182"/>
      <c r="RSL182"/>
      <c r="RSM182"/>
      <c r="RSN182"/>
      <c r="RSO182"/>
      <c r="RSP182"/>
      <c r="RSQ182"/>
      <c r="RSR182"/>
      <c r="RSS182"/>
      <c r="RST182"/>
      <c r="RSU182"/>
      <c r="RSV182"/>
      <c r="RSW182"/>
      <c r="RSX182"/>
      <c r="RSY182"/>
      <c r="RSZ182"/>
      <c r="RTA182"/>
      <c r="RTB182"/>
      <c r="RTC182"/>
      <c r="RTD182"/>
      <c r="RTE182"/>
      <c r="RTF182"/>
      <c r="RTG182"/>
      <c r="RTH182"/>
      <c r="RTI182"/>
      <c r="RTJ182"/>
      <c r="RTK182"/>
      <c r="RTL182"/>
      <c r="RTM182"/>
      <c r="RTN182"/>
      <c r="RTO182"/>
      <c r="RTP182"/>
      <c r="RTQ182"/>
      <c r="RTR182"/>
      <c r="RTS182"/>
      <c r="RTT182"/>
      <c r="RTU182"/>
      <c r="RTV182"/>
      <c r="RTW182"/>
      <c r="RTX182"/>
      <c r="RTY182"/>
      <c r="RTZ182"/>
      <c r="RUA182"/>
      <c r="RUB182"/>
      <c r="RUC182"/>
      <c r="RUD182"/>
      <c r="RUE182"/>
      <c r="RUF182"/>
      <c r="RUG182"/>
      <c r="RUH182"/>
      <c r="RUI182"/>
      <c r="RUJ182"/>
      <c r="RUK182"/>
      <c r="RUL182"/>
      <c r="RUM182"/>
      <c r="RUN182"/>
      <c r="RUO182"/>
      <c r="RUP182"/>
      <c r="RUQ182"/>
      <c r="RUR182"/>
      <c r="RUS182"/>
      <c r="RUT182"/>
      <c r="RUU182"/>
      <c r="RUV182"/>
      <c r="RUW182"/>
      <c r="RUX182"/>
      <c r="RUY182"/>
      <c r="RUZ182"/>
      <c r="RVA182"/>
      <c r="RVB182"/>
      <c r="RVC182"/>
      <c r="RVD182"/>
      <c r="RVE182"/>
      <c r="RVF182"/>
      <c r="RVG182"/>
      <c r="RVH182"/>
      <c r="RVI182"/>
      <c r="RVJ182"/>
      <c r="RVK182"/>
      <c r="RVL182"/>
      <c r="RVM182"/>
      <c r="RVN182"/>
      <c r="RVO182"/>
      <c r="RVP182"/>
      <c r="RVQ182"/>
      <c r="RVR182"/>
      <c r="RVS182"/>
      <c r="RVT182"/>
      <c r="RVU182"/>
      <c r="RVV182"/>
      <c r="RVW182"/>
      <c r="RVX182"/>
      <c r="RVY182"/>
      <c r="RVZ182"/>
      <c r="RWA182"/>
      <c r="RWB182"/>
      <c r="RWC182"/>
      <c r="RWD182"/>
      <c r="RWE182"/>
      <c r="RWF182"/>
      <c r="RWG182"/>
      <c r="RWH182"/>
      <c r="RWI182"/>
      <c r="RWJ182"/>
      <c r="RWK182"/>
      <c r="RWL182"/>
      <c r="RWM182"/>
      <c r="RWN182"/>
      <c r="RWO182"/>
      <c r="RWP182"/>
      <c r="RWQ182"/>
      <c r="RWR182"/>
      <c r="RWS182"/>
      <c r="RWT182"/>
      <c r="RWU182"/>
      <c r="RWV182"/>
      <c r="RWW182"/>
      <c r="RWX182"/>
      <c r="RWY182"/>
      <c r="RWZ182"/>
      <c r="RXA182"/>
      <c r="RXB182"/>
      <c r="RXC182"/>
      <c r="RXD182"/>
      <c r="RXE182"/>
      <c r="RXF182"/>
      <c r="RXG182"/>
      <c r="RXH182"/>
      <c r="RXI182"/>
      <c r="RXJ182"/>
      <c r="RXK182"/>
      <c r="RXL182"/>
      <c r="RXM182"/>
      <c r="RXN182"/>
      <c r="RXO182"/>
      <c r="RXP182"/>
      <c r="RXQ182"/>
      <c r="RXR182"/>
      <c r="RXS182"/>
      <c r="RXT182"/>
      <c r="RXU182"/>
      <c r="RXV182"/>
      <c r="RXW182"/>
      <c r="RXX182"/>
      <c r="RXY182"/>
      <c r="RXZ182"/>
      <c r="RYA182"/>
      <c r="RYB182"/>
      <c r="RYC182"/>
      <c r="RYD182"/>
      <c r="RYE182"/>
      <c r="RYF182"/>
      <c r="RYG182"/>
      <c r="RYH182"/>
      <c r="RYI182"/>
      <c r="RYJ182"/>
      <c r="RYK182"/>
      <c r="RYL182"/>
      <c r="RYM182"/>
      <c r="RYN182"/>
      <c r="RYO182"/>
      <c r="RYP182"/>
      <c r="RYQ182"/>
      <c r="RYR182"/>
      <c r="RYS182"/>
      <c r="RYT182"/>
      <c r="RYU182"/>
      <c r="RYV182"/>
      <c r="RYW182"/>
      <c r="RYX182"/>
      <c r="RYY182"/>
      <c r="RYZ182"/>
      <c r="RZA182"/>
      <c r="RZB182"/>
      <c r="RZC182"/>
      <c r="RZD182"/>
      <c r="RZE182"/>
      <c r="RZF182"/>
      <c r="RZG182"/>
      <c r="RZH182"/>
      <c r="RZI182"/>
      <c r="RZJ182"/>
      <c r="RZK182"/>
      <c r="RZL182"/>
      <c r="RZM182"/>
      <c r="RZN182"/>
      <c r="RZO182"/>
      <c r="RZP182"/>
      <c r="RZQ182"/>
      <c r="RZR182"/>
      <c r="RZS182"/>
      <c r="RZT182"/>
      <c r="RZU182"/>
      <c r="RZV182"/>
      <c r="RZW182"/>
      <c r="RZX182"/>
      <c r="RZY182"/>
      <c r="RZZ182"/>
      <c r="SAA182"/>
      <c r="SAB182"/>
      <c r="SAC182"/>
      <c r="SAD182"/>
      <c r="SAE182"/>
      <c r="SAF182"/>
      <c r="SAG182"/>
      <c r="SAH182"/>
      <c r="SAI182"/>
      <c r="SAJ182"/>
      <c r="SAK182"/>
      <c r="SAL182"/>
      <c r="SAM182"/>
      <c r="SAN182"/>
      <c r="SAO182"/>
      <c r="SAP182"/>
      <c r="SAQ182"/>
      <c r="SAR182"/>
      <c r="SAS182"/>
      <c r="SAT182"/>
      <c r="SAU182"/>
      <c r="SAV182"/>
      <c r="SAW182"/>
      <c r="SAX182"/>
      <c r="SAY182"/>
      <c r="SAZ182"/>
      <c r="SBA182"/>
      <c r="SBB182"/>
      <c r="SBC182"/>
      <c r="SBD182"/>
      <c r="SBE182"/>
      <c r="SBF182"/>
      <c r="SBG182"/>
      <c r="SBH182"/>
      <c r="SBI182"/>
      <c r="SBJ182"/>
      <c r="SBK182"/>
      <c r="SBL182"/>
      <c r="SBM182"/>
      <c r="SBN182"/>
      <c r="SBO182"/>
      <c r="SBP182"/>
      <c r="SBQ182"/>
      <c r="SBR182"/>
      <c r="SBS182"/>
      <c r="SBT182"/>
      <c r="SBU182"/>
      <c r="SBV182"/>
      <c r="SBW182"/>
      <c r="SBX182"/>
      <c r="SBY182"/>
      <c r="SBZ182"/>
      <c r="SCA182"/>
      <c r="SCB182"/>
      <c r="SCC182"/>
      <c r="SCD182"/>
      <c r="SCE182"/>
      <c r="SCF182"/>
      <c r="SCG182"/>
      <c r="SCH182"/>
      <c r="SCI182"/>
      <c r="SCJ182"/>
      <c r="SCK182"/>
      <c r="SCL182"/>
      <c r="SCM182"/>
      <c r="SCN182"/>
      <c r="SCO182"/>
      <c r="SCP182"/>
      <c r="SCQ182"/>
      <c r="SCR182"/>
      <c r="SCS182"/>
      <c r="SCT182"/>
      <c r="SCU182"/>
      <c r="SCV182"/>
      <c r="SCW182"/>
      <c r="SCX182"/>
      <c r="SCY182"/>
      <c r="SCZ182"/>
      <c r="SDA182"/>
      <c r="SDB182"/>
      <c r="SDC182"/>
      <c r="SDD182"/>
      <c r="SDE182"/>
      <c r="SDF182"/>
      <c r="SDG182"/>
      <c r="SDH182"/>
      <c r="SDI182"/>
      <c r="SDJ182"/>
      <c r="SDK182"/>
      <c r="SDL182"/>
      <c r="SDM182"/>
      <c r="SDN182"/>
      <c r="SDO182"/>
      <c r="SDP182"/>
      <c r="SDQ182"/>
      <c r="SDR182"/>
      <c r="SDS182"/>
      <c r="SDT182"/>
      <c r="SDU182"/>
      <c r="SDV182"/>
      <c r="SDW182"/>
      <c r="SDX182"/>
      <c r="SDY182"/>
      <c r="SDZ182"/>
      <c r="SEA182"/>
      <c r="SEB182"/>
      <c r="SEC182"/>
      <c r="SED182"/>
      <c r="SEE182"/>
      <c r="SEF182"/>
      <c r="SEG182"/>
      <c r="SEH182"/>
      <c r="SEI182"/>
      <c r="SEJ182"/>
      <c r="SEK182"/>
      <c r="SEL182"/>
      <c r="SEM182"/>
      <c r="SEN182"/>
      <c r="SEO182"/>
      <c r="SEP182"/>
      <c r="SEQ182"/>
      <c r="SER182"/>
      <c r="SES182"/>
      <c r="SET182"/>
      <c r="SEU182"/>
      <c r="SEV182"/>
      <c r="SEW182"/>
      <c r="SEX182"/>
      <c r="SEY182"/>
      <c r="SEZ182"/>
      <c r="SFA182"/>
      <c r="SFB182"/>
      <c r="SFC182"/>
      <c r="SFD182"/>
      <c r="SFE182"/>
      <c r="SFF182"/>
      <c r="SFG182"/>
      <c r="SFH182"/>
      <c r="SFI182"/>
      <c r="SFJ182"/>
      <c r="SFK182"/>
      <c r="SFL182"/>
      <c r="SFM182"/>
      <c r="SFN182"/>
      <c r="SFO182"/>
      <c r="SFP182"/>
      <c r="SFQ182"/>
      <c r="SFR182"/>
      <c r="SFS182"/>
      <c r="SFT182"/>
      <c r="SFU182"/>
      <c r="SFV182"/>
      <c r="SFW182"/>
      <c r="SFX182"/>
      <c r="SFY182"/>
      <c r="SFZ182"/>
      <c r="SGA182"/>
      <c r="SGB182"/>
      <c r="SGC182"/>
      <c r="SGD182"/>
      <c r="SGE182"/>
      <c r="SGF182"/>
      <c r="SGG182"/>
      <c r="SGH182"/>
      <c r="SGI182"/>
      <c r="SGJ182"/>
      <c r="SGK182"/>
      <c r="SGL182"/>
      <c r="SGM182"/>
      <c r="SGN182"/>
      <c r="SGO182"/>
      <c r="SGP182"/>
      <c r="SGQ182"/>
      <c r="SGR182"/>
      <c r="SGS182"/>
      <c r="SGT182"/>
      <c r="SGU182"/>
      <c r="SGV182"/>
      <c r="SGW182"/>
      <c r="SGX182"/>
      <c r="SGY182"/>
      <c r="SGZ182"/>
      <c r="SHA182"/>
      <c r="SHB182"/>
      <c r="SHC182"/>
      <c r="SHD182"/>
      <c r="SHE182"/>
      <c r="SHF182"/>
      <c r="SHG182"/>
      <c r="SHH182"/>
      <c r="SHI182"/>
      <c r="SHJ182"/>
      <c r="SHK182"/>
      <c r="SHL182"/>
      <c r="SHM182"/>
      <c r="SHN182"/>
      <c r="SHO182"/>
      <c r="SHP182"/>
      <c r="SHQ182"/>
      <c r="SHR182"/>
      <c r="SHS182"/>
      <c r="SHT182"/>
      <c r="SHU182"/>
      <c r="SHV182"/>
      <c r="SHW182"/>
      <c r="SHX182"/>
      <c r="SHY182"/>
      <c r="SHZ182"/>
      <c r="SIA182"/>
      <c r="SIB182"/>
      <c r="SIC182"/>
      <c r="SID182"/>
      <c r="SIE182"/>
      <c r="SIF182"/>
      <c r="SIG182"/>
      <c r="SIH182"/>
      <c r="SII182"/>
      <c r="SIJ182"/>
      <c r="SIK182"/>
      <c r="SIL182"/>
      <c r="SIM182"/>
      <c r="SIN182"/>
      <c r="SIO182"/>
      <c r="SIP182"/>
      <c r="SIQ182"/>
      <c r="SIR182"/>
      <c r="SIS182"/>
      <c r="SIT182"/>
      <c r="SIU182"/>
      <c r="SIV182"/>
      <c r="SIW182"/>
      <c r="SIX182"/>
      <c r="SIY182"/>
      <c r="SIZ182"/>
      <c r="SJA182"/>
      <c r="SJB182"/>
      <c r="SJC182"/>
      <c r="SJD182"/>
      <c r="SJE182"/>
      <c r="SJF182"/>
      <c r="SJG182"/>
      <c r="SJH182"/>
      <c r="SJI182"/>
      <c r="SJJ182"/>
      <c r="SJK182"/>
      <c r="SJL182"/>
      <c r="SJM182"/>
      <c r="SJN182"/>
      <c r="SJO182"/>
      <c r="SJP182"/>
      <c r="SJQ182"/>
      <c r="SJR182"/>
      <c r="SJS182"/>
      <c r="SJT182"/>
      <c r="SJU182"/>
      <c r="SJV182"/>
      <c r="SJW182"/>
      <c r="SJX182"/>
      <c r="SJY182"/>
      <c r="SJZ182"/>
      <c r="SKA182"/>
      <c r="SKB182"/>
      <c r="SKC182"/>
      <c r="SKD182"/>
      <c r="SKE182"/>
      <c r="SKF182"/>
      <c r="SKG182"/>
      <c r="SKH182"/>
      <c r="SKI182"/>
      <c r="SKJ182"/>
      <c r="SKK182"/>
      <c r="SKL182"/>
      <c r="SKM182"/>
      <c r="SKN182"/>
      <c r="SKO182"/>
      <c r="SKP182"/>
      <c r="SKQ182"/>
      <c r="SKR182"/>
      <c r="SKS182"/>
      <c r="SKT182"/>
      <c r="SKU182"/>
      <c r="SKV182"/>
      <c r="SKW182"/>
      <c r="SKX182"/>
      <c r="SKY182"/>
      <c r="SKZ182"/>
      <c r="SLA182"/>
      <c r="SLB182"/>
      <c r="SLC182"/>
      <c r="SLD182"/>
      <c r="SLE182"/>
      <c r="SLF182"/>
      <c r="SLG182"/>
      <c r="SLH182"/>
      <c r="SLI182"/>
      <c r="SLJ182"/>
      <c r="SLK182"/>
      <c r="SLL182"/>
      <c r="SLM182"/>
      <c r="SLN182"/>
      <c r="SLO182"/>
      <c r="SLP182"/>
      <c r="SLQ182"/>
      <c r="SLR182"/>
      <c r="SLS182"/>
      <c r="SLT182"/>
      <c r="SLU182"/>
      <c r="SLV182"/>
      <c r="SLW182"/>
      <c r="SLX182"/>
      <c r="SLY182"/>
      <c r="SLZ182"/>
      <c r="SMA182"/>
      <c r="SMB182"/>
      <c r="SMC182"/>
      <c r="SMD182"/>
      <c r="SME182"/>
      <c r="SMF182"/>
      <c r="SMG182"/>
      <c r="SMH182"/>
      <c r="SMI182"/>
      <c r="SMJ182"/>
      <c r="SMK182"/>
      <c r="SML182"/>
      <c r="SMM182"/>
      <c r="SMN182"/>
      <c r="SMO182"/>
      <c r="SMP182"/>
      <c r="SMQ182"/>
      <c r="SMR182"/>
      <c r="SMS182"/>
      <c r="SMT182"/>
      <c r="SMU182"/>
      <c r="SMV182"/>
      <c r="SMW182"/>
      <c r="SMX182"/>
      <c r="SMY182"/>
      <c r="SMZ182"/>
      <c r="SNA182"/>
      <c r="SNB182"/>
      <c r="SNC182"/>
      <c r="SND182"/>
      <c r="SNE182"/>
      <c r="SNF182"/>
      <c r="SNG182"/>
      <c r="SNH182"/>
      <c r="SNI182"/>
      <c r="SNJ182"/>
      <c r="SNK182"/>
      <c r="SNL182"/>
      <c r="SNM182"/>
      <c r="SNN182"/>
      <c r="SNO182"/>
      <c r="SNP182"/>
      <c r="SNQ182"/>
      <c r="SNR182"/>
      <c r="SNS182"/>
      <c r="SNT182"/>
      <c r="SNU182"/>
      <c r="SNV182"/>
      <c r="SNW182"/>
      <c r="SNX182"/>
      <c r="SNY182"/>
      <c r="SNZ182"/>
      <c r="SOA182"/>
      <c r="SOB182"/>
      <c r="SOC182"/>
      <c r="SOD182"/>
      <c r="SOE182"/>
      <c r="SOF182"/>
      <c r="SOG182"/>
      <c r="SOH182"/>
      <c r="SOI182"/>
      <c r="SOJ182"/>
      <c r="SOK182"/>
      <c r="SOL182"/>
      <c r="SOM182"/>
      <c r="SON182"/>
      <c r="SOO182"/>
      <c r="SOP182"/>
      <c r="SOQ182"/>
      <c r="SOR182"/>
      <c r="SOS182"/>
      <c r="SOT182"/>
      <c r="SOU182"/>
      <c r="SOV182"/>
      <c r="SOW182"/>
      <c r="SOX182"/>
      <c r="SOY182"/>
      <c r="SOZ182"/>
      <c r="SPA182"/>
      <c r="SPB182"/>
      <c r="SPC182"/>
      <c r="SPD182"/>
      <c r="SPE182"/>
      <c r="SPF182"/>
      <c r="SPG182"/>
      <c r="SPH182"/>
      <c r="SPI182"/>
      <c r="SPJ182"/>
      <c r="SPK182"/>
      <c r="SPL182"/>
      <c r="SPM182"/>
      <c r="SPN182"/>
      <c r="SPO182"/>
      <c r="SPP182"/>
      <c r="SPQ182"/>
      <c r="SPR182"/>
      <c r="SPS182"/>
      <c r="SPT182"/>
      <c r="SPU182"/>
      <c r="SPV182"/>
      <c r="SPW182"/>
      <c r="SPX182"/>
      <c r="SPY182"/>
      <c r="SPZ182"/>
      <c r="SQA182"/>
      <c r="SQB182"/>
      <c r="SQC182"/>
      <c r="SQD182"/>
      <c r="SQE182"/>
      <c r="SQF182"/>
      <c r="SQG182"/>
      <c r="SQH182"/>
      <c r="SQI182"/>
      <c r="SQJ182"/>
      <c r="SQK182"/>
      <c r="SQL182"/>
      <c r="SQM182"/>
      <c r="SQN182"/>
      <c r="SQO182"/>
      <c r="SQP182"/>
      <c r="SQQ182"/>
      <c r="SQR182"/>
      <c r="SQS182"/>
      <c r="SQT182"/>
      <c r="SQU182"/>
      <c r="SQV182"/>
      <c r="SQW182"/>
      <c r="SQX182"/>
      <c r="SQY182"/>
      <c r="SQZ182"/>
      <c r="SRA182"/>
      <c r="SRB182"/>
      <c r="SRC182"/>
      <c r="SRD182"/>
      <c r="SRE182"/>
      <c r="SRF182"/>
      <c r="SRG182"/>
      <c r="SRH182"/>
      <c r="SRI182"/>
      <c r="SRJ182"/>
      <c r="SRK182"/>
      <c r="SRL182"/>
      <c r="SRM182"/>
      <c r="SRN182"/>
      <c r="SRO182"/>
      <c r="SRP182"/>
      <c r="SRQ182"/>
      <c r="SRR182"/>
      <c r="SRS182"/>
      <c r="SRT182"/>
      <c r="SRU182"/>
      <c r="SRV182"/>
      <c r="SRW182"/>
      <c r="SRX182"/>
      <c r="SRY182"/>
      <c r="SRZ182"/>
      <c r="SSA182"/>
      <c r="SSB182"/>
      <c r="SSC182"/>
      <c r="SSD182"/>
      <c r="SSE182"/>
      <c r="SSF182"/>
      <c r="SSG182"/>
      <c r="SSH182"/>
      <c r="SSI182"/>
      <c r="SSJ182"/>
      <c r="SSK182"/>
      <c r="SSL182"/>
      <c r="SSM182"/>
      <c r="SSN182"/>
      <c r="SSO182"/>
      <c r="SSP182"/>
      <c r="SSQ182"/>
      <c r="SSR182"/>
      <c r="SSS182"/>
      <c r="SST182"/>
      <c r="SSU182"/>
      <c r="SSV182"/>
      <c r="SSW182"/>
      <c r="SSX182"/>
      <c r="SSY182"/>
      <c r="SSZ182"/>
      <c r="STA182"/>
      <c r="STB182"/>
      <c r="STC182"/>
      <c r="STD182"/>
      <c r="STE182"/>
      <c r="STF182"/>
      <c r="STG182"/>
      <c r="STH182"/>
      <c r="STI182"/>
      <c r="STJ182"/>
      <c r="STK182"/>
      <c r="STL182"/>
      <c r="STM182"/>
      <c r="STN182"/>
      <c r="STO182"/>
      <c r="STP182"/>
      <c r="STQ182"/>
      <c r="STR182"/>
      <c r="STS182"/>
      <c r="STT182"/>
      <c r="STU182"/>
      <c r="STV182"/>
      <c r="STW182"/>
      <c r="STX182"/>
      <c r="STY182"/>
      <c r="STZ182"/>
      <c r="SUA182"/>
      <c r="SUB182"/>
      <c r="SUC182"/>
      <c r="SUD182"/>
      <c r="SUE182"/>
      <c r="SUF182"/>
      <c r="SUG182"/>
      <c r="SUH182"/>
      <c r="SUI182"/>
      <c r="SUJ182"/>
      <c r="SUK182"/>
      <c r="SUL182"/>
      <c r="SUM182"/>
      <c r="SUN182"/>
      <c r="SUO182"/>
      <c r="SUP182"/>
      <c r="SUQ182"/>
      <c r="SUR182"/>
      <c r="SUS182"/>
      <c r="SUT182"/>
      <c r="SUU182"/>
      <c r="SUV182"/>
      <c r="SUW182"/>
      <c r="SUX182"/>
      <c r="SUY182"/>
      <c r="SUZ182"/>
      <c r="SVA182"/>
      <c r="SVB182"/>
      <c r="SVC182"/>
      <c r="SVD182"/>
      <c r="SVE182"/>
      <c r="SVF182"/>
      <c r="SVG182"/>
      <c r="SVH182"/>
      <c r="SVI182"/>
      <c r="SVJ182"/>
      <c r="SVK182"/>
      <c r="SVL182"/>
      <c r="SVM182"/>
      <c r="SVN182"/>
      <c r="SVO182"/>
      <c r="SVP182"/>
      <c r="SVQ182"/>
      <c r="SVR182"/>
      <c r="SVS182"/>
      <c r="SVT182"/>
      <c r="SVU182"/>
      <c r="SVV182"/>
      <c r="SVW182"/>
      <c r="SVX182"/>
      <c r="SVY182"/>
      <c r="SVZ182"/>
      <c r="SWA182"/>
      <c r="SWB182"/>
      <c r="SWC182"/>
      <c r="SWD182"/>
      <c r="SWE182"/>
      <c r="SWF182"/>
      <c r="SWG182"/>
      <c r="SWH182"/>
      <c r="SWI182"/>
      <c r="SWJ182"/>
      <c r="SWK182"/>
      <c r="SWL182"/>
      <c r="SWM182"/>
      <c r="SWN182"/>
      <c r="SWO182"/>
      <c r="SWP182"/>
      <c r="SWQ182"/>
      <c r="SWR182"/>
      <c r="SWS182"/>
      <c r="SWT182"/>
      <c r="SWU182"/>
      <c r="SWV182"/>
      <c r="SWW182"/>
      <c r="SWX182"/>
      <c r="SWY182"/>
      <c r="SWZ182"/>
      <c r="SXA182"/>
      <c r="SXB182"/>
      <c r="SXC182"/>
      <c r="SXD182"/>
      <c r="SXE182"/>
      <c r="SXF182"/>
      <c r="SXG182"/>
      <c r="SXH182"/>
      <c r="SXI182"/>
      <c r="SXJ182"/>
      <c r="SXK182"/>
      <c r="SXL182"/>
      <c r="SXM182"/>
      <c r="SXN182"/>
      <c r="SXO182"/>
      <c r="SXP182"/>
      <c r="SXQ182"/>
      <c r="SXR182"/>
      <c r="SXS182"/>
      <c r="SXT182"/>
      <c r="SXU182"/>
      <c r="SXV182"/>
      <c r="SXW182"/>
      <c r="SXX182"/>
      <c r="SXY182"/>
      <c r="SXZ182"/>
      <c r="SYA182"/>
      <c r="SYB182"/>
      <c r="SYC182"/>
      <c r="SYD182"/>
      <c r="SYE182"/>
      <c r="SYF182"/>
      <c r="SYG182"/>
      <c r="SYH182"/>
      <c r="SYI182"/>
      <c r="SYJ182"/>
      <c r="SYK182"/>
      <c r="SYL182"/>
      <c r="SYM182"/>
      <c r="SYN182"/>
      <c r="SYO182"/>
      <c r="SYP182"/>
      <c r="SYQ182"/>
      <c r="SYR182"/>
      <c r="SYS182"/>
      <c r="SYT182"/>
      <c r="SYU182"/>
      <c r="SYV182"/>
      <c r="SYW182"/>
      <c r="SYX182"/>
      <c r="SYY182"/>
      <c r="SYZ182"/>
      <c r="SZA182"/>
      <c r="SZB182"/>
      <c r="SZC182"/>
      <c r="SZD182"/>
      <c r="SZE182"/>
      <c r="SZF182"/>
      <c r="SZG182"/>
      <c r="SZH182"/>
      <c r="SZI182"/>
      <c r="SZJ182"/>
      <c r="SZK182"/>
      <c r="SZL182"/>
      <c r="SZM182"/>
      <c r="SZN182"/>
      <c r="SZO182"/>
      <c r="SZP182"/>
      <c r="SZQ182"/>
      <c r="SZR182"/>
      <c r="SZS182"/>
      <c r="SZT182"/>
      <c r="SZU182"/>
      <c r="SZV182"/>
      <c r="SZW182"/>
      <c r="SZX182"/>
      <c r="SZY182"/>
      <c r="SZZ182"/>
      <c r="TAA182"/>
      <c r="TAB182"/>
      <c r="TAC182"/>
      <c r="TAD182"/>
      <c r="TAE182"/>
      <c r="TAF182"/>
      <c r="TAG182"/>
      <c r="TAH182"/>
      <c r="TAI182"/>
      <c r="TAJ182"/>
      <c r="TAK182"/>
      <c r="TAL182"/>
      <c r="TAM182"/>
      <c r="TAN182"/>
      <c r="TAO182"/>
      <c r="TAP182"/>
      <c r="TAQ182"/>
      <c r="TAR182"/>
      <c r="TAS182"/>
      <c r="TAT182"/>
      <c r="TAU182"/>
      <c r="TAV182"/>
      <c r="TAW182"/>
      <c r="TAX182"/>
      <c r="TAY182"/>
      <c r="TAZ182"/>
      <c r="TBA182"/>
      <c r="TBB182"/>
      <c r="TBC182"/>
      <c r="TBD182"/>
      <c r="TBE182"/>
      <c r="TBF182"/>
      <c r="TBG182"/>
      <c r="TBH182"/>
      <c r="TBI182"/>
      <c r="TBJ182"/>
      <c r="TBK182"/>
      <c r="TBL182"/>
      <c r="TBM182"/>
      <c r="TBN182"/>
      <c r="TBO182"/>
      <c r="TBP182"/>
      <c r="TBQ182"/>
      <c r="TBR182"/>
      <c r="TBS182"/>
      <c r="TBT182"/>
      <c r="TBU182"/>
      <c r="TBV182"/>
      <c r="TBW182"/>
      <c r="TBX182"/>
      <c r="TBY182"/>
      <c r="TBZ182"/>
      <c r="TCA182"/>
      <c r="TCB182"/>
      <c r="TCC182"/>
      <c r="TCD182"/>
      <c r="TCE182"/>
      <c r="TCF182"/>
      <c r="TCG182"/>
      <c r="TCH182"/>
      <c r="TCI182"/>
      <c r="TCJ182"/>
      <c r="TCK182"/>
      <c r="TCL182"/>
      <c r="TCM182"/>
      <c r="TCN182"/>
      <c r="TCO182"/>
      <c r="TCP182"/>
      <c r="TCQ182"/>
      <c r="TCR182"/>
      <c r="TCS182"/>
      <c r="TCT182"/>
      <c r="TCU182"/>
      <c r="TCV182"/>
      <c r="TCW182"/>
      <c r="TCX182"/>
      <c r="TCY182"/>
      <c r="TCZ182"/>
      <c r="TDA182"/>
      <c r="TDB182"/>
      <c r="TDC182"/>
      <c r="TDD182"/>
      <c r="TDE182"/>
      <c r="TDF182"/>
      <c r="TDG182"/>
      <c r="TDH182"/>
      <c r="TDI182"/>
      <c r="TDJ182"/>
      <c r="TDK182"/>
      <c r="TDL182"/>
      <c r="TDM182"/>
      <c r="TDN182"/>
      <c r="TDO182"/>
      <c r="TDP182"/>
      <c r="TDQ182"/>
      <c r="TDR182"/>
      <c r="TDS182"/>
      <c r="TDT182"/>
      <c r="TDU182"/>
      <c r="TDV182"/>
      <c r="TDW182"/>
      <c r="TDX182"/>
      <c r="TDY182"/>
      <c r="TDZ182"/>
      <c r="TEA182"/>
      <c r="TEB182"/>
      <c r="TEC182"/>
      <c r="TED182"/>
      <c r="TEE182"/>
      <c r="TEF182"/>
      <c r="TEG182"/>
      <c r="TEH182"/>
      <c r="TEI182"/>
      <c r="TEJ182"/>
      <c r="TEK182"/>
      <c r="TEL182"/>
      <c r="TEM182"/>
      <c r="TEN182"/>
      <c r="TEO182"/>
      <c r="TEP182"/>
      <c r="TEQ182"/>
      <c r="TER182"/>
      <c r="TES182"/>
      <c r="TET182"/>
      <c r="TEU182"/>
      <c r="TEV182"/>
      <c r="TEW182"/>
      <c r="TEX182"/>
      <c r="TEY182"/>
      <c r="TEZ182"/>
      <c r="TFA182"/>
      <c r="TFB182"/>
      <c r="TFC182"/>
      <c r="TFD182"/>
      <c r="TFE182"/>
      <c r="TFF182"/>
      <c r="TFG182"/>
      <c r="TFH182"/>
      <c r="TFI182"/>
      <c r="TFJ182"/>
      <c r="TFK182"/>
      <c r="TFL182"/>
      <c r="TFM182"/>
      <c r="TFN182"/>
      <c r="TFO182"/>
      <c r="TFP182"/>
      <c r="TFQ182"/>
      <c r="TFR182"/>
      <c r="TFS182"/>
      <c r="TFT182"/>
      <c r="TFU182"/>
      <c r="TFV182"/>
      <c r="TFW182"/>
      <c r="TFX182"/>
      <c r="TFY182"/>
      <c r="TFZ182"/>
      <c r="TGA182"/>
      <c r="TGB182"/>
      <c r="TGC182"/>
      <c r="TGD182"/>
      <c r="TGE182"/>
      <c r="TGF182"/>
      <c r="TGG182"/>
      <c r="TGH182"/>
      <c r="TGI182"/>
      <c r="TGJ182"/>
      <c r="TGK182"/>
      <c r="TGL182"/>
      <c r="TGM182"/>
      <c r="TGN182"/>
      <c r="TGO182"/>
      <c r="TGP182"/>
      <c r="TGQ182"/>
      <c r="TGR182"/>
      <c r="TGS182"/>
      <c r="TGT182"/>
      <c r="TGU182"/>
      <c r="TGV182"/>
      <c r="TGW182"/>
      <c r="TGX182"/>
      <c r="TGY182"/>
      <c r="TGZ182"/>
      <c r="THA182"/>
      <c r="THB182"/>
      <c r="THC182"/>
      <c r="THD182"/>
      <c r="THE182"/>
      <c r="THF182"/>
      <c r="THG182"/>
      <c r="THH182"/>
      <c r="THI182"/>
      <c r="THJ182"/>
      <c r="THK182"/>
      <c r="THL182"/>
      <c r="THM182"/>
      <c r="THN182"/>
      <c r="THO182"/>
      <c r="THP182"/>
      <c r="THQ182"/>
      <c r="THR182"/>
      <c r="THS182"/>
      <c r="THT182"/>
      <c r="THU182"/>
      <c r="THV182"/>
      <c r="THW182"/>
      <c r="THX182"/>
      <c r="THY182"/>
      <c r="THZ182"/>
      <c r="TIA182"/>
      <c r="TIB182"/>
      <c r="TIC182"/>
      <c r="TID182"/>
      <c r="TIE182"/>
      <c r="TIF182"/>
      <c r="TIG182"/>
      <c r="TIH182"/>
      <c r="TII182"/>
      <c r="TIJ182"/>
      <c r="TIK182"/>
      <c r="TIL182"/>
      <c r="TIM182"/>
      <c r="TIN182"/>
      <c r="TIO182"/>
      <c r="TIP182"/>
      <c r="TIQ182"/>
      <c r="TIR182"/>
      <c r="TIS182"/>
      <c r="TIT182"/>
      <c r="TIU182"/>
      <c r="TIV182"/>
      <c r="TIW182"/>
      <c r="TIX182"/>
      <c r="TIY182"/>
      <c r="TIZ182"/>
      <c r="TJA182"/>
      <c r="TJB182"/>
      <c r="TJC182"/>
      <c r="TJD182"/>
      <c r="TJE182"/>
      <c r="TJF182"/>
      <c r="TJG182"/>
      <c r="TJH182"/>
      <c r="TJI182"/>
      <c r="TJJ182"/>
      <c r="TJK182"/>
      <c r="TJL182"/>
      <c r="TJM182"/>
      <c r="TJN182"/>
      <c r="TJO182"/>
      <c r="TJP182"/>
      <c r="TJQ182"/>
      <c r="TJR182"/>
      <c r="TJS182"/>
      <c r="TJT182"/>
      <c r="TJU182"/>
      <c r="TJV182"/>
      <c r="TJW182"/>
      <c r="TJX182"/>
      <c r="TJY182"/>
      <c r="TJZ182"/>
      <c r="TKA182"/>
      <c r="TKB182"/>
      <c r="TKC182"/>
      <c r="TKD182"/>
      <c r="TKE182"/>
      <c r="TKF182"/>
      <c r="TKG182"/>
      <c r="TKH182"/>
      <c r="TKI182"/>
      <c r="TKJ182"/>
      <c r="TKK182"/>
      <c r="TKL182"/>
      <c r="TKM182"/>
      <c r="TKN182"/>
      <c r="TKO182"/>
      <c r="TKP182"/>
      <c r="TKQ182"/>
      <c r="TKR182"/>
      <c r="TKS182"/>
      <c r="TKT182"/>
      <c r="TKU182"/>
      <c r="TKV182"/>
      <c r="TKW182"/>
      <c r="TKX182"/>
      <c r="TKY182"/>
      <c r="TKZ182"/>
      <c r="TLA182"/>
      <c r="TLB182"/>
      <c r="TLC182"/>
      <c r="TLD182"/>
      <c r="TLE182"/>
      <c r="TLF182"/>
      <c r="TLG182"/>
      <c r="TLH182"/>
      <c r="TLI182"/>
      <c r="TLJ182"/>
      <c r="TLK182"/>
      <c r="TLL182"/>
      <c r="TLM182"/>
      <c r="TLN182"/>
      <c r="TLO182"/>
      <c r="TLP182"/>
      <c r="TLQ182"/>
      <c r="TLR182"/>
      <c r="TLS182"/>
      <c r="TLT182"/>
      <c r="TLU182"/>
      <c r="TLV182"/>
      <c r="TLW182"/>
      <c r="TLX182"/>
      <c r="TLY182"/>
      <c r="TLZ182"/>
      <c r="TMA182"/>
      <c r="TMB182"/>
      <c r="TMC182"/>
      <c r="TMD182"/>
      <c r="TME182"/>
      <c r="TMF182"/>
      <c r="TMG182"/>
      <c r="TMH182"/>
      <c r="TMI182"/>
      <c r="TMJ182"/>
      <c r="TMK182"/>
      <c r="TML182"/>
      <c r="TMM182"/>
      <c r="TMN182"/>
      <c r="TMO182"/>
      <c r="TMP182"/>
      <c r="TMQ182"/>
      <c r="TMR182"/>
      <c r="TMS182"/>
      <c r="TMT182"/>
      <c r="TMU182"/>
      <c r="TMV182"/>
      <c r="TMW182"/>
      <c r="TMX182"/>
      <c r="TMY182"/>
      <c r="TMZ182"/>
      <c r="TNA182"/>
      <c r="TNB182"/>
      <c r="TNC182"/>
      <c r="TND182"/>
      <c r="TNE182"/>
      <c r="TNF182"/>
      <c r="TNG182"/>
      <c r="TNH182"/>
      <c r="TNI182"/>
      <c r="TNJ182"/>
      <c r="TNK182"/>
      <c r="TNL182"/>
      <c r="TNM182"/>
      <c r="TNN182"/>
      <c r="TNO182"/>
      <c r="TNP182"/>
      <c r="TNQ182"/>
      <c r="TNR182"/>
      <c r="TNS182"/>
      <c r="TNT182"/>
      <c r="TNU182"/>
      <c r="TNV182"/>
      <c r="TNW182"/>
      <c r="TNX182"/>
      <c r="TNY182"/>
      <c r="TNZ182"/>
      <c r="TOA182"/>
      <c r="TOB182"/>
      <c r="TOC182"/>
      <c r="TOD182"/>
      <c r="TOE182"/>
      <c r="TOF182"/>
      <c r="TOG182"/>
      <c r="TOH182"/>
      <c r="TOI182"/>
      <c r="TOJ182"/>
      <c r="TOK182"/>
      <c r="TOL182"/>
      <c r="TOM182"/>
      <c r="TON182"/>
      <c r="TOO182"/>
      <c r="TOP182"/>
      <c r="TOQ182"/>
      <c r="TOR182"/>
      <c r="TOS182"/>
      <c r="TOT182"/>
      <c r="TOU182"/>
      <c r="TOV182"/>
      <c r="TOW182"/>
      <c r="TOX182"/>
      <c r="TOY182"/>
      <c r="TOZ182"/>
      <c r="TPA182"/>
      <c r="TPB182"/>
      <c r="TPC182"/>
      <c r="TPD182"/>
      <c r="TPE182"/>
      <c r="TPF182"/>
      <c r="TPG182"/>
      <c r="TPH182"/>
      <c r="TPI182"/>
      <c r="TPJ182"/>
      <c r="TPK182"/>
      <c r="TPL182"/>
      <c r="TPM182"/>
      <c r="TPN182"/>
      <c r="TPO182"/>
      <c r="TPP182"/>
      <c r="TPQ182"/>
      <c r="TPR182"/>
      <c r="TPS182"/>
      <c r="TPT182"/>
      <c r="TPU182"/>
      <c r="TPV182"/>
      <c r="TPW182"/>
      <c r="TPX182"/>
      <c r="TPY182"/>
      <c r="TPZ182"/>
      <c r="TQA182"/>
      <c r="TQB182"/>
      <c r="TQC182"/>
      <c r="TQD182"/>
      <c r="TQE182"/>
      <c r="TQF182"/>
      <c r="TQG182"/>
      <c r="TQH182"/>
      <c r="TQI182"/>
      <c r="TQJ182"/>
      <c r="TQK182"/>
      <c r="TQL182"/>
      <c r="TQM182"/>
      <c r="TQN182"/>
      <c r="TQO182"/>
      <c r="TQP182"/>
      <c r="TQQ182"/>
      <c r="TQR182"/>
      <c r="TQS182"/>
      <c r="TQT182"/>
      <c r="TQU182"/>
      <c r="TQV182"/>
      <c r="TQW182"/>
      <c r="TQX182"/>
      <c r="TQY182"/>
      <c r="TQZ182"/>
      <c r="TRA182"/>
      <c r="TRB182"/>
      <c r="TRC182"/>
      <c r="TRD182"/>
      <c r="TRE182"/>
      <c r="TRF182"/>
      <c r="TRG182"/>
      <c r="TRH182"/>
      <c r="TRI182"/>
      <c r="TRJ182"/>
      <c r="TRK182"/>
      <c r="TRL182"/>
      <c r="TRM182"/>
      <c r="TRN182"/>
      <c r="TRO182"/>
      <c r="TRP182"/>
      <c r="TRQ182"/>
      <c r="TRR182"/>
      <c r="TRS182"/>
      <c r="TRT182"/>
      <c r="TRU182"/>
      <c r="TRV182"/>
      <c r="TRW182"/>
      <c r="TRX182"/>
      <c r="TRY182"/>
      <c r="TRZ182"/>
      <c r="TSA182"/>
      <c r="TSB182"/>
      <c r="TSC182"/>
      <c r="TSD182"/>
      <c r="TSE182"/>
      <c r="TSF182"/>
      <c r="TSG182"/>
      <c r="TSH182"/>
      <c r="TSI182"/>
      <c r="TSJ182"/>
      <c r="TSK182"/>
      <c r="TSL182"/>
      <c r="TSM182"/>
      <c r="TSN182"/>
      <c r="TSO182"/>
      <c r="TSP182"/>
      <c r="TSQ182"/>
      <c r="TSR182"/>
      <c r="TSS182"/>
      <c r="TST182"/>
      <c r="TSU182"/>
      <c r="TSV182"/>
      <c r="TSW182"/>
      <c r="TSX182"/>
      <c r="TSY182"/>
      <c r="TSZ182"/>
      <c r="TTA182"/>
      <c r="TTB182"/>
      <c r="TTC182"/>
      <c r="TTD182"/>
      <c r="TTE182"/>
      <c r="TTF182"/>
      <c r="TTG182"/>
      <c r="TTH182"/>
      <c r="TTI182"/>
      <c r="TTJ182"/>
      <c r="TTK182"/>
      <c r="TTL182"/>
      <c r="TTM182"/>
      <c r="TTN182"/>
      <c r="TTO182"/>
      <c r="TTP182"/>
      <c r="TTQ182"/>
      <c r="TTR182"/>
      <c r="TTS182"/>
      <c r="TTT182"/>
      <c r="TTU182"/>
      <c r="TTV182"/>
      <c r="TTW182"/>
      <c r="TTX182"/>
      <c r="TTY182"/>
      <c r="TTZ182"/>
      <c r="TUA182"/>
      <c r="TUB182"/>
      <c r="TUC182"/>
      <c r="TUD182"/>
      <c r="TUE182"/>
      <c r="TUF182"/>
      <c r="TUG182"/>
      <c r="TUH182"/>
      <c r="TUI182"/>
      <c r="TUJ182"/>
      <c r="TUK182"/>
      <c r="TUL182"/>
      <c r="TUM182"/>
      <c r="TUN182"/>
      <c r="TUO182"/>
      <c r="TUP182"/>
      <c r="TUQ182"/>
      <c r="TUR182"/>
      <c r="TUS182"/>
      <c r="TUT182"/>
      <c r="TUU182"/>
      <c r="TUV182"/>
      <c r="TUW182"/>
      <c r="TUX182"/>
      <c r="TUY182"/>
      <c r="TUZ182"/>
      <c r="TVA182"/>
      <c r="TVB182"/>
      <c r="TVC182"/>
      <c r="TVD182"/>
      <c r="TVE182"/>
      <c r="TVF182"/>
      <c r="TVG182"/>
      <c r="TVH182"/>
      <c r="TVI182"/>
      <c r="TVJ182"/>
      <c r="TVK182"/>
      <c r="TVL182"/>
      <c r="TVM182"/>
      <c r="TVN182"/>
      <c r="TVO182"/>
      <c r="TVP182"/>
      <c r="TVQ182"/>
      <c r="TVR182"/>
      <c r="TVS182"/>
      <c r="TVT182"/>
      <c r="TVU182"/>
      <c r="TVV182"/>
      <c r="TVW182"/>
      <c r="TVX182"/>
      <c r="TVY182"/>
      <c r="TVZ182"/>
      <c r="TWA182"/>
      <c r="TWB182"/>
      <c r="TWC182"/>
      <c r="TWD182"/>
      <c r="TWE182"/>
      <c r="TWF182"/>
      <c r="TWG182"/>
      <c r="TWH182"/>
      <c r="TWI182"/>
      <c r="TWJ182"/>
      <c r="TWK182"/>
      <c r="TWL182"/>
      <c r="TWM182"/>
      <c r="TWN182"/>
      <c r="TWO182"/>
      <c r="TWP182"/>
      <c r="TWQ182"/>
      <c r="TWR182"/>
      <c r="TWS182"/>
      <c r="TWT182"/>
      <c r="TWU182"/>
      <c r="TWV182"/>
      <c r="TWW182"/>
      <c r="TWX182"/>
      <c r="TWY182"/>
      <c r="TWZ182"/>
      <c r="TXA182"/>
      <c r="TXB182"/>
      <c r="TXC182"/>
      <c r="TXD182"/>
      <c r="TXE182"/>
      <c r="TXF182"/>
      <c r="TXG182"/>
      <c r="TXH182"/>
      <c r="TXI182"/>
      <c r="TXJ182"/>
      <c r="TXK182"/>
      <c r="TXL182"/>
      <c r="TXM182"/>
      <c r="TXN182"/>
      <c r="TXO182"/>
      <c r="TXP182"/>
      <c r="TXQ182"/>
      <c r="TXR182"/>
      <c r="TXS182"/>
      <c r="TXT182"/>
      <c r="TXU182"/>
      <c r="TXV182"/>
      <c r="TXW182"/>
      <c r="TXX182"/>
      <c r="TXY182"/>
      <c r="TXZ182"/>
      <c r="TYA182"/>
      <c r="TYB182"/>
      <c r="TYC182"/>
      <c r="TYD182"/>
      <c r="TYE182"/>
      <c r="TYF182"/>
      <c r="TYG182"/>
      <c r="TYH182"/>
      <c r="TYI182"/>
      <c r="TYJ182"/>
      <c r="TYK182"/>
      <c r="TYL182"/>
      <c r="TYM182"/>
      <c r="TYN182"/>
      <c r="TYO182"/>
      <c r="TYP182"/>
      <c r="TYQ182"/>
      <c r="TYR182"/>
      <c r="TYS182"/>
      <c r="TYT182"/>
      <c r="TYU182"/>
      <c r="TYV182"/>
      <c r="TYW182"/>
      <c r="TYX182"/>
      <c r="TYY182"/>
      <c r="TYZ182"/>
      <c r="TZA182"/>
      <c r="TZB182"/>
      <c r="TZC182"/>
      <c r="TZD182"/>
      <c r="TZE182"/>
      <c r="TZF182"/>
      <c r="TZG182"/>
      <c r="TZH182"/>
      <c r="TZI182"/>
      <c r="TZJ182"/>
      <c r="TZK182"/>
      <c r="TZL182"/>
      <c r="TZM182"/>
      <c r="TZN182"/>
      <c r="TZO182"/>
      <c r="TZP182"/>
      <c r="TZQ182"/>
      <c r="TZR182"/>
      <c r="TZS182"/>
      <c r="TZT182"/>
      <c r="TZU182"/>
      <c r="TZV182"/>
      <c r="TZW182"/>
      <c r="TZX182"/>
      <c r="TZY182"/>
      <c r="TZZ182"/>
      <c r="UAA182"/>
      <c r="UAB182"/>
      <c r="UAC182"/>
      <c r="UAD182"/>
      <c r="UAE182"/>
      <c r="UAF182"/>
      <c r="UAG182"/>
      <c r="UAH182"/>
      <c r="UAI182"/>
      <c r="UAJ182"/>
      <c r="UAK182"/>
      <c r="UAL182"/>
      <c r="UAM182"/>
      <c r="UAN182"/>
      <c r="UAO182"/>
      <c r="UAP182"/>
      <c r="UAQ182"/>
      <c r="UAR182"/>
      <c r="UAS182"/>
      <c r="UAT182"/>
      <c r="UAU182"/>
      <c r="UAV182"/>
      <c r="UAW182"/>
      <c r="UAX182"/>
      <c r="UAY182"/>
      <c r="UAZ182"/>
      <c r="UBA182"/>
      <c r="UBB182"/>
      <c r="UBC182"/>
      <c r="UBD182"/>
      <c r="UBE182"/>
      <c r="UBF182"/>
      <c r="UBG182"/>
      <c r="UBH182"/>
      <c r="UBI182"/>
      <c r="UBJ182"/>
      <c r="UBK182"/>
      <c r="UBL182"/>
      <c r="UBM182"/>
      <c r="UBN182"/>
      <c r="UBO182"/>
      <c r="UBP182"/>
      <c r="UBQ182"/>
      <c r="UBR182"/>
      <c r="UBS182"/>
      <c r="UBT182"/>
      <c r="UBU182"/>
      <c r="UBV182"/>
      <c r="UBW182"/>
      <c r="UBX182"/>
      <c r="UBY182"/>
      <c r="UBZ182"/>
      <c r="UCA182"/>
      <c r="UCB182"/>
      <c r="UCC182"/>
      <c r="UCD182"/>
      <c r="UCE182"/>
      <c r="UCF182"/>
      <c r="UCG182"/>
      <c r="UCH182"/>
      <c r="UCI182"/>
      <c r="UCJ182"/>
      <c r="UCK182"/>
      <c r="UCL182"/>
      <c r="UCM182"/>
      <c r="UCN182"/>
      <c r="UCO182"/>
      <c r="UCP182"/>
      <c r="UCQ182"/>
      <c r="UCR182"/>
      <c r="UCS182"/>
      <c r="UCT182"/>
      <c r="UCU182"/>
      <c r="UCV182"/>
      <c r="UCW182"/>
      <c r="UCX182"/>
      <c r="UCY182"/>
      <c r="UCZ182"/>
      <c r="UDA182"/>
      <c r="UDB182"/>
      <c r="UDC182"/>
      <c r="UDD182"/>
      <c r="UDE182"/>
      <c r="UDF182"/>
      <c r="UDG182"/>
      <c r="UDH182"/>
      <c r="UDI182"/>
      <c r="UDJ182"/>
      <c r="UDK182"/>
      <c r="UDL182"/>
      <c r="UDM182"/>
      <c r="UDN182"/>
      <c r="UDO182"/>
      <c r="UDP182"/>
      <c r="UDQ182"/>
      <c r="UDR182"/>
      <c r="UDS182"/>
      <c r="UDT182"/>
      <c r="UDU182"/>
      <c r="UDV182"/>
      <c r="UDW182"/>
      <c r="UDX182"/>
      <c r="UDY182"/>
      <c r="UDZ182"/>
      <c r="UEA182"/>
      <c r="UEB182"/>
      <c r="UEC182"/>
      <c r="UED182"/>
      <c r="UEE182"/>
      <c r="UEF182"/>
      <c r="UEG182"/>
      <c r="UEH182"/>
      <c r="UEI182"/>
      <c r="UEJ182"/>
      <c r="UEK182"/>
      <c r="UEL182"/>
      <c r="UEM182"/>
      <c r="UEN182"/>
      <c r="UEO182"/>
      <c r="UEP182"/>
      <c r="UEQ182"/>
      <c r="UER182"/>
      <c r="UES182"/>
      <c r="UET182"/>
      <c r="UEU182"/>
      <c r="UEV182"/>
      <c r="UEW182"/>
      <c r="UEX182"/>
      <c r="UEY182"/>
      <c r="UEZ182"/>
      <c r="UFA182"/>
      <c r="UFB182"/>
      <c r="UFC182"/>
      <c r="UFD182"/>
      <c r="UFE182"/>
      <c r="UFF182"/>
      <c r="UFG182"/>
      <c r="UFH182"/>
      <c r="UFI182"/>
      <c r="UFJ182"/>
      <c r="UFK182"/>
      <c r="UFL182"/>
      <c r="UFM182"/>
      <c r="UFN182"/>
      <c r="UFO182"/>
      <c r="UFP182"/>
      <c r="UFQ182"/>
      <c r="UFR182"/>
      <c r="UFS182"/>
      <c r="UFT182"/>
      <c r="UFU182"/>
      <c r="UFV182"/>
      <c r="UFW182"/>
      <c r="UFX182"/>
      <c r="UFY182"/>
      <c r="UFZ182"/>
      <c r="UGA182"/>
      <c r="UGB182"/>
      <c r="UGC182"/>
      <c r="UGD182"/>
      <c r="UGE182"/>
      <c r="UGF182"/>
      <c r="UGG182"/>
      <c r="UGH182"/>
      <c r="UGI182"/>
      <c r="UGJ182"/>
      <c r="UGK182"/>
      <c r="UGL182"/>
      <c r="UGM182"/>
      <c r="UGN182"/>
      <c r="UGO182"/>
      <c r="UGP182"/>
      <c r="UGQ182"/>
      <c r="UGR182"/>
      <c r="UGS182"/>
      <c r="UGT182"/>
      <c r="UGU182"/>
      <c r="UGV182"/>
      <c r="UGW182"/>
      <c r="UGX182"/>
      <c r="UGY182"/>
      <c r="UGZ182"/>
      <c r="UHA182"/>
      <c r="UHB182"/>
      <c r="UHC182"/>
      <c r="UHD182"/>
      <c r="UHE182"/>
      <c r="UHF182"/>
      <c r="UHG182"/>
      <c r="UHH182"/>
      <c r="UHI182"/>
      <c r="UHJ182"/>
      <c r="UHK182"/>
      <c r="UHL182"/>
      <c r="UHM182"/>
      <c r="UHN182"/>
      <c r="UHO182"/>
      <c r="UHP182"/>
      <c r="UHQ182"/>
      <c r="UHR182"/>
      <c r="UHS182"/>
      <c r="UHT182"/>
      <c r="UHU182"/>
      <c r="UHV182"/>
      <c r="UHW182"/>
      <c r="UHX182"/>
      <c r="UHY182"/>
      <c r="UHZ182"/>
      <c r="UIA182"/>
      <c r="UIB182"/>
      <c r="UIC182"/>
      <c r="UID182"/>
      <c r="UIE182"/>
      <c r="UIF182"/>
      <c r="UIG182"/>
      <c r="UIH182"/>
      <c r="UII182"/>
      <c r="UIJ182"/>
      <c r="UIK182"/>
      <c r="UIL182"/>
      <c r="UIM182"/>
      <c r="UIN182"/>
      <c r="UIO182"/>
      <c r="UIP182"/>
      <c r="UIQ182"/>
      <c r="UIR182"/>
      <c r="UIS182"/>
      <c r="UIT182"/>
      <c r="UIU182"/>
      <c r="UIV182"/>
      <c r="UIW182"/>
      <c r="UIX182"/>
      <c r="UIY182"/>
      <c r="UIZ182"/>
      <c r="UJA182"/>
      <c r="UJB182"/>
      <c r="UJC182"/>
      <c r="UJD182"/>
      <c r="UJE182"/>
      <c r="UJF182"/>
      <c r="UJG182"/>
      <c r="UJH182"/>
      <c r="UJI182"/>
      <c r="UJJ182"/>
      <c r="UJK182"/>
      <c r="UJL182"/>
      <c r="UJM182"/>
      <c r="UJN182"/>
      <c r="UJO182"/>
      <c r="UJP182"/>
      <c r="UJQ182"/>
      <c r="UJR182"/>
      <c r="UJS182"/>
      <c r="UJT182"/>
      <c r="UJU182"/>
      <c r="UJV182"/>
      <c r="UJW182"/>
      <c r="UJX182"/>
      <c r="UJY182"/>
      <c r="UJZ182"/>
      <c r="UKA182"/>
      <c r="UKB182"/>
      <c r="UKC182"/>
      <c r="UKD182"/>
      <c r="UKE182"/>
      <c r="UKF182"/>
      <c r="UKG182"/>
      <c r="UKH182"/>
      <c r="UKI182"/>
      <c r="UKJ182"/>
      <c r="UKK182"/>
      <c r="UKL182"/>
      <c r="UKM182"/>
      <c r="UKN182"/>
      <c r="UKO182"/>
      <c r="UKP182"/>
      <c r="UKQ182"/>
      <c r="UKR182"/>
      <c r="UKS182"/>
      <c r="UKT182"/>
      <c r="UKU182"/>
      <c r="UKV182"/>
      <c r="UKW182"/>
      <c r="UKX182"/>
      <c r="UKY182"/>
      <c r="UKZ182"/>
      <c r="ULA182"/>
      <c r="ULB182"/>
      <c r="ULC182"/>
      <c r="ULD182"/>
      <c r="ULE182"/>
      <c r="ULF182"/>
      <c r="ULG182"/>
      <c r="ULH182"/>
      <c r="ULI182"/>
      <c r="ULJ182"/>
      <c r="ULK182"/>
      <c r="ULL182"/>
      <c r="ULM182"/>
      <c r="ULN182"/>
      <c r="ULO182"/>
      <c r="ULP182"/>
      <c r="ULQ182"/>
      <c r="ULR182"/>
      <c r="ULS182"/>
      <c r="ULT182"/>
      <c r="ULU182"/>
      <c r="ULV182"/>
      <c r="ULW182"/>
      <c r="ULX182"/>
      <c r="ULY182"/>
      <c r="ULZ182"/>
      <c r="UMA182"/>
      <c r="UMB182"/>
      <c r="UMC182"/>
      <c r="UMD182"/>
      <c r="UME182"/>
      <c r="UMF182"/>
      <c r="UMG182"/>
      <c r="UMH182"/>
      <c r="UMI182"/>
      <c r="UMJ182"/>
      <c r="UMK182"/>
      <c r="UML182"/>
      <c r="UMM182"/>
      <c r="UMN182"/>
      <c r="UMO182"/>
      <c r="UMP182"/>
      <c r="UMQ182"/>
      <c r="UMR182"/>
      <c r="UMS182"/>
      <c r="UMT182"/>
      <c r="UMU182"/>
      <c r="UMV182"/>
      <c r="UMW182"/>
      <c r="UMX182"/>
      <c r="UMY182"/>
      <c r="UMZ182"/>
      <c r="UNA182"/>
      <c r="UNB182"/>
      <c r="UNC182"/>
      <c r="UND182"/>
      <c r="UNE182"/>
      <c r="UNF182"/>
      <c r="UNG182"/>
      <c r="UNH182"/>
      <c r="UNI182"/>
      <c r="UNJ182"/>
      <c r="UNK182"/>
      <c r="UNL182"/>
      <c r="UNM182"/>
      <c r="UNN182"/>
      <c r="UNO182"/>
      <c r="UNP182"/>
      <c r="UNQ182"/>
      <c r="UNR182"/>
      <c r="UNS182"/>
      <c r="UNT182"/>
      <c r="UNU182"/>
      <c r="UNV182"/>
      <c r="UNW182"/>
      <c r="UNX182"/>
      <c r="UNY182"/>
      <c r="UNZ182"/>
      <c r="UOA182"/>
      <c r="UOB182"/>
      <c r="UOC182"/>
      <c r="UOD182"/>
      <c r="UOE182"/>
      <c r="UOF182"/>
      <c r="UOG182"/>
      <c r="UOH182"/>
      <c r="UOI182"/>
      <c r="UOJ182"/>
      <c r="UOK182"/>
      <c r="UOL182"/>
      <c r="UOM182"/>
      <c r="UON182"/>
      <c r="UOO182"/>
      <c r="UOP182"/>
      <c r="UOQ182"/>
      <c r="UOR182"/>
      <c r="UOS182"/>
      <c r="UOT182"/>
      <c r="UOU182"/>
      <c r="UOV182"/>
      <c r="UOW182"/>
      <c r="UOX182"/>
      <c r="UOY182"/>
      <c r="UOZ182"/>
      <c r="UPA182"/>
      <c r="UPB182"/>
      <c r="UPC182"/>
      <c r="UPD182"/>
      <c r="UPE182"/>
      <c r="UPF182"/>
      <c r="UPG182"/>
      <c r="UPH182"/>
      <c r="UPI182"/>
      <c r="UPJ182"/>
      <c r="UPK182"/>
      <c r="UPL182"/>
      <c r="UPM182"/>
      <c r="UPN182"/>
      <c r="UPO182"/>
      <c r="UPP182"/>
      <c r="UPQ182"/>
      <c r="UPR182"/>
      <c r="UPS182"/>
      <c r="UPT182"/>
      <c r="UPU182"/>
      <c r="UPV182"/>
      <c r="UPW182"/>
      <c r="UPX182"/>
      <c r="UPY182"/>
      <c r="UPZ182"/>
      <c r="UQA182"/>
      <c r="UQB182"/>
      <c r="UQC182"/>
      <c r="UQD182"/>
      <c r="UQE182"/>
      <c r="UQF182"/>
      <c r="UQG182"/>
      <c r="UQH182"/>
      <c r="UQI182"/>
      <c r="UQJ182"/>
      <c r="UQK182"/>
      <c r="UQL182"/>
      <c r="UQM182"/>
      <c r="UQN182"/>
      <c r="UQO182"/>
      <c r="UQP182"/>
      <c r="UQQ182"/>
      <c r="UQR182"/>
      <c r="UQS182"/>
      <c r="UQT182"/>
      <c r="UQU182"/>
      <c r="UQV182"/>
      <c r="UQW182"/>
      <c r="UQX182"/>
      <c r="UQY182"/>
      <c r="UQZ182"/>
      <c r="URA182"/>
      <c r="URB182"/>
      <c r="URC182"/>
      <c r="URD182"/>
      <c r="URE182"/>
      <c r="URF182"/>
      <c r="URG182"/>
      <c r="URH182"/>
      <c r="URI182"/>
      <c r="URJ182"/>
      <c r="URK182"/>
      <c r="URL182"/>
      <c r="URM182"/>
      <c r="URN182"/>
      <c r="URO182"/>
      <c r="URP182"/>
      <c r="URQ182"/>
      <c r="URR182"/>
      <c r="URS182"/>
      <c r="URT182"/>
      <c r="URU182"/>
      <c r="URV182"/>
      <c r="URW182"/>
      <c r="URX182"/>
      <c r="URY182"/>
      <c r="URZ182"/>
      <c r="USA182"/>
      <c r="USB182"/>
      <c r="USC182"/>
      <c r="USD182"/>
      <c r="USE182"/>
      <c r="USF182"/>
      <c r="USG182"/>
      <c r="USH182"/>
      <c r="USI182"/>
      <c r="USJ182"/>
      <c r="USK182"/>
      <c r="USL182"/>
      <c r="USM182"/>
      <c r="USN182"/>
      <c r="USO182"/>
      <c r="USP182"/>
      <c r="USQ182"/>
      <c r="USR182"/>
      <c r="USS182"/>
      <c r="UST182"/>
      <c r="USU182"/>
      <c r="USV182"/>
      <c r="USW182"/>
      <c r="USX182"/>
      <c r="USY182"/>
      <c r="USZ182"/>
      <c r="UTA182"/>
      <c r="UTB182"/>
      <c r="UTC182"/>
      <c r="UTD182"/>
      <c r="UTE182"/>
      <c r="UTF182"/>
      <c r="UTG182"/>
      <c r="UTH182"/>
      <c r="UTI182"/>
      <c r="UTJ182"/>
      <c r="UTK182"/>
      <c r="UTL182"/>
      <c r="UTM182"/>
      <c r="UTN182"/>
      <c r="UTO182"/>
      <c r="UTP182"/>
      <c r="UTQ182"/>
      <c r="UTR182"/>
      <c r="UTS182"/>
      <c r="UTT182"/>
      <c r="UTU182"/>
      <c r="UTV182"/>
      <c r="UTW182"/>
      <c r="UTX182"/>
      <c r="UTY182"/>
      <c r="UTZ182"/>
      <c r="UUA182"/>
      <c r="UUB182"/>
      <c r="UUC182"/>
      <c r="UUD182"/>
      <c r="UUE182"/>
      <c r="UUF182"/>
      <c r="UUG182"/>
      <c r="UUH182"/>
      <c r="UUI182"/>
      <c r="UUJ182"/>
      <c r="UUK182"/>
      <c r="UUL182"/>
      <c r="UUM182"/>
      <c r="UUN182"/>
      <c r="UUO182"/>
      <c r="UUP182"/>
      <c r="UUQ182"/>
      <c r="UUR182"/>
      <c r="UUS182"/>
      <c r="UUT182"/>
      <c r="UUU182"/>
      <c r="UUV182"/>
      <c r="UUW182"/>
      <c r="UUX182"/>
      <c r="UUY182"/>
      <c r="UUZ182"/>
      <c r="UVA182"/>
      <c r="UVB182"/>
      <c r="UVC182"/>
      <c r="UVD182"/>
      <c r="UVE182"/>
      <c r="UVF182"/>
      <c r="UVG182"/>
      <c r="UVH182"/>
      <c r="UVI182"/>
      <c r="UVJ182"/>
      <c r="UVK182"/>
      <c r="UVL182"/>
      <c r="UVM182"/>
      <c r="UVN182"/>
      <c r="UVO182"/>
      <c r="UVP182"/>
      <c r="UVQ182"/>
      <c r="UVR182"/>
      <c r="UVS182"/>
      <c r="UVT182"/>
      <c r="UVU182"/>
      <c r="UVV182"/>
      <c r="UVW182"/>
      <c r="UVX182"/>
      <c r="UVY182"/>
      <c r="UVZ182"/>
      <c r="UWA182"/>
      <c r="UWB182"/>
      <c r="UWC182"/>
      <c r="UWD182"/>
      <c r="UWE182"/>
      <c r="UWF182"/>
      <c r="UWG182"/>
      <c r="UWH182"/>
      <c r="UWI182"/>
      <c r="UWJ182"/>
      <c r="UWK182"/>
      <c r="UWL182"/>
      <c r="UWM182"/>
      <c r="UWN182"/>
      <c r="UWO182"/>
      <c r="UWP182"/>
      <c r="UWQ182"/>
      <c r="UWR182"/>
      <c r="UWS182"/>
      <c r="UWT182"/>
      <c r="UWU182"/>
      <c r="UWV182"/>
      <c r="UWW182"/>
      <c r="UWX182"/>
      <c r="UWY182"/>
      <c r="UWZ182"/>
      <c r="UXA182"/>
      <c r="UXB182"/>
      <c r="UXC182"/>
      <c r="UXD182"/>
      <c r="UXE182"/>
      <c r="UXF182"/>
      <c r="UXG182"/>
      <c r="UXH182"/>
      <c r="UXI182"/>
      <c r="UXJ182"/>
      <c r="UXK182"/>
      <c r="UXL182"/>
      <c r="UXM182"/>
      <c r="UXN182"/>
      <c r="UXO182"/>
      <c r="UXP182"/>
      <c r="UXQ182"/>
      <c r="UXR182"/>
      <c r="UXS182"/>
      <c r="UXT182"/>
      <c r="UXU182"/>
      <c r="UXV182"/>
      <c r="UXW182"/>
      <c r="UXX182"/>
      <c r="UXY182"/>
      <c r="UXZ182"/>
      <c r="UYA182"/>
      <c r="UYB182"/>
      <c r="UYC182"/>
      <c r="UYD182"/>
      <c r="UYE182"/>
      <c r="UYF182"/>
      <c r="UYG182"/>
      <c r="UYH182"/>
      <c r="UYI182"/>
      <c r="UYJ182"/>
      <c r="UYK182"/>
      <c r="UYL182"/>
      <c r="UYM182"/>
      <c r="UYN182"/>
      <c r="UYO182"/>
      <c r="UYP182"/>
      <c r="UYQ182"/>
      <c r="UYR182"/>
      <c r="UYS182"/>
      <c r="UYT182"/>
      <c r="UYU182"/>
      <c r="UYV182"/>
      <c r="UYW182"/>
      <c r="UYX182"/>
      <c r="UYY182"/>
      <c r="UYZ182"/>
      <c r="UZA182"/>
      <c r="UZB182"/>
      <c r="UZC182"/>
      <c r="UZD182"/>
      <c r="UZE182"/>
      <c r="UZF182"/>
      <c r="UZG182"/>
      <c r="UZH182"/>
      <c r="UZI182"/>
      <c r="UZJ182"/>
      <c r="UZK182"/>
      <c r="UZL182"/>
      <c r="UZM182"/>
      <c r="UZN182"/>
      <c r="UZO182"/>
      <c r="UZP182"/>
      <c r="UZQ182"/>
      <c r="UZR182"/>
      <c r="UZS182"/>
      <c r="UZT182"/>
      <c r="UZU182"/>
      <c r="UZV182"/>
      <c r="UZW182"/>
      <c r="UZX182"/>
      <c r="UZY182"/>
      <c r="UZZ182"/>
      <c r="VAA182"/>
      <c r="VAB182"/>
      <c r="VAC182"/>
      <c r="VAD182"/>
      <c r="VAE182"/>
      <c r="VAF182"/>
      <c r="VAG182"/>
      <c r="VAH182"/>
      <c r="VAI182"/>
      <c r="VAJ182"/>
      <c r="VAK182"/>
      <c r="VAL182"/>
      <c r="VAM182"/>
      <c r="VAN182"/>
      <c r="VAO182"/>
      <c r="VAP182"/>
      <c r="VAQ182"/>
      <c r="VAR182"/>
      <c r="VAS182"/>
      <c r="VAT182"/>
      <c r="VAU182"/>
      <c r="VAV182"/>
      <c r="VAW182"/>
      <c r="VAX182"/>
      <c r="VAY182"/>
      <c r="VAZ182"/>
      <c r="VBA182"/>
      <c r="VBB182"/>
      <c r="VBC182"/>
      <c r="VBD182"/>
      <c r="VBE182"/>
      <c r="VBF182"/>
      <c r="VBG182"/>
      <c r="VBH182"/>
      <c r="VBI182"/>
      <c r="VBJ182"/>
      <c r="VBK182"/>
      <c r="VBL182"/>
      <c r="VBM182"/>
      <c r="VBN182"/>
      <c r="VBO182"/>
      <c r="VBP182"/>
      <c r="VBQ182"/>
      <c r="VBR182"/>
      <c r="VBS182"/>
      <c r="VBT182"/>
      <c r="VBU182"/>
      <c r="VBV182"/>
      <c r="VBW182"/>
      <c r="VBX182"/>
      <c r="VBY182"/>
      <c r="VBZ182"/>
      <c r="VCA182"/>
      <c r="VCB182"/>
      <c r="VCC182"/>
      <c r="VCD182"/>
      <c r="VCE182"/>
      <c r="VCF182"/>
      <c r="VCG182"/>
      <c r="VCH182"/>
      <c r="VCI182"/>
      <c r="VCJ182"/>
      <c r="VCK182"/>
      <c r="VCL182"/>
      <c r="VCM182"/>
      <c r="VCN182"/>
      <c r="VCO182"/>
      <c r="VCP182"/>
      <c r="VCQ182"/>
      <c r="VCR182"/>
      <c r="VCS182"/>
      <c r="VCT182"/>
      <c r="VCU182"/>
      <c r="VCV182"/>
      <c r="VCW182"/>
      <c r="VCX182"/>
      <c r="VCY182"/>
      <c r="VCZ182"/>
      <c r="VDA182"/>
      <c r="VDB182"/>
      <c r="VDC182"/>
      <c r="VDD182"/>
      <c r="VDE182"/>
      <c r="VDF182"/>
      <c r="VDG182"/>
      <c r="VDH182"/>
      <c r="VDI182"/>
      <c r="VDJ182"/>
      <c r="VDK182"/>
      <c r="VDL182"/>
      <c r="VDM182"/>
      <c r="VDN182"/>
      <c r="VDO182"/>
      <c r="VDP182"/>
      <c r="VDQ182"/>
      <c r="VDR182"/>
      <c r="VDS182"/>
      <c r="VDT182"/>
      <c r="VDU182"/>
      <c r="VDV182"/>
      <c r="VDW182"/>
      <c r="VDX182"/>
      <c r="VDY182"/>
      <c r="VDZ182"/>
      <c r="VEA182"/>
      <c r="VEB182"/>
      <c r="VEC182"/>
      <c r="VED182"/>
      <c r="VEE182"/>
      <c r="VEF182"/>
      <c r="VEG182"/>
      <c r="VEH182"/>
      <c r="VEI182"/>
      <c r="VEJ182"/>
      <c r="VEK182"/>
      <c r="VEL182"/>
      <c r="VEM182"/>
      <c r="VEN182"/>
      <c r="VEO182"/>
      <c r="VEP182"/>
      <c r="VEQ182"/>
      <c r="VER182"/>
      <c r="VES182"/>
      <c r="VET182"/>
      <c r="VEU182"/>
      <c r="VEV182"/>
      <c r="VEW182"/>
      <c r="VEX182"/>
      <c r="VEY182"/>
      <c r="VEZ182"/>
      <c r="VFA182"/>
      <c r="VFB182"/>
      <c r="VFC182"/>
      <c r="VFD182"/>
      <c r="VFE182"/>
      <c r="VFF182"/>
      <c r="VFG182"/>
      <c r="VFH182"/>
      <c r="VFI182"/>
      <c r="VFJ182"/>
      <c r="VFK182"/>
      <c r="VFL182"/>
      <c r="VFM182"/>
      <c r="VFN182"/>
      <c r="VFO182"/>
      <c r="VFP182"/>
      <c r="VFQ182"/>
      <c r="VFR182"/>
      <c r="VFS182"/>
      <c r="VFT182"/>
      <c r="VFU182"/>
      <c r="VFV182"/>
      <c r="VFW182"/>
      <c r="VFX182"/>
      <c r="VFY182"/>
      <c r="VFZ182"/>
      <c r="VGA182"/>
      <c r="VGB182"/>
      <c r="VGC182"/>
      <c r="VGD182"/>
      <c r="VGE182"/>
      <c r="VGF182"/>
      <c r="VGG182"/>
      <c r="VGH182"/>
      <c r="VGI182"/>
      <c r="VGJ182"/>
      <c r="VGK182"/>
      <c r="VGL182"/>
      <c r="VGM182"/>
      <c r="VGN182"/>
      <c r="VGO182"/>
      <c r="VGP182"/>
      <c r="VGQ182"/>
      <c r="VGR182"/>
      <c r="VGS182"/>
      <c r="VGT182"/>
      <c r="VGU182"/>
      <c r="VGV182"/>
      <c r="VGW182"/>
      <c r="VGX182"/>
      <c r="VGY182"/>
      <c r="VGZ182"/>
      <c r="VHA182"/>
      <c r="VHB182"/>
      <c r="VHC182"/>
      <c r="VHD182"/>
      <c r="VHE182"/>
      <c r="VHF182"/>
      <c r="VHG182"/>
      <c r="VHH182"/>
      <c r="VHI182"/>
      <c r="VHJ182"/>
      <c r="VHK182"/>
      <c r="VHL182"/>
      <c r="VHM182"/>
      <c r="VHN182"/>
      <c r="VHO182"/>
      <c r="VHP182"/>
      <c r="VHQ182"/>
      <c r="VHR182"/>
      <c r="VHS182"/>
      <c r="VHT182"/>
      <c r="VHU182"/>
      <c r="VHV182"/>
      <c r="VHW182"/>
      <c r="VHX182"/>
      <c r="VHY182"/>
      <c r="VHZ182"/>
      <c r="VIA182"/>
      <c r="VIB182"/>
      <c r="VIC182"/>
      <c r="VID182"/>
      <c r="VIE182"/>
      <c r="VIF182"/>
      <c r="VIG182"/>
      <c r="VIH182"/>
      <c r="VII182"/>
      <c r="VIJ182"/>
      <c r="VIK182"/>
      <c r="VIL182"/>
      <c r="VIM182"/>
      <c r="VIN182"/>
      <c r="VIO182"/>
      <c r="VIP182"/>
      <c r="VIQ182"/>
      <c r="VIR182"/>
      <c r="VIS182"/>
      <c r="VIT182"/>
      <c r="VIU182"/>
      <c r="VIV182"/>
      <c r="VIW182"/>
      <c r="VIX182"/>
      <c r="VIY182"/>
      <c r="VIZ182"/>
      <c r="VJA182"/>
      <c r="VJB182"/>
      <c r="VJC182"/>
      <c r="VJD182"/>
      <c r="VJE182"/>
      <c r="VJF182"/>
      <c r="VJG182"/>
      <c r="VJH182"/>
      <c r="VJI182"/>
      <c r="VJJ182"/>
      <c r="VJK182"/>
      <c r="VJL182"/>
      <c r="VJM182"/>
      <c r="VJN182"/>
      <c r="VJO182"/>
      <c r="VJP182"/>
      <c r="VJQ182"/>
      <c r="VJR182"/>
      <c r="VJS182"/>
      <c r="VJT182"/>
      <c r="VJU182"/>
      <c r="VJV182"/>
      <c r="VJW182"/>
      <c r="VJX182"/>
      <c r="VJY182"/>
      <c r="VJZ182"/>
      <c r="VKA182"/>
      <c r="VKB182"/>
      <c r="VKC182"/>
      <c r="VKD182"/>
      <c r="VKE182"/>
      <c r="VKF182"/>
      <c r="VKG182"/>
      <c r="VKH182"/>
      <c r="VKI182"/>
      <c r="VKJ182"/>
      <c r="VKK182"/>
      <c r="VKL182"/>
      <c r="VKM182"/>
      <c r="VKN182"/>
      <c r="VKO182"/>
      <c r="VKP182"/>
      <c r="VKQ182"/>
      <c r="VKR182"/>
      <c r="VKS182"/>
      <c r="VKT182"/>
      <c r="VKU182"/>
      <c r="VKV182"/>
      <c r="VKW182"/>
      <c r="VKX182"/>
      <c r="VKY182"/>
      <c r="VKZ182"/>
      <c r="VLA182"/>
      <c r="VLB182"/>
      <c r="VLC182"/>
      <c r="VLD182"/>
      <c r="VLE182"/>
      <c r="VLF182"/>
      <c r="VLG182"/>
      <c r="VLH182"/>
      <c r="VLI182"/>
      <c r="VLJ182"/>
      <c r="VLK182"/>
      <c r="VLL182"/>
      <c r="VLM182"/>
      <c r="VLN182"/>
      <c r="VLO182"/>
      <c r="VLP182"/>
      <c r="VLQ182"/>
      <c r="VLR182"/>
      <c r="VLS182"/>
      <c r="VLT182"/>
      <c r="VLU182"/>
      <c r="VLV182"/>
      <c r="VLW182"/>
      <c r="VLX182"/>
      <c r="VLY182"/>
      <c r="VLZ182"/>
      <c r="VMA182"/>
      <c r="VMB182"/>
      <c r="VMC182"/>
      <c r="VMD182"/>
      <c r="VME182"/>
      <c r="VMF182"/>
      <c r="VMG182"/>
      <c r="VMH182"/>
      <c r="VMI182"/>
      <c r="VMJ182"/>
      <c r="VMK182"/>
      <c r="VML182"/>
      <c r="VMM182"/>
      <c r="VMN182"/>
      <c r="VMO182"/>
      <c r="VMP182"/>
      <c r="VMQ182"/>
      <c r="VMR182"/>
      <c r="VMS182"/>
      <c r="VMT182"/>
      <c r="VMU182"/>
      <c r="VMV182"/>
      <c r="VMW182"/>
      <c r="VMX182"/>
      <c r="VMY182"/>
      <c r="VMZ182"/>
      <c r="VNA182"/>
      <c r="VNB182"/>
      <c r="VNC182"/>
      <c r="VND182"/>
      <c r="VNE182"/>
      <c r="VNF182"/>
      <c r="VNG182"/>
      <c r="VNH182"/>
      <c r="VNI182"/>
      <c r="VNJ182"/>
      <c r="VNK182"/>
      <c r="VNL182"/>
      <c r="VNM182"/>
      <c r="VNN182"/>
      <c r="VNO182"/>
      <c r="VNP182"/>
      <c r="VNQ182"/>
      <c r="VNR182"/>
      <c r="VNS182"/>
      <c r="VNT182"/>
      <c r="VNU182"/>
      <c r="VNV182"/>
      <c r="VNW182"/>
      <c r="VNX182"/>
      <c r="VNY182"/>
      <c r="VNZ182"/>
      <c r="VOA182"/>
      <c r="VOB182"/>
      <c r="VOC182"/>
      <c r="VOD182"/>
      <c r="VOE182"/>
      <c r="VOF182"/>
      <c r="VOG182"/>
      <c r="VOH182"/>
      <c r="VOI182"/>
      <c r="VOJ182"/>
      <c r="VOK182"/>
      <c r="VOL182"/>
      <c r="VOM182"/>
      <c r="VON182"/>
      <c r="VOO182"/>
      <c r="VOP182"/>
      <c r="VOQ182"/>
      <c r="VOR182"/>
      <c r="VOS182"/>
      <c r="VOT182"/>
      <c r="VOU182"/>
      <c r="VOV182"/>
      <c r="VOW182"/>
      <c r="VOX182"/>
      <c r="VOY182"/>
      <c r="VOZ182"/>
      <c r="VPA182"/>
      <c r="VPB182"/>
      <c r="VPC182"/>
      <c r="VPD182"/>
      <c r="VPE182"/>
      <c r="VPF182"/>
      <c r="VPG182"/>
      <c r="VPH182"/>
      <c r="VPI182"/>
      <c r="VPJ182"/>
      <c r="VPK182"/>
      <c r="VPL182"/>
      <c r="VPM182"/>
      <c r="VPN182"/>
      <c r="VPO182"/>
      <c r="VPP182"/>
      <c r="VPQ182"/>
      <c r="VPR182"/>
      <c r="VPS182"/>
      <c r="VPT182"/>
      <c r="VPU182"/>
      <c r="VPV182"/>
      <c r="VPW182"/>
      <c r="VPX182"/>
      <c r="VPY182"/>
      <c r="VPZ182"/>
      <c r="VQA182"/>
      <c r="VQB182"/>
      <c r="VQC182"/>
      <c r="VQD182"/>
      <c r="VQE182"/>
      <c r="VQF182"/>
      <c r="VQG182"/>
      <c r="VQH182"/>
      <c r="VQI182"/>
      <c r="VQJ182"/>
      <c r="VQK182"/>
      <c r="VQL182"/>
      <c r="VQM182"/>
      <c r="VQN182"/>
      <c r="VQO182"/>
      <c r="VQP182"/>
      <c r="VQQ182"/>
      <c r="VQR182"/>
      <c r="VQS182"/>
      <c r="VQT182"/>
      <c r="VQU182"/>
      <c r="VQV182"/>
      <c r="VQW182"/>
      <c r="VQX182"/>
      <c r="VQY182"/>
      <c r="VQZ182"/>
      <c r="VRA182"/>
      <c r="VRB182"/>
      <c r="VRC182"/>
      <c r="VRD182"/>
      <c r="VRE182"/>
      <c r="VRF182"/>
      <c r="VRG182"/>
      <c r="VRH182"/>
      <c r="VRI182"/>
      <c r="VRJ182"/>
      <c r="VRK182"/>
      <c r="VRL182"/>
      <c r="VRM182"/>
      <c r="VRN182"/>
      <c r="VRO182"/>
      <c r="VRP182"/>
      <c r="VRQ182"/>
      <c r="VRR182"/>
      <c r="VRS182"/>
      <c r="VRT182"/>
      <c r="VRU182"/>
      <c r="VRV182"/>
      <c r="VRW182"/>
      <c r="VRX182"/>
      <c r="VRY182"/>
      <c r="VRZ182"/>
      <c r="VSA182"/>
      <c r="VSB182"/>
      <c r="VSC182"/>
      <c r="VSD182"/>
      <c r="VSE182"/>
      <c r="VSF182"/>
      <c r="VSG182"/>
      <c r="VSH182"/>
      <c r="VSI182"/>
      <c r="VSJ182"/>
      <c r="VSK182"/>
      <c r="VSL182"/>
      <c r="VSM182"/>
      <c r="VSN182"/>
      <c r="VSO182"/>
      <c r="VSP182"/>
      <c r="VSQ182"/>
      <c r="VSR182"/>
      <c r="VSS182"/>
      <c r="VST182"/>
      <c r="VSU182"/>
      <c r="VSV182"/>
      <c r="VSW182"/>
      <c r="VSX182"/>
      <c r="VSY182"/>
      <c r="VSZ182"/>
      <c r="VTA182"/>
      <c r="VTB182"/>
      <c r="VTC182"/>
      <c r="VTD182"/>
      <c r="VTE182"/>
      <c r="VTF182"/>
      <c r="VTG182"/>
      <c r="VTH182"/>
      <c r="VTI182"/>
      <c r="VTJ182"/>
      <c r="VTK182"/>
      <c r="VTL182"/>
      <c r="VTM182"/>
      <c r="VTN182"/>
      <c r="VTO182"/>
      <c r="VTP182"/>
      <c r="VTQ182"/>
      <c r="VTR182"/>
      <c r="VTS182"/>
      <c r="VTT182"/>
      <c r="VTU182"/>
      <c r="VTV182"/>
      <c r="VTW182"/>
      <c r="VTX182"/>
      <c r="VTY182"/>
      <c r="VTZ182"/>
      <c r="VUA182"/>
      <c r="VUB182"/>
      <c r="VUC182"/>
      <c r="VUD182"/>
      <c r="VUE182"/>
      <c r="VUF182"/>
      <c r="VUG182"/>
      <c r="VUH182"/>
      <c r="VUI182"/>
      <c r="VUJ182"/>
      <c r="VUK182"/>
      <c r="VUL182"/>
      <c r="VUM182"/>
      <c r="VUN182"/>
      <c r="VUO182"/>
      <c r="VUP182"/>
      <c r="VUQ182"/>
      <c r="VUR182"/>
      <c r="VUS182"/>
      <c r="VUT182"/>
      <c r="VUU182"/>
      <c r="VUV182"/>
      <c r="VUW182"/>
      <c r="VUX182"/>
      <c r="VUY182"/>
      <c r="VUZ182"/>
      <c r="VVA182"/>
      <c r="VVB182"/>
      <c r="VVC182"/>
      <c r="VVD182"/>
      <c r="VVE182"/>
      <c r="VVF182"/>
      <c r="VVG182"/>
      <c r="VVH182"/>
      <c r="VVI182"/>
      <c r="VVJ182"/>
      <c r="VVK182"/>
      <c r="VVL182"/>
      <c r="VVM182"/>
      <c r="VVN182"/>
      <c r="VVO182"/>
      <c r="VVP182"/>
      <c r="VVQ182"/>
      <c r="VVR182"/>
      <c r="VVS182"/>
      <c r="VVT182"/>
      <c r="VVU182"/>
      <c r="VVV182"/>
      <c r="VVW182"/>
      <c r="VVX182"/>
      <c r="VVY182"/>
      <c r="VVZ182"/>
      <c r="VWA182"/>
      <c r="VWB182"/>
      <c r="VWC182"/>
      <c r="VWD182"/>
      <c r="VWE182"/>
      <c r="VWF182"/>
      <c r="VWG182"/>
      <c r="VWH182"/>
      <c r="VWI182"/>
      <c r="VWJ182"/>
      <c r="VWK182"/>
      <c r="VWL182"/>
      <c r="VWM182"/>
      <c r="VWN182"/>
      <c r="VWO182"/>
      <c r="VWP182"/>
      <c r="VWQ182"/>
      <c r="VWR182"/>
      <c r="VWS182"/>
      <c r="VWT182"/>
      <c r="VWU182"/>
      <c r="VWV182"/>
      <c r="VWW182"/>
      <c r="VWX182"/>
      <c r="VWY182"/>
      <c r="VWZ182"/>
      <c r="VXA182"/>
      <c r="VXB182"/>
      <c r="VXC182"/>
      <c r="VXD182"/>
      <c r="VXE182"/>
      <c r="VXF182"/>
      <c r="VXG182"/>
      <c r="VXH182"/>
      <c r="VXI182"/>
      <c r="VXJ182"/>
      <c r="VXK182"/>
      <c r="VXL182"/>
      <c r="VXM182"/>
      <c r="VXN182"/>
      <c r="VXO182"/>
      <c r="VXP182"/>
      <c r="VXQ182"/>
      <c r="VXR182"/>
      <c r="VXS182"/>
      <c r="VXT182"/>
      <c r="VXU182"/>
      <c r="VXV182"/>
      <c r="VXW182"/>
      <c r="VXX182"/>
      <c r="VXY182"/>
      <c r="VXZ182"/>
      <c r="VYA182"/>
      <c r="VYB182"/>
      <c r="VYC182"/>
      <c r="VYD182"/>
      <c r="VYE182"/>
      <c r="VYF182"/>
      <c r="VYG182"/>
      <c r="VYH182"/>
      <c r="VYI182"/>
      <c r="VYJ182"/>
      <c r="VYK182"/>
      <c r="VYL182"/>
      <c r="VYM182"/>
      <c r="VYN182"/>
      <c r="VYO182"/>
      <c r="VYP182"/>
      <c r="VYQ182"/>
      <c r="VYR182"/>
      <c r="VYS182"/>
      <c r="VYT182"/>
      <c r="VYU182"/>
      <c r="VYV182"/>
      <c r="VYW182"/>
      <c r="VYX182"/>
      <c r="VYY182"/>
      <c r="VYZ182"/>
      <c r="VZA182"/>
      <c r="VZB182"/>
      <c r="VZC182"/>
      <c r="VZD182"/>
      <c r="VZE182"/>
      <c r="VZF182"/>
      <c r="VZG182"/>
      <c r="VZH182"/>
      <c r="VZI182"/>
      <c r="VZJ182"/>
      <c r="VZK182"/>
      <c r="VZL182"/>
      <c r="VZM182"/>
      <c r="VZN182"/>
      <c r="VZO182"/>
      <c r="VZP182"/>
      <c r="VZQ182"/>
      <c r="VZR182"/>
      <c r="VZS182"/>
      <c r="VZT182"/>
      <c r="VZU182"/>
      <c r="VZV182"/>
      <c r="VZW182"/>
      <c r="VZX182"/>
      <c r="VZY182"/>
      <c r="VZZ182"/>
      <c r="WAA182"/>
      <c r="WAB182"/>
      <c r="WAC182"/>
      <c r="WAD182"/>
      <c r="WAE182"/>
      <c r="WAF182"/>
      <c r="WAG182"/>
      <c r="WAH182"/>
      <c r="WAI182"/>
      <c r="WAJ182"/>
      <c r="WAK182"/>
      <c r="WAL182"/>
      <c r="WAM182"/>
      <c r="WAN182"/>
      <c r="WAO182"/>
      <c r="WAP182"/>
      <c r="WAQ182"/>
      <c r="WAR182"/>
      <c r="WAS182"/>
      <c r="WAT182"/>
      <c r="WAU182"/>
      <c r="WAV182"/>
      <c r="WAW182"/>
      <c r="WAX182"/>
      <c r="WAY182"/>
      <c r="WAZ182"/>
      <c r="WBA182"/>
      <c r="WBB182"/>
      <c r="WBC182"/>
      <c r="WBD182"/>
      <c r="WBE182"/>
      <c r="WBF182"/>
      <c r="WBG182"/>
      <c r="WBH182"/>
      <c r="WBI182"/>
      <c r="WBJ182"/>
      <c r="WBK182"/>
      <c r="WBL182"/>
      <c r="WBM182"/>
      <c r="WBN182"/>
      <c r="WBO182"/>
      <c r="WBP182"/>
      <c r="WBQ182"/>
      <c r="WBR182"/>
      <c r="WBS182"/>
      <c r="WBT182"/>
      <c r="WBU182"/>
      <c r="WBV182"/>
      <c r="WBW182"/>
      <c r="WBX182"/>
      <c r="WBY182"/>
      <c r="WBZ182"/>
      <c r="WCA182"/>
      <c r="WCB182"/>
      <c r="WCC182"/>
      <c r="WCD182"/>
      <c r="WCE182"/>
      <c r="WCF182"/>
      <c r="WCG182"/>
      <c r="WCH182"/>
      <c r="WCI182"/>
      <c r="WCJ182"/>
      <c r="WCK182"/>
      <c r="WCL182"/>
      <c r="WCM182"/>
      <c r="WCN182"/>
      <c r="WCO182"/>
      <c r="WCP182"/>
      <c r="WCQ182"/>
      <c r="WCR182"/>
      <c r="WCS182"/>
      <c r="WCT182"/>
      <c r="WCU182"/>
      <c r="WCV182"/>
      <c r="WCW182"/>
      <c r="WCX182"/>
      <c r="WCY182"/>
      <c r="WCZ182"/>
      <c r="WDA182"/>
      <c r="WDB182"/>
      <c r="WDC182"/>
      <c r="WDD182"/>
      <c r="WDE182"/>
      <c r="WDF182"/>
      <c r="WDG182"/>
      <c r="WDH182"/>
      <c r="WDI182"/>
      <c r="WDJ182"/>
      <c r="WDK182"/>
      <c r="WDL182"/>
      <c r="WDM182"/>
      <c r="WDN182"/>
      <c r="WDO182"/>
      <c r="WDP182"/>
      <c r="WDQ182"/>
      <c r="WDR182"/>
      <c r="WDS182"/>
      <c r="WDT182"/>
      <c r="WDU182"/>
      <c r="WDV182"/>
      <c r="WDW182"/>
      <c r="WDX182"/>
      <c r="WDY182"/>
      <c r="WDZ182"/>
      <c r="WEA182"/>
      <c r="WEB182"/>
      <c r="WEC182"/>
      <c r="WED182"/>
      <c r="WEE182"/>
      <c r="WEF182"/>
      <c r="WEG182"/>
      <c r="WEH182"/>
      <c r="WEI182"/>
      <c r="WEJ182"/>
      <c r="WEK182"/>
      <c r="WEL182"/>
      <c r="WEM182"/>
      <c r="WEN182"/>
      <c r="WEO182"/>
      <c r="WEP182"/>
      <c r="WEQ182"/>
      <c r="WER182"/>
      <c r="WES182"/>
      <c r="WET182"/>
      <c r="WEU182"/>
      <c r="WEV182"/>
      <c r="WEW182"/>
      <c r="WEX182"/>
      <c r="WEY182"/>
      <c r="WEZ182"/>
      <c r="WFA182"/>
      <c r="WFB182"/>
      <c r="WFC182"/>
      <c r="WFD182"/>
      <c r="WFE182"/>
      <c r="WFF182"/>
      <c r="WFG182"/>
      <c r="WFH182"/>
      <c r="WFI182"/>
      <c r="WFJ182"/>
      <c r="WFK182"/>
      <c r="WFL182"/>
      <c r="WFM182"/>
      <c r="WFN182"/>
      <c r="WFO182"/>
      <c r="WFP182"/>
      <c r="WFQ182"/>
      <c r="WFR182"/>
      <c r="WFS182"/>
      <c r="WFT182"/>
      <c r="WFU182"/>
      <c r="WFV182"/>
      <c r="WFW182"/>
      <c r="WFX182"/>
      <c r="WFY182"/>
      <c r="WFZ182"/>
      <c r="WGA182"/>
      <c r="WGB182"/>
      <c r="WGC182"/>
      <c r="WGD182"/>
      <c r="WGE182"/>
      <c r="WGF182"/>
      <c r="WGG182"/>
      <c r="WGH182"/>
      <c r="WGI182"/>
      <c r="WGJ182"/>
      <c r="WGK182"/>
      <c r="WGL182"/>
      <c r="WGM182"/>
      <c r="WGN182"/>
      <c r="WGO182"/>
      <c r="WGP182"/>
      <c r="WGQ182"/>
      <c r="WGR182"/>
      <c r="WGS182"/>
      <c r="WGT182"/>
      <c r="WGU182"/>
      <c r="WGV182"/>
      <c r="WGW182"/>
      <c r="WGX182"/>
      <c r="WGY182"/>
      <c r="WGZ182"/>
      <c r="WHA182"/>
      <c r="WHB182"/>
      <c r="WHC182"/>
      <c r="WHD182"/>
      <c r="WHE182"/>
      <c r="WHF182"/>
      <c r="WHG182"/>
      <c r="WHH182"/>
      <c r="WHI182"/>
      <c r="WHJ182"/>
      <c r="WHK182"/>
      <c r="WHL182"/>
      <c r="WHM182"/>
      <c r="WHN182"/>
      <c r="WHO182"/>
      <c r="WHP182"/>
      <c r="WHQ182"/>
      <c r="WHR182"/>
      <c r="WHS182"/>
      <c r="WHT182"/>
      <c r="WHU182"/>
      <c r="WHV182"/>
      <c r="WHW182"/>
      <c r="WHX182"/>
      <c r="WHY182"/>
      <c r="WHZ182"/>
      <c r="WIA182"/>
      <c r="WIB182"/>
      <c r="WIC182"/>
      <c r="WID182"/>
      <c r="WIE182"/>
      <c r="WIF182"/>
      <c r="WIG182"/>
      <c r="WIH182"/>
      <c r="WII182"/>
      <c r="WIJ182"/>
      <c r="WIK182"/>
      <c r="WIL182"/>
      <c r="WIM182"/>
      <c r="WIN182"/>
      <c r="WIO182"/>
      <c r="WIP182"/>
      <c r="WIQ182"/>
      <c r="WIR182"/>
      <c r="WIS182"/>
      <c r="WIT182"/>
      <c r="WIU182"/>
      <c r="WIV182"/>
      <c r="WIW182"/>
      <c r="WIX182"/>
      <c r="WIY182"/>
      <c r="WIZ182"/>
      <c r="WJA182"/>
      <c r="WJB182"/>
      <c r="WJC182"/>
      <c r="WJD182"/>
      <c r="WJE182"/>
      <c r="WJF182"/>
      <c r="WJG182"/>
      <c r="WJH182"/>
      <c r="WJI182"/>
      <c r="WJJ182"/>
      <c r="WJK182"/>
      <c r="WJL182"/>
      <c r="WJM182"/>
      <c r="WJN182"/>
      <c r="WJO182"/>
      <c r="WJP182"/>
      <c r="WJQ182"/>
      <c r="WJR182"/>
      <c r="WJS182"/>
      <c r="WJT182"/>
      <c r="WJU182"/>
      <c r="WJV182"/>
      <c r="WJW182"/>
      <c r="WJX182"/>
      <c r="WJY182"/>
      <c r="WJZ182"/>
      <c r="WKA182"/>
      <c r="WKB182"/>
      <c r="WKC182"/>
      <c r="WKD182"/>
      <c r="WKE182"/>
      <c r="WKF182"/>
      <c r="WKG182"/>
      <c r="WKH182"/>
      <c r="WKI182"/>
      <c r="WKJ182"/>
      <c r="WKK182"/>
      <c r="WKL182"/>
      <c r="WKM182"/>
      <c r="WKN182"/>
      <c r="WKO182"/>
      <c r="WKP182"/>
      <c r="WKQ182"/>
      <c r="WKR182"/>
      <c r="WKS182"/>
      <c r="WKT182"/>
      <c r="WKU182"/>
      <c r="WKV182"/>
      <c r="WKW182"/>
      <c r="WKX182"/>
      <c r="WKY182"/>
      <c r="WKZ182"/>
      <c r="WLA182"/>
      <c r="WLB182"/>
      <c r="WLC182"/>
      <c r="WLD182"/>
      <c r="WLE182"/>
      <c r="WLF182"/>
      <c r="WLG182"/>
      <c r="WLH182"/>
      <c r="WLI182"/>
      <c r="WLJ182"/>
      <c r="WLK182"/>
      <c r="WLL182"/>
      <c r="WLM182"/>
      <c r="WLN182"/>
      <c r="WLO182"/>
      <c r="WLP182"/>
      <c r="WLQ182"/>
      <c r="WLR182"/>
      <c r="WLS182"/>
      <c r="WLT182"/>
      <c r="WLU182"/>
      <c r="WLV182"/>
      <c r="WLW182"/>
      <c r="WLX182"/>
      <c r="WLY182"/>
      <c r="WLZ182"/>
      <c r="WMA182"/>
      <c r="WMB182"/>
      <c r="WMC182"/>
      <c r="WMD182"/>
      <c r="WME182"/>
      <c r="WMF182"/>
      <c r="WMG182"/>
      <c r="WMH182"/>
      <c r="WMI182"/>
      <c r="WMJ182"/>
      <c r="WMK182"/>
      <c r="WML182"/>
      <c r="WMM182"/>
      <c r="WMN182"/>
      <c r="WMO182"/>
      <c r="WMP182"/>
      <c r="WMQ182"/>
      <c r="WMR182"/>
      <c r="WMS182"/>
      <c r="WMT182"/>
      <c r="WMU182"/>
      <c r="WMV182"/>
      <c r="WMW182"/>
      <c r="WMX182"/>
      <c r="WMY182"/>
      <c r="WMZ182"/>
      <c r="WNA182"/>
      <c r="WNB182"/>
      <c r="WNC182"/>
      <c r="WND182"/>
      <c r="WNE182"/>
      <c r="WNF182"/>
      <c r="WNG182"/>
      <c r="WNH182"/>
      <c r="WNI182"/>
      <c r="WNJ182"/>
      <c r="WNK182"/>
      <c r="WNL182"/>
      <c r="WNM182"/>
      <c r="WNN182"/>
      <c r="WNO182"/>
      <c r="WNP182"/>
      <c r="WNQ182"/>
      <c r="WNR182"/>
      <c r="WNS182"/>
      <c r="WNT182"/>
      <c r="WNU182"/>
      <c r="WNV182"/>
      <c r="WNW182"/>
      <c r="WNX182"/>
      <c r="WNY182"/>
      <c r="WNZ182"/>
      <c r="WOA182"/>
      <c r="WOB182"/>
      <c r="WOC182"/>
      <c r="WOD182"/>
      <c r="WOE182"/>
      <c r="WOF182"/>
      <c r="WOG182"/>
      <c r="WOH182"/>
      <c r="WOI182"/>
      <c r="WOJ182"/>
      <c r="WOK182"/>
      <c r="WOL182"/>
      <c r="WOM182"/>
      <c r="WON182"/>
      <c r="WOO182"/>
      <c r="WOP182"/>
      <c r="WOQ182"/>
      <c r="WOR182"/>
      <c r="WOS182"/>
      <c r="WOT182"/>
      <c r="WOU182"/>
      <c r="WOV182"/>
      <c r="WOW182"/>
      <c r="WOX182"/>
      <c r="WOY182"/>
      <c r="WOZ182"/>
      <c r="WPA182"/>
      <c r="WPB182"/>
      <c r="WPC182"/>
      <c r="WPD182"/>
      <c r="WPE182"/>
      <c r="WPF182"/>
      <c r="WPG182"/>
      <c r="WPH182"/>
      <c r="WPI182"/>
      <c r="WPJ182"/>
      <c r="WPK182"/>
      <c r="WPL182"/>
      <c r="WPM182"/>
      <c r="WPN182"/>
      <c r="WPO182"/>
      <c r="WPP182"/>
      <c r="WPQ182"/>
      <c r="WPR182"/>
      <c r="WPS182"/>
      <c r="WPT182"/>
      <c r="WPU182"/>
      <c r="WPV182"/>
      <c r="WPW182"/>
      <c r="WPX182"/>
      <c r="WPY182"/>
      <c r="WPZ182"/>
      <c r="WQA182"/>
      <c r="WQB182"/>
      <c r="WQC182"/>
      <c r="WQD182"/>
      <c r="WQE182"/>
      <c r="WQF182"/>
      <c r="WQG182"/>
      <c r="WQH182"/>
      <c r="WQI182"/>
      <c r="WQJ182"/>
      <c r="WQK182"/>
      <c r="WQL182"/>
      <c r="WQM182"/>
      <c r="WQN182"/>
      <c r="WQO182"/>
      <c r="WQP182"/>
      <c r="WQQ182"/>
      <c r="WQR182"/>
      <c r="WQS182"/>
      <c r="WQT182"/>
      <c r="WQU182"/>
      <c r="WQV182"/>
      <c r="WQW182"/>
      <c r="WQX182"/>
      <c r="WQY182"/>
      <c r="WQZ182"/>
      <c r="WRA182"/>
      <c r="WRB182"/>
      <c r="WRC182"/>
      <c r="WRD182"/>
      <c r="WRE182"/>
      <c r="WRF182"/>
      <c r="WRG182"/>
      <c r="WRH182"/>
      <c r="WRI182"/>
      <c r="WRJ182"/>
      <c r="WRK182"/>
      <c r="WRL182"/>
      <c r="WRM182"/>
      <c r="WRN182"/>
      <c r="WRO182"/>
      <c r="WRP182"/>
      <c r="WRQ182"/>
      <c r="WRR182"/>
      <c r="WRS182"/>
      <c r="WRT182"/>
      <c r="WRU182"/>
      <c r="WRV182"/>
      <c r="WRW182"/>
      <c r="WRX182"/>
      <c r="WRY182"/>
      <c r="WRZ182"/>
      <c r="WSA182"/>
      <c r="WSB182"/>
      <c r="WSC182"/>
      <c r="WSD182"/>
      <c r="WSE182"/>
      <c r="WSF182"/>
      <c r="WSG182"/>
      <c r="WSH182"/>
      <c r="WSI182"/>
      <c r="WSJ182"/>
      <c r="WSK182"/>
      <c r="WSL182"/>
      <c r="WSM182"/>
      <c r="WSN182"/>
      <c r="WSO182"/>
      <c r="WSP182"/>
      <c r="WSQ182"/>
      <c r="WSR182"/>
      <c r="WSS182"/>
      <c r="WST182"/>
      <c r="WSU182"/>
      <c r="WSV182"/>
      <c r="WSW182"/>
      <c r="WSX182"/>
      <c r="WSY182"/>
      <c r="WSZ182"/>
      <c r="WTA182"/>
      <c r="WTB182"/>
      <c r="WTC182"/>
      <c r="WTD182"/>
      <c r="WTE182"/>
      <c r="WTF182"/>
      <c r="WTG182"/>
      <c r="WTH182"/>
      <c r="WTI182"/>
      <c r="WTJ182"/>
      <c r="WTK182"/>
      <c r="WTL182"/>
      <c r="WTM182"/>
      <c r="WTN182"/>
      <c r="WTO182"/>
      <c r="WTP182"/>
      <c r="WTQ182"/>
      <c r="WTR182"/>
      <c r="WTS182"/>
      <c r="WTT182"/>
      <c r="WTU182"/>
      <c r="WTV182"/>
      <c r="WTW182"/>
      <c r="WTX182"/>
      <c r="WTY182"/>
      <c r="WTZ182"/>
      <c r="WUA182"/>
      <c r="WUB182"/>
      <c r="WUC182"/>
      <c r="WUD182"/>
      <c r="WUE182"/>
      <c r="WUF182"/>
      <c r="WUG182"/>
      <c r="WUH182"/>
      <c r="WUI182"/>
      <c r="WUJ182"/>
      <c r="WUK182"/>
      <c r="WUL182"/>
      <c r="WUM182"/>
      <c r="WUN182"/>
      <c r="WUO182"/>
      <c r="WUP182"/>
      <c r="WUQ182"/>
      <c r="WUR182"/>
      <c r="WUS182"/>
      <c r="WUT182"/>
      <c r="WUU182"/>
      <c r="WUV182"/>
      <c r="WUW182"/>
      <c r="WUX182"/>
      <c r="WUY182"/>
      <c r="WUZ182"/>
      <c r="WVA182"/>
      <c r="WVB182"/>
      <c r="WVC182"/>
      <c r="WVD182"/>
      <c r="WVE182"/>
      <c r="WVF182"/>
      <c r="WVG182"/>
      <c r="WVH182"/>
      <c r="WVI182"/>
      <c r="WVJ182"/>
      <c r="WVK182"/>
      <c r="WVL182"/>
      <c r="WVM182"/>
      <c r="WVN182"/>
      <c r="WVO182"/>
      <c r="WVP182"/>
      <c r="WVQ182"/>
      <c r="WVR182"/>
      <c r="WVS182"/>
      <c r="WVT182"/>
      <c r="WVU182"/>
      <c r="WVV182"/>
      <c r="WVW182"/>
      <c r="WVX182"/>
      <c r="WVY182"/>
      <c r="WVZ182"/>
      <c r="WWA182"/>
      <c r="WWB182"/>
      <c r="WWC182"/>
      <c r="WWD182"/>
      <c r="WWE182"/>
      <c r="WWF182"/>
      <c r="WWG182"/>
      <c r="WWH182"/>
      <c r="WWI182"/>
      <c r="WWJ182"/>
      <c r="WWK182"/>
      <c r="WWL182"/>
      <c r="WWM182"/>
      <c r="WWN182"/>
      <c r="WWO182"/>
      <c r="WWP182"/>
      <c r="WWQ182"/>
      <c r="WWR182"/>
      <c r="WWS182"/>
      <c r="WWT182"/>
      <c r="WWU182"/>
      <c r="WWV182"/>
      <c r="WWW182"/>
      <c r="WWX182"/>
      <c r="WWY182"/>
      <c r="WWZ182"/>
      <c r="WXA182"/>
      <c r="WXB182"/>
      <c r="WXC182"/>
      <c r="WXD182"/>
      <c r="WXE182"/>
      <c r="WXF182"/>
      <c r="WXG182"/>
      <c r="WXH182"/>
      <c r="WXI182"/>
      <c r="WXJ182"/>
      <c r="WXK182"/>
      <c r="WXL182"/>
      <c r="WXM182"/>
      <c r="WXN182"/>
      <c r="WXO182"/>
      <c r="WXP182"/>
      <c r="WXQ182"/>
      <c r="WXR182"/>
      <c r="WXS182"/>
      <c r="WXT182"/>
      <c r="WXU182"/>
      <c r="WXV182"/>
      <c r="WXW182"/>
      <c r="WXX182"/>
      <c r="WXY182"/>
      <c r="WXZ182"/>
      <c r="WYA182"/>
      <c r="WYB182"/>
      <c r="WYC182"/>
      <c r="WYD182"/>
      <c r="WYE182"/>
      <c r="WYF182"/>
      <c r="WYG182"/>
      <c r="WYH182"/>
      <c r="WYI182"/>
      <c r="WYJ182"/>
      <c r="WYK182"/>
      <c r="WYL182"/>
      <c r="WYM182"/>
      <c r="WYN182"/>
      <c r="WYO182"/>
      <c r="WYP182"/>
      <c r="WYQ182"/>
      <c r="WYR182"/>
      <c r="WYS182"/>
      <c r="WYT182"/>
      <c r="WYU182"/>
      <c r="WYV182"/>
      <c r="WYW182"/>
      <c r="WYX182"/>
      <c r="WYY182"/>
      <c r="WYZ182"/>
      <c r="WZA182"/>
      <c r="WZB182"/>
      <c r="WZC182"/>
      <c r="WZD182"/>
      <c r="WZE182"/>
      <c r="WZF182"/>
      <c r="WZG182"/>
      <c r="WZH182"/>
      <c r="WZI182"/>
      <c r="WZJ182"/>
      <c r="WZK182"/>
      <c r="WZL182"/>
      <c r="WZM182"/>
      <c r="WZN182"/>
      <c r="WZO182"/>
      <c r="WZP182"/>
      <c r="WZQ182"/>
      <c r="WZR182"/>
      <c r="WZS182"/>
      <c r="WZT182"/>
      <c r="WZU182"/>
      <c r="WZV182"/>
      <c r="WZW182"/>
      <c r="WZX182"/>
      <c r="WZY182"/>
      <c r="WZZ182"/>
      <c r="XAA182"/>
      <c r="XAB182"/>
      <c r="XAC182"/>
      <c r="XAD182"/>
      <c r="XAE182"/>
      <c r="XAF182"/>
      <c r="XAG182"/>
      <c r="XAH182"/>
      <c r="XAI182"/>
      <c r="XAJ182"/>
      <c r="XAK182"/>
      <c r="XAL182"/>
      <c r="XAM182"/>
      <c r="XAN182"/>
      <c r="XAO182"/>
      <c r="XAP182"/>
      <c r="XAQ182"/>
      <c r="XAR182"/>
      <c r="XAS182"/>
      <c r="XAT182"/>
      <c r="XAU182"/>
      <c r="XAV182"/>
      <c r="XAW182"/>
      <c r="XAX182"/>
      <c r="XAY182"/>
      <c r="XAZ182"/>
      <c r="XBA182"/>
      <c r="XBB182"/>
      <c r="XBC182"/>
      <c r="XBD182"/>
      <c r="XBE182"/>
      <c r="XBF182"/>
      <c r="XBG182"/>
      <c r="XBH182"/>
      <c r="XBI182"/>
      <c r="XBJ182"/>
      <c r="XBK182"/>
      <c r="XBL182"/>
      <c r="XBM182"/>
      <c r="XBN182"/>
      <c r="XBO182"/>
      <c r="XBP182"/>
      <c r="XBQ182"/>
      <c r="XBR182"/>
      <c r="XBS182"/>
      <c r="XBT182"/>
      <c r="XBU182"/>
      <c r="XBV182"/>
      <c r="XBW182"/>
      <c r="XBX182"/>
      <c r="XBY182"/>
      <c r="XBZ182"/>
      <c r="XCA182"/>
      <c r="XCB182"/>
      <c r="XCC182"/>
      <c r="XCD182"/>
      <c r="XCE182"/>
      <c r="XCF182"/>
      <c r="XCG182"/>
      <c r="XCH182"/>
      <c r="XCI182"/>
      <c r="XCJ182"/>
      <c r="XCK182"/>
      <c r="XCL182"/>
      <c r="XCM182"/>
      <c r="XCN182"/>
      <c r="XCO182"/>
      <c r="XCP182"/>
      <c r="XCQ182"/>
      <c r="XCR182"/>
      <c r="XCS182"/>
      <c r="XCT182"/>
      <c r="XCU182"/>
      <c r="XCV182"/>
      <c r="XCW182"/>
      <c r="XCX182"/>
      <c r="XCY182"/>
      <c r="XCZ182"/>
      <c r="XDA182"/>
      <c r="XDB182"/>
      <c r="XDC182"/>
      <c r="XDD182"/>
      <c r="XDE182"/>
      <c r="XDF182"/>
      <c r="XDG182"/>
      <c r="XDH182"/>
      <c r="XDI182"/>
      <c r="XDJ182"/>
      <c r="XDK182"/>
      <c r="XDL182"/>
      <c r="XDM182"/>
      <c r="XDN182"/>
      <c r="XDO182"/>
      <c r="XDP182"/>
      <c r="XDQ182"/>
      <c r="XDR182"/>
      <c r="XDS182"/>
      <c r="XDT182"/>
      <c r="XDU182"/>
      <c r="XDV182"/>
      <c r="XDW182"/>
      <c r="XDX182"/>
      <c r="XDY182"/>
      <c r="XDZ182"/>
      <c r="XEA182"/>
      <c r="XEB182"/>
      <c r="XEC182"/>
      <c r="XED182"/>
      <c r="XEE182"/>
      <c r="XEF182"/>
      <c r="XEG182"/>
      <c r="XEH182"/>
      <c r="XEI182"/>
      <c r="XEJ182"/>
      <c r="XEK182"/>
      <c r="XEL182"/>
      <c r="XEM182"/>
      <c r="XEN182"/>
      <c r="XEO182"/>
      <c r="XEP182"/>
      <c r="XEQ182"/>
      <c r="XER182"/>
      <c r="XES182"/>
      <c r="XET182"/>
      <c r="XEU182"/>
      <c r="XEV182"/>
      <c r="XEW182"/>
      <c r="XEX182"/>
      <c r="XEY182"/>
      <c r="XEZ182"/>
      <c r="XFA182"/>
      <c r="XFB182"/>
      <c r="XFC182"/>
      <c r="XFD182"/>
    </row>
    <row r="183" spans="1:16384" ht="15" customHeight="1">
      <c r="A183" s="67" t="s">
        <v>275</v>
      </c>
      <c r="B183" s="63">
        <v>5034.0709999999999</v>
      </c>
      <c r="C183" s="68">
        <v>4797</v>
      </c>
      <c r="D183" s="68">
        <v>4530</v>
      </c>
      <c r="E183" s="68">
        <v>4483</v>
      </c>
      <c r="F183" s="68">
        <v>4356</v>
      </c>
      <c r="G183" s="63">
        <v>4356</v>
      </c>
      <c r="H183" s="68">
        <v>4531</v>
      </c>
      <c r="I183" s="68">
        <v>4168</v>
      </c>
      <c r="J183" s="68">
        <v>4166</v>
      </c>
      <c r="K183" s="68">
        <v>4136</v>
      </c>
      <c r="L183" s="63">
        <v>4136</v>
      </c>
      <c r="M183" s="68">
        <v>3880</v>
      </c>
      <c r="N183" s="68">
        <v>5229</v>
      </c>
      <c r="O183" s="68">
        <v>5727</v>
      </c>
      <c r="P183" s="68">
        <v>5717</v>
      </c>
      <c r="Q183" s="63">
        <v>5717</v>
      </c>
      <c r="R183" s="68">
        <v>5638</v>
      </c>
      <c r="S183" s="68">
        <v>6984</v>
      </c>
      <c r="T183" s="68">
        <v>9614</v>
      </c>
      <c r="U183" s="68">
        <v>9578</v>
      </c>
      <c r="V183" s="63">
        <v>9578</v>
      </c>
      <c r="W183" s="68">
        <v>9416</v>
      </c>
      <c r="X183" s="68">
        <v>9125</v>
      </c>
      <c r="Y183" s="68">
        <v>8939</v>
      </c>
      <c r="Z183" s="68">
        <v>9546</v>
      </c>
      <c r="AA183" s="63">
        <v>9546</v>
      </c>
      <c r="AB183" s="68">
        <v>9388</v>
      </c>
      <c r="AC183" s="68">
        <v>9939</v>
      </c>
      <c r="AD183" s="68">
        <v>9838</v>
      </c>
      <c r="AE183" s="68">
        <v>9827</v>
      </c>
      <c r="AF183" s="63">
        <v>9827</v>
      </c>
      <c r="AG183" s="68">
        <v>9717</v>
      </c>
      <c r="AH183" s="68">
        <v>9349</v>
      </c>
      <c r="AI183" s="68">
        <v>10363</v>
      </c>
      <c r="AJ183" s="68">
        <v>10087</v>
      </c>
      <c r="AK183" s="63">
        <v>10087</v>
      </c>
      <c r="AL183" s="68">
        <v>11912</v>
      </c>
      <c r="AM183" s="68">
        <v>11368</v>
      </c>
      <c r="AN183" s="68">
        <v>11077</v>
      </c>
      <c r="AO183" s="68">
        <v>10713</v>
      </c>
      <c r="AP183" s="63">
        <v>10713</v>
      </c>
      <c r="AQ183" s="68">
        <v>10605</v>
      </c>
      <c r="AR183" s="68">
        <v>11504</v>
      </c>
      <c r="AS183" s="68">
        <v>11246</v>
      </c>
      <c r="AT183" s="68">
        <v>10953</v>
      </c>
      <c r="AU183" s="63">
        <v>10953</v>
      </c>
      <c r="AV183" s="68">
        <v>10703</v>
      </c>
      <c r="AW183" s="68">
        <v>11519</v>
      </c>
      <c r="AX183" s="68">
        <f t="shared" ref="AX183:AY183" si="249">AX165+AX174</f>
        <v>11533</v>
      </c>
      <c r="AY183" s="68">
        <f t="shared" si="249"/>
        <v>11861</v>
      </c>
      <c r="AZ183" s="63">
        <v>11861</v>
      </c>
      <c r="BA183" s="68">
        <v>12156</v>
      </c>
      <c r="BB183" s="68">
        <v>12000</v>
      </c>
      <c r="BC183" s="68">
        <v>11947</v>
      </c>
      <c r="BD183" s="68">
        <v>11179</v>
      </c>
      <c r="BE183" s="63">
        <v>11179</v>
      </c>
      <c r="BF183" s="143">
        <v>11156</v>
      </c>
      <c r="BG183" s="143">
        <v>11334</v>
      </c>
      <c r="BH183" s="143">
        <v>10519</v>
      </c>
      <c r="BI183" s="68">
        <v>9558</v>
      </c>
      <c r="BJ183" s="63">
        <v>9558</v>
      </c>
      <c r="BK183" s="143">
        <v>9537</v>
      </c>
    </row>
    <row r="184" spans="1:16384" ht="15" customHeight="1">
      <c r="A184" s="67" t="s">
        <v>274</v>
      </c>
      <c r="B184" s="63">
        <f>B183-B185</f>
        <v>1589</v>
      </c>
      <c r="C184" s="143">
        <f t="shared" ref="C184" si="250">C183-C185</f>
        <v>1597</v>
      </c>
      <c r="D184" s="143">
        <f t="shared" ref="D184" si="251">D183-D185</f>
        <v>803</v>
      </c>
      <c r="E184" s="143">
        <f t="shared" ref="E184" si="252">E183-E185</f>
        <v>1256</v>
      </c>
      <c r="F184" s="143">
        <f>F183-F185</f>
        <v>816</v>
      </c>
      <c r="G184" s="63">
        <f>G183-G185</f>
        <v>816</v>
      </c>
      <c r="H184" s="143">
        <f t="shared" ref="H184" si="253">H183-H185</f>
        <v>1736</v>
      </c>
      <c r="I184" s="143">
        <f t="shared" ref="I184" si="254">I183-I185</f>
        <v>882</v>
      </c>
      <c r="J184" s="143">
        <f t="shared" ref="J184" si="255">J183-J185</f>
        <v>1459</v>
      </c>
      <c r="K184" s="143">
        <f>K183-K185</f>
        <v>734</v>
      </c>
      <c r="L184" s="63">
        <f>L183-L185</f>
        <v>734</v>
      </c>
      <c r="M184" s="143">
        <f t="shared" ref="M184" si="256">M183-M185</f>
        <v>956</v>
      </c>
      <c r="N184" s="143">
        <f t="shared" ref="N184" si="257">N183-N185</f>
        <v>242</v>
      </c>
      <c r="O184" s="143">
        <f t="shared" ref="O184" si="258">O183-O185</f>
        <v>1412</v>
      </c>
      <c r="P184" s="143">
        <f>P183-P185</f>
        <v>372</v>
      </c>
      <c r="Q184" s="63">
        <f>Q183-Q185</f>
        <v>372</v>
      </c>
      <c r="R184" s="143">
        <f t="shared" ref="R184" si="259">R183-R185</f>
        <v>701</v>
      </c>
      <c r="S184" s="143">
        <f t="shared" ref="S184" si="260">S183-S185</f>
        <v>487</v>
      </c>
      <c r="T184" s="143">
        <f t="shared" ref="T184" si="261">T183-T185</f>
        <v>3620</v>
      </c>
      <c r="U184" s="143">
        <f>U183-U185</f>
        <v>2298</v>
      </c>
      <c r="V184" s="63">
        <f>V183-V185</f>
        <v>2298</v>
      </c>
      <c r="W184" s="143">
        <f t="shared" ref="W184" si="262">W183-W185</f>
        <v>2770</v>
      </c>
      <c r="X184" s="143">
        <f t="shared" ref="X184" si="263">X183-X185</f>
        <v>1229</v>
      </c>
      <c r="Y184" s="143">
        <f t="shared" ref="Y184" si="264">Y183-Y185</f>
        <v>1747</v>
      </c>
      <c r="Z184" s="143">
        <f>Z183-Z185</f>
        <v>1547</v>
      </c>
      <c r="AA184" s="63">
        <f>AA183-AA185</f>
        <v>1547</v>
      </c>
      <c r="AB184" s="143">
        <f t="shared" ref="AB184" si="265">AB183-AB185</f>
        <v>2085</v>
      </c>
      <c r="AC184" s="143">
        <f t="shared" ref="AC184" si="266">AC183-AC185</f>
        <v>2007</v>
      </c>
      <c r="AD184" s="143">
        <f t="shared" ref="AD184" si="267">AD183-AD185</f>
        <v>1256</v>
      </c>
      <c r="AE184" s="143">
        <f>AE183-AE185</f>
        <v>1742</v>
      </c>
      <c r="AF184" s="63">
        <f>AF183-AF185</f>
        <v>1742</v>
      </c>
      <c r="AG184" s="143">
        <f t="shared" ref="AG184" si="268">AG183-AG185</f>
        <v>2394</v>
      </c>
      <c r="AH184" s="143">
        <f t="shared" ref="AH184" si="269">AH183-AH185</f>
        <v>2398</v>
      </c>
      <c r="AI184" s="143">
        <f t="shared" ref="AI184" si="270">AI183-AI185</f>
        <v>4094</v>
      </c>
      <c r="AJ184" s="143">
        <f>AJ183-AJ185</f>
        <v>2883</v>
      </c>
      <c r="AK184" s="63">
        <f>AK183-AK185</f>
        <v>2883</v>
      </c>
      <c r="AL184" s="143">
        <f t="shared" ref="AL184:AN184" si="271">AL183-AL185</f>
        <v>3709</v>
      </c>
      <c r="AM184" s="143">
        <f t="shared" si="271"/>
        <v>1825</v>
      </c>
      <c r="AN184" s="143">
        <f t="shared" si="271"/>
        <v>2156</v>
      </c>
      <c r="AO184" s="143">
        <f>AO183-AO185</f>
        <v>1317</v>
      </c>
      <c r="AP184" s="63">
        <f>AP147+AP148</f>
        <v>1317</v>
      </c>
      <c r="AQ184" s="143">
        <f t="shared" ref="AQ184:AT184" si="272">AQ147+AQ148</f>
        <v>1777</v>
      </c>
      <c r="AR184" s="143">
        <f t="shared" si="272"/>
        <v>2250</v>
      </c>
      <c r="AS184" s="143">
        <f t="shared" si="272"/>
        <v>1846</v>
      </c>
      <c r="AT184" s="143">
        <f t="shared" si="272"/>
        <v>1234</v>
      </c>
      <c r="AU184" s="63">
        <f>AU147+AU148</f>
        <v>1234</v>
      </c>
      <c r="AV184" s="143">
        <f t="shared" ref="AV184:AY184" si="273">AV147+AV148</f>
        <v>1370</v>
      </c>
      <c r="AW184" s="143">
        <f t="shared" si="273"/>
        <v>1873</v>
      </c>
      <c r="AX184" s="143">
        <f t="shared" si="273"/>
        <v>2565</v>
      </c>
      <c r="AY184" s="143">
        <f t="shared" si="273"/>
        <v>2470</v>
      </c>
      <c r="AZ184" s="63">
        <v>2470</v>
      </c>
      <c r="BA184" s="143">
        <v>3216</v>
      </c>
      <c r="BB184" s="143">
        <v>2599</v>
      </c>
      <c r="BC184" s="143">
        <v>2925</v>
      </c>
      <c r="BD184" s="143">
        <v>2294</v>
      </c>
      <c r="BE184" s="63">
        <v>2294</v>
      </c>
      <c r="BF184" s="143">
        <v>2612</v>
      </c>
      <c r="BG184" s="143">
        <v>2915</v>
      </c>
      <c r="BH184" s="143">
        <v>2389</v>
      </c>
      <c r="BI184" s="143">
        <v>1595</v>
      </c>
      <c r="BJ184" s="63">
        <v>1595</v>
      </c>
      <c r="BK184" s="143">
        <v>2041</v>
      </c>
    </row>
    <row r="185" spans="1:16384" ht="15" customHeight="1">
      <c r="A185" s="67" t="s">
        <v>14</v>
      </c>
      <c r="B185" s="63">
        <v>3445.0709999999999</v>
      </c>
      <c r="C185" s="68">
        <v>3200</v>
      </c>
      <c r="D185" s="68">
        <v>3727</v>
      </c>
      <c r="E185" s="68">
        <v>3227</v>
      </c>
      <c r="F185" s="68">
        <v>3540</v>
      </c>
      <c r="G185" s="63">
        <v>3540</v>
      </c>
      <c r="H185" s="68">
        <v>2795</v>
      </c>
      <c r="I185" s="68">
        <v>3286</v>
      </c>
      <c r="J185" s="68">
        <v>2707</v>
      </c>
      <c r="K185" s="68">
        <v>3402</v>
      </c>
      <c r="L185" s="63">
        <v>3402</v>
      </c>
      <c r="M185" s="68">
        <v>2924</v>
      </c>
      <c r="N185" s="68">
        <v>4987</v>
      </c>
      <c r="O185" s="68">
        <v>4315</v>
      </c>
      <c r="P185" s="68">
        <v>5345</v>
      </c>
      <c r="Q185" s="63">
        <v>5345</v>
      </c>
      <c r="R185" s="68">
        <v>4937</v>
      </c>
      <c r="S185" s="68">
        <v>6497</v>
      </c>
      <c r="T185" s="68">
        <v>5994</v>
      </c>
      <c r="U185" s="68">
        <v>7280</v>
      </c>
      <c r="V185" s="63">
        <v>7280</v>
      </c>
      <c r="W185" s="68">
        <v>6646</v>
      </c>
      <c r="X185" s="68">
        <v>7896</v>
      </c>
      <c r="Y185" s="68">
        <v>7192</v>
      </c>
      <c r="Z185" s="68">
        <v>7999</v>
      </c>
      <c r="AA185" s="63">
        <v>7999</v>
      </c>
      <c r="AB185" s="68">
        <v>7303</v>
      </c>
      <c r="AC185" s="68">
        <v>7932</v>
      </c>
      <c r="AD185" s="68">
        <v>8582</v>
      </c>
      <c r="AE185" s="68">
        <v>8085</v>
      </c>
      <c r="AF185" s="63">
        <v>8085</v>
      </c>
      <c r="AG185" s="68">
        <v>7323</v>
      </c>
      <c r="AH185" s="68">
        <v>6951</v>
      </c>
      <c r="AI185" s="68">
        <v>6269</v>
      </c>
      <c r="AJ185" s="68">
        <v>7204</v>
      </c>
      <c r="AK185" s="63">
        <v>7204</v>
      </c>
      <c r="AL185" s="68">
        <v>8203</v>
      </c>
      <c r="AM185" s="68">
        <v>9543</v>
      </c>
      <c r="AN185" s="68">
        <v>8921</v>
      </c>
      <c r="AO185" s="68">
        <v>9396</v>
      </c>
      <c r="AP185" s="63">
        <v>9396</v>
      </c>
      <c r="AQ185" s="68">
        <v>8828</v>
      </c>
      <c r="AR185" s="68">
        <v>9254</v>
      </c>
      <c r="AS185" s="68">
        <v>9400</v>
      </c>
      <c r="AT185" s="68">
        <v>9719</v>
      </c>
      <c r="AU185" s="63">
        <v>9719</v>
      </c>
      <c r="AV185" s="68">
        <v>9333</v>
      </c>
      <c r="AW185" s="68">
        <v>9646</v>
      </c>
      <c r="AX185" s="68">
        <f t="shared" ref="AX185:AY185" si="274">AX183-AX147-AX148</f>
        <v>8968</v>
      </c>
      <c r="AY185" s="68">
        <f t="shared" si="274"/>
        <v>9391</v>
      </c>
      <c r="AZ185" s="63">
        <v>9391</v>
      </c>
      <c r="BA185" s="68">
        <v>8940</v>
      </c>
      <c r="BB185" s="68">
        <v>9401</v>
      </c>
      <c r="BC185" s="68">
        <v>9022</v>
      </c>
      <c r="BD185" s="68">
        <v>8885</v>
      </c>
      <c r="BE185" s="63">
        <v>8885</v>
      </c>
      <c r="BF185" s="143">
        <v>8544</v>
      </c>
      <c r="BG185" s="143">
        <v>8419</v>
      </c>
      <c r="BH185" s="143">
        <v>8130</v>
      </c>
      <c r="BI185" s="68">
        <v>7963</v>
      </c>
      <c r="BJ185" s="63">
        <v>7963</v>
      </c>
      <c r="BK185" s="143">
        <v>7496</v>
      </c>
    </row>
    <row r="186" spans="1:16384" ht="15" customHeight="1">
      <c r="A186" s="228" t="s">
        <v>256</v>
      </c>
      <c r="B186" s="229">
        <f>B185/B45</f>
        <v>0.89042930989919877</v>
      </c>
      <c r="C186" s="230"/>
      <c r="D186" s="230"/>
      <c r="E186" s="230"/>
      <c r="F186" s="230"/>
      <c r="G186" s="229">
        <f>G185/G45</f>
        <v>0.84406294706723894</v>
      </c>
      <c r="H186" s="230"/>
      <c r="I186" s="230"/>
      <c r="J186" s="230"/>
      <c r="K186" s="230"/>
      <c r="L186" s="229">
        <f>L185/L45</f>
        <v>0.73035637612709314</v>
      </c>
      <c r="M186" s="230"/>
      <c r="N186" s="230"/>
      <c r="O186" s="230"/>
      <c r="P186" s="230"/>
      <c r="Q186" s="229">
        <f>Q185/Q36</f>
        <v>1.0372598486318649</v>
      </c>
      <c r="R186" s="230"/>
      <c r="S186" s="230"/>
      <c r="T186" s="230"/>
      <c r="U186" s="230"/>
      <c r="V186" s="229">
        <f>V185/V45</f>
        <v>1.5201503445395699</v>
      </c>
      <c r="W186" s="230"/>
      <c r="X186" s="230"/>
      <c r="Y186" s="230"/>
      <c r="Z186" s="230"/>
      <c r="AA186" s="229">
        <f>AA185/AA45</f>
        <v>1.7922921801478826</v>
      </c>
      <c r="AB186" s="230"/>
      <c r="AC186" s="230"/>
      <c r="AD186" s="230"/>
      <c r="AE186" s="230"/>
      <c r="AF186" s="229">
        <f>AF185/AF45</f>
        <v>1.9647630619684082</v>
      </c>
      <c r="AG186" s="230">
        <f>AG185/(AG45+AE45+AD45+AC45)</f>
        <v>1.7895894428152492</v>
      </c>
      <c r="AH186" s="230">
        <f>AH185/(AH45+AG45+AE45+AD45)</f>
        <v>1.7269565217391305</v>
      </c>
      <c r="AI186" s="230">
        <f>AI185/(AI45+AH45+AG45+AE45)</f>
        <v>1.5854830551340415</v>
      </c>
      <c r="AJ186" s="230">
        <f>AJ185/(AJ45+AI45+AH45+AG45)</f>
        <v>1.8372864065289467</v>
      </c>
      <c r="AK186" s="229">
        <f>AK185/AK45</f>
        <v>1.8372864065289467</v>
      </c>
      <c r="AL186" s="230">
        <f>AL185/(AL45+AJ45+AI45+AH45)</f>
        <v>2.1234791612736217</v>
      </c>
      <c r="AM186" s="230">
        <f>AM185/(AM45+AL45+AJ45+AI45)</f>
        <v>2.3965344048216974</v>
      </c>
      <c r="AN186" s="230">
        <f>AN185/(AN45+AM45+AL45+AJ45)</f>
        <v>2.1732034104750304</v>
      </c>
      <c r="AO186" s="230">
        <f>AO185/(AO45+AN45+AM45+AL45)</f>
        <v>2.2591969223371002</v>
      </c>
      <c r="AP186" s="229">
        <f>AP185/AP45</f>
        <v>2.2591969223371002</v>
      </c>
      <c r="AQ186" s="230">
        <f>AQ185/(AQ45+AO45+AN45+AM45)</f>
        <v>2.0766878381557281</v>
      </c>
      <c r="AR186" s="230">
        <f>AR185/(AR45+AQ45+AO45+AN45)</f>
        <v>2.2080649009782869</v>
      </c>
      <c r="AS186" s="230">
        <f>AS185/(AS45+AR45+AQ45+AO45)</f>
        <v>2.2871046228710461</v>
      </c>
      <c r="AT186" s="230">
        <f>AT185/(AT45+AS45+AR45+AQ45)</f>
        <v>2.3938423645320195</v>
      </c>
      <c r="AU186" s="229">
        <f>AU185/AU45</f>
        <v>2.3938423645320195</v>
      </c>
      <c r="AV186" s="230">
        <f>AV185/(AV45+AT45+AS45+AR45)</f>
        <v>2.3204873197414222</v>
      </c>
      <c r="AW186" s="230">
        <f>AW185/(AW45+AV45+AT45+AS45)</f>
        <v>2.4272773024660292</v>
      </c>
      <c r="AX186" s="230">
        <f>AX185/(AX45+AW45+AV45+AT45)</f>
        <v>2.2900919305413687</v>
      </c>
      <c r="AY186" s="230">
        <f>AY185/(AY45+AX45+AW45+AV45)</f>
        <v>2.412278448497303</v>
      </c>
      <c r="AZ186" s="229">
        <v>2.412278448497303</v>
      </c>
      <c r="BA186" s="230">
        <v>2.3458409866176857</v>
      </c>
      <c r="BB186" s="230">
        <v>2.5373819163292848</v>
      </c>
      <c r="BC186" s="230">
        <v>2.4888275862068965</v>
      </c>
      <c r="BD186" s="230">
        <v>2.5113058224985867</v>
      </c>
      <c r="BE186" s="229">
        <v>2.5113058224985867</v>
      </c>
      <c r="BF186" s="231">
        <v>2.4658008658008659</v>
      </c>
      <c r="BG186" s="231">
        <v>2.471814445096888</v>
      </c>
      <c r="BH186" s="231">
        <v>2.3946980854197348</v>
      </c>
      <c r="BI186" s="230">
        <v>2.3992166315155168</v>
      </c>
      <c r="BJ186" s="229">
        <v>2.3992166315155168</v>
      </c>
      <c r="BK186" s="231">
        <v>2.2811929397443702</v>
      </c>
    </row>
    <row r="187" spans="1:16384" ht="5.45" customHeight="1">
      <c r="AZ187" s="212"/>
      <c r="BE187" s="212"/>
      <c r="BJ187" s="212"/>
    </row>
    <row r="188" spans="1:16384" ht="3" customHeight="1">
      <c r="A188" s="43"/>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row>
    <row r="189" spans="1:16384" ht="3" customHeight="1">
      <c r="A189" s="43"/>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row>
    <row r="190" spans="1:16384" ht="19.149999999999999" customHeight="1">
      <c r="A190" s="34" t="s">
        <v>51</v>
      </c>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row>
    <row r="191" spans="1:16384" ht="10.5" customHeight="1">
      <c r="A191" s="39" t="s">
        <v>77</v>
      </c>
      <c r="B191" s="40"/>
      <c r="C191" s="48"/>
      <c r="D191" s="48"/>
      <c r="E191" s="48"/>
      <c r="F191" s="48"/>
      <c r="G191" s="40"/>
      <c r="H191" s="48"/>
      <c r="I191" s="48"/>
      <c r="J191" s="48"/>
      <c r="K191" s="48"/>
      <c r="L191" s="40"/>
      <c r="M191" s="48"/>
      <c r="N191" s="48"/>
      <c r="O191" s="48"/>
      <c r="P191" s="48"/>
      <c r="Q191" s="40"/>
      <c r="R191" s="48"/>
      <c r="S191" s="48"/>
      <c r="T191" s="48"/>
      <c r="U191" s="48"/>
      <c r="V191" s="40"/>
      <c r="W191" s="48"/>
      <c r="X191" s="48"/>
      <c r="Y191" s="48"/>
      <c r="Z191" s="48"/>
      <c r="AA191" s="40"/>
      <c r="AB191" s="48"/>
      <c r="AC191" s="48"/>
      <c r="AD191" s="48"/>
      <c r="AE191" s="48"/>
      <c r="AF191" s="40"/>
      <c r="AG191" s="48"/>
      <c r="AH191" s="48"/>
      <c r="AI191" s="48"/>
      <c r="AJ191" s="48"/>
      <c r="AK191" s="40"/>
      <c r="AL191" s="48"/>
      <c r="AM191" s="48"/>
      <c r="AN191" s="48"/>
      <c r="AO191" s="48"/>
      <c r="AP191" s="40"/>
      <c r="AQ191" s="48"/>
      <c r="AR191" s="48"/>
      <c r="AS191" s="48"/>
      <c r="AT191" s="48"/>
      <c r="AU191" s="40"/>
      <c r="AV191" s="48"/>
      <c r="AW191" s="48"/>
      <c r="AX191" s="48"/>
      <c r="AY191" s="48"/>
      <c r="AZ191" s="40"/>
      <c r="BA191" s="48"/>
      <c r="BB191" s="48"/>
      <c r="BC191" s="48"/>
      <c r="BD191" s="48"/>
      <c r="BE191" s="40"/>
      <c r="BF191" s="48"/>
      <c r="BG191" s="48"/>
      <c r="BH191" s="48"/>
      <c r="BI191" s="48"/>
      <c r="BJ191" s="40"/>
      <c r="BK191" s="48"/>
    </row>
    <row r="192" spans="1:16384">
      <c r="A192" s="67" t="s">
        <v>58</v>
      </c>
      <c r="B192" s="36">
        <f>SUM(B198:B207)</f>
        <v>5001</v>
      </c>
      <c r="C192" s="68">
        <v>1408</v>
      </c>
      <c r="D192" s="68">
        <v>1354</v>
      </c>
      <c r="E192" s="68">
        <v>1388</v>
      </c>
      <c r="F192" s="68">
        <f>G192-E192-D192-C192</f>
        <v>557.99032152888321</v>
      </c>
      <c r="G192" s="36">
        <f>SUM(G198:G207)</f>
        <v>4707.9903215288832</v>
      </c>
      <c r="H192" s="68">
        <f>H207+H201+H195+H198</f>
        <v>1326</v>
      </c>
      <c r="I192" s="68">
        <f>I207+I201+I195+I198</f>
        <v>1318</v>
      </c>
      <c r="J192" s="68">
        <f>J207+J201+J195+J198</f>
        <v>1343</v>
      </c>
      <c r="K192" s="68">
        <f>L192-J192-I192-H192</f>
        <v>1316</v>
      </c>
      <c r="L192" s="36">
        <f>L207+L201+L195+L198</f>
        <v>5303</v>
      </c>
      <c r="M192" s="68">
        <f>M207+M201+M195+M198</f>
        <v>1304</v>
      </c>
      <c r="N192" s="68">
        <f>N207+N201+N195+N198</f>
        <v>1307</v>
      </c>
      <c r="O192" s="68">
        <f>O207+O201+O195+O198</f>
        <v>1323</v>
      </c>
      <c r="P192" s="68">
        <f>Q192-O192-N192-M192</f>
        <v>1329</v>
      </c>
      <c r="Q192" s="36">
        <v>5263</v>
      </c>
      <c r="R192" s="68">
        <f>R207+R201+R195+R198</f>
        <v>1178</v>
      </c>
      <c r="S192" s="68">
        <v>1170</v>
      </c>
      <c r="T192" s="68">
        <f>T198+T195+T201+T207</f>
        <v>1186</v>
      </c>
      <c r="U192" s="68">
        <f>V192-T192-S192-R192</f>
        <v>1114</v>
      </c>
      <c r="V192" s="36">
        <f>V198+V195+V201+V207</f>
        <v>4648</v>
      </c>
      <c r="W192" s="68">
        <f>W198+W195+W201+W207</f>
        <v>1199</v>
      </c>
      <c r="X192" s="68">
        <f>X198+X195+X201+X207</f>
        <v>1161</v>
      </c>
      <c r="Y192" s="68">
        <f>Y198+Y195+Y201+Y207</f>
        <v>1149</v>
      </c>
      <c r="Z192" s="68">
        <f>AA192-Y192-X192-W192</f>
        <v>1121</v>
      </c>
      <c r="AA192" s="36">
        <f>AA198+AA195+AA201+AA207</f>
        <v>4630</v>
      </c>
      <c r="AB192" s="68">
        <f>AB198+AB195+AB201+AB207</f>
        <v>1129</v>
      </c>
      <c r="AC192" s="68">
        <f>AC198+AC195+AC201+AC207</f>
        <v>1121</v>
      </c>
      <c r="AD192" s="68">
        <f>AD198+AD195+AD201+AD207</f>
        <v>1127</v>
      </c>
      <c r="AE192" s="68">
        <f>AF192-AD192-AC192-AB192</f>
        <v>1101</v>
      </c>
      <c r="AF192" s="36">
        <f>AF198+AF195+AF201+AF207</f>
        <v>4478</v>
      </c>
      <c r="AG192" s="68">
        <f>AG198+AG195+AG201+AG207</f>
        <v>1077</v>
      </c>
      <c r="AH192" s="68">
        <f>AH198+AH195+AH201+AH207</f>
        <v>1073</v>
      </c>
      <c r="AI192" s="68">
        <f>AI198+AI195+AI201+AI207</f>
        <v>1081</v>
      </c>
      <c r="AJ192" s="68">
        <f>AK192-AI192-AH192-AG192</f>
        <v>1086</v>
      </c>
      <c r="AK192" s="36">
        <f>AK198+AK195+AK201+AK207</f>
        <v>4317</v>
      </c>
      <c r="AL192" s="68">
        <f>AL198+AL195+AL201+AL204+AL207</f>
        <v>1113</v>
      </c>
      <c r="AM192" s="68">
        <f>AM198+AM195+AM201+AM204+AM207</f>
        <v>1105</v>
      </c>
      <c r="AN192" s="68">
        <f>AN198+AN195+AN201+AN204+AN207</f>
        <v>1101</v>
      </c>
      <c r="AO192" s="68">
        <f>AP192-AN192-AM192-AL192</f>
        <v>1088</v>
      </c>
      <c r="AP192" s="36">
        <f>AP198+AP195+AP201+AP204+AP207</f>
        <v>4407</v>
      </c>
      <c r="AQ192" s="68">
        <f>AQ198+AQ195+AQ201+AQ204+AQ207</f>
        <v>1112</v>
      </c>
      <c r="AR192" s="68">
        <f>AR198+AR195+AR201+AR204+AR207</f>
        <v>1100</v>
      </c>
      <c r="AS192" s="68">
        <f>AS198+AS195+AS201+AS204+AS207</f>
        <v>1089</v>
      </c>
      <c r="AT192" s="68">
        <f>AU192-AS192-AR192-AQ192</f>
        <v>1082</v>
      </c>
      <c r="AU192" s="36">
        <f>AU198+AU195+AU201+AU204+AU207</f>
        <v>4383</v>
      </c>
      <c r="AV192" s="68">
        <f>AV198+AV195+AV201+AV204+AV207</f>
        <v>1078</v>
      </c>
      <c r="AW192" s="68">
        <f>AW198+AW195+AW201+AW204+AW207</f>
        <v>1058</v>
      </c>
      <c r="AX192" s="68">
        <f>AX198+AX195+AX201+AX204+AX207</f>
        <v>1061</v>
      </c>
      <c r="AY192" s="68">
        <f>AZ192-AX192-AW192-AV192</f>
        <v>1047</v>
      </c>
      <c r="AZ192" s="36">
        <v>4244</v>
      </c>
      <c r="BA192" s="68">
        <v>1063</v>
      </c>
      <c r="BB192" s="68">
        <v>1064</v>
      </c>
      <c r="BC192" s="68">
        <v>1043</v>
      </c>
      <c r="BD192" s="68">
        <v>1026</v>
      </c>
      <c r="BE192" s="36">
        <v>4196</v>
      </c>
      <c r="BF192" s="68">
        <v>1043</v>
      </c>
      <c r="BG192" s="68">
        <v>1020</v>
      </c>
      <c r="BH192" s="68">
        <v>1025</v>
      </c>
      <c r="BI192" s="68">
        <v>985</v>
      </c>
      <c r="BJ192" s="36">
        <v>4073</v>
      </c>
      <c r="BK192" s="68">
        <v>1018</v>
      </c>
    </row>
    <row r="193" spans="1:63" ht="11.45" customHeight="1">
      <c r="A193" s="69" t="s">
        <v>7</v>
      </c>
      <c r="B193" s="23"/>
      <c r="C193" s="70"/>
      <c r="D193" s="70">
        <f>D192/C192-1</f>
        <v>-3.8352272727272707E-2</v>
      </c>
      <c r="E193" s="70">
        <f>E192/D192-1</f>
        <v>2.5110782865583436E-2</v>
      </c>
      <c r="F193" s="70">
        <f>F192/E192-1</f>
        <v>-0.5979896818956173</v>
      </c>
      <c r="G193" s="23"/>
      <c r="H193" s="70">
        <f>H192/F192-1</f>
        <v>1.3763853042590135</v>
      </c>
      <c r="I193" s="70">
        <f>I192/H192-1</f>
        <v>-6.0331825037707176E-3</v>
      </c>
      <c r="J193" s="70">
        <f>J192/I192-1</f>
        <v>1.8968133535660181E-2</v>
      </c>
      <c r="K193" s="70">
        <f>K192/J192-1</f>
        <v>-2.010424422933732E-2</v>
      </c>
      <c r="L193" s="23"/>
      <c r="M193" s="70">
        <f>M192/K192-1</f>
        <v>-9.1185410334346795E-3</v>
      </c>
      <c r="N193" s="70">
        <f>N192/M192-1</f>
        <v>2.3006134969325576E-3</v>
      </c>
      <c r="O193" s="70">
        <f>O192/N192-1</f>
        <v>1.2241775057383331E-2</v>
      </c>
      <c r="P193" s="70">
        <f>P192/O192-1</f>
        <v>4.5351473922903285E-3</v>
      </c>
      <c r="Q193" s="23"/>
      <c r="R193" s="70">
        <f>R192/P192-1</f>
        <v>-0.11361926260346122</v>
      </c>
      <c r="S193" s="70">
        <f>S192/R192-1</f>
        <v>-6.7911714770797493E-3</v>
      </c>
      <c r="T193" s="70">
        <f>T192/S192-1</f>
        <v>1.3675213675213627E-2</v>
      </c>
      <c r="U193" s="70">
        <f>U192/T192-1</f>
        <v>-6.0708263069140012E-2</v>
      </c>
      <c r="V193" s="23"/>
      <c r="W193" s="70">
        <f>W192/U192-1</f>
        <v>7.6301615798922695E-2</v>
      </c>
      <c r="X193" s="70">
        <f>X192/W192-1</f>
        <v>-3.169307756463724E-2</v>
      </c>
      <c r="Y193" s="70">
        <f>Y192/X192-1</f>
        <v>-1.033591731266148E-2</v>
      </c>
      <c r="Z193" s="70">
        <f>Z192/Y192-1</f>
        <v>-2.4369016536118338E-2</v>
      </c>
      <c r="AA193" s="23"/>
      <c r="AB193" s="70">
        <f>AB192/Z192-1</f>
        <v>7.1364852809991941E-3</v>
      </c>
      <c r="AC193" s="70">
        <f>AC192/AB192-1</f>
        <v>-7.0859167404783152E-3</v>
      </c>
      <c r="AD193" s="70">
        <f>AD192/AC192-1</f>
        <v>5.3523639607493401E-3</v>
      </c>
      <c r="AE193" s="70">
        <f>AE192/AD192-1</f>
        <v>-2.3070097604259043E-2</v>
      </c>
      <c r="AF193" s="23"/>
      <c r="AG193" s="70">
        <f>AG192/AE192-1</f>
        <v>-2.1798365122615793E-2</v>
      </c>
      <c r="AH193" s="70">
        <f>AH192/AG192-1</f>
        <v>-3.71402042711233E-3</v>
      </c>
      <c r="AI193" s="70">
        <f>AI192/AH192-1</f>
        <v>7.455731593662529E-3</v>
      </c>
      <c r="AJ193" s="70">
        <f>AJ192/AI192-1</f>
        <v>4.6253469010175685E-3</v>
      </c>
      <c r="AK193" s="23"/>
      <c r="AL193" s="70">
        <f>AL192/AJ192-1</f>
        <v>2.4861878453038777E-2</v>
      </c>
      <c r="AM193" s="70">
        <f>AM192/AL192-1</f>
        <v>-7.1877807726864473E-3</v>
      </c>
      <c r="AN193" s="70">
        <f>AN192/AM192-1</f>
        <v>-3.6199095022624306E-3</v>
      </c>
      <c r="AO193" s="70">
        <f>AO192/AN192-1</f>
        <v>-1.1807447774750179E-2</v>
      </c>
      <c r="AP193" s="23"/>
      <c r="AQ193" s="70">
        <f>AQ192/AO192-1</f>
        <v>2.2058823529411686E-2</v>
      </c>
      <c r="AR193" s="70">
        <f>AR192/AQ192-1</f>
        <v>-1.0791366906474864E-2</v>
      </c>
      <c r="AS193" s="70">
        <f>AS192/AR192-1</f>
        <v>-1.0000000000000009E-2</v>
      </c>
      <c r="AT193" s="70">
        <f>AT192/AS192-1</f>
        <v>-6.4279155188246007E-3</v>
      </c>
      <c r="AU193" s="23"/>
      <c r="AV193" s="70">
        <f>AV192/AT192-1</f>
        <v>-3.6968576709797141E-3</v>
      </c>
      <c r="AW193" s="70">
        <f>AW192/AV192-1</f>
        <v>-1.8552875695732829E-2</v>
      </c>
      <c r="AX193" s="70">
        <f>AX192/AW192-1</f>
        <v>2.835538752362865E-3</v>
      </c>
      <c r="AY193" s="70">
        <f>AY192/AX192-1</f>
        <v>-1.3195098963242224E-2</v>
      </c>
      <c r="AZ193" s="23"/>
      <c r="BA193" s="70">
        <v>1.5281757402101137E-2</v>
      </c>
      <c r="BB193" s="70">
        <v>9.4073377234238365E-4</v>
      </c>
      <c r="BC193" s="70">
        <v>-1.9736842105263164E-2</v>
      </c>
      <c r="BD193" s="70">
        <v>-1.6299137104506256E-2</v>
      </c>
      <c r="BE193" s="23"/>
      <c r="BF193" s="70">
        <v>1.6569200779727122E-2</v>
      </c>
      <c r="BG193" s="70">
        <v>-2.2051773729626079E-2</v>
      </c>
      <c r="BH193" s="70">
        <v>4.9019607843137081E-3</v>
      </c>
      <c r="BI193" s="70">
        <v>-3.9024390243902474E-2</v>
      </c>
      <c r="BJ193" s="23"/>
      <c r="BK193" s="70">
        <v>3.3502538071066068E-2</v>
      </c>
    </row>
    <row r="194" spans="1:63" ht="11.25" customHeight="1">
      <c r="A194" s="69" t="s">
        <v>8</v>
      </c>
      <c r="B194" s="23"/>
      <c r="C194" s="71"/>
      <c r="D194" s="71"/>
      <c r="E194" s="71"/>
      <c r="F194" s="71"/>
      <c r="G194" s="23">
        <f t="shared" ref="G194:R194" si="275">G192/B192-1</f>
        <v>-5.8590217650693166E-2</v>
      </c>
      <c r="H194" s="71">
        <f t="shared" si="275"/>
        <v>-5.8238636363636354E-2</v>
      </c>
      <c r="I194" s="71">
        <f t="shared" si="275"/>
        <v>-2.6587887740029514E-2</v>
      </c>
      <c r="J194" s="71">
        <f t="shared" si="275"/>
        <v>-3.2420749279538863E-2</v>
      </c>
      <c r="K194" s="71">
        <f t="shared" si="275"/>
        <v>1.3584638464591721</v>
      </c>
      <c r="L194" s="23">
        <f t="shared" si="275"/>
        <v>0.12638294427884289</v>
      </c>
      <c r="M194" s="71">
        <f t="shared" si="275"/>
        <v>-1.6591251885369585E-2</v>
      </c>
      <c r="N194" s="71">
        <f t="shared" si="275"/>
        <v>-8.3459787556904308E-3</v>
      </c>
      <c r="O194" s="71">
        <f t="shared" si="275"/>
        <v>-1.4892032762472085E-2</v>
      </c>
      <c r="P194" s="71">
        <f t="shared" si="275"/>
        <v>9.8784194528875879E-3</v>
      </c>
      <c r="Q194" s="23">
        <f t="shared" si="275"/>
        <v>-7.5429002451442573E-3</v>
      </c>
      <c r="R194" s="71">
        <f t="shared" si="275"/>
        <v>-9.6625766871165641E-2</v>
      </c>
      <c r="S194" s="71">
        <f t="shared" ref="S194:Y194" si="276">S192/N192-1</f>
        <v>-0.10482019892884464</v>
      </c>
      <c r="T194" s="71">
        <f t="shared" si="276"/>
        <v>-0.10355253212396065</v>
      </c>
      <c r="U194" s="71">
        <f t="shared" si="276"/>
        <v>-0.16177577125658393</v>
      </c>
      <c r="V194" s="23">
        <f t="shared" si="276"/>
        <v>-0.11685350560516816</v>
      </c>
      <c r="W194" s="71">
        <f t="shared" si="276"/>
        <v>1.7826825127334356E-2</v>
      </c>
      <c r="X194" s="71">
        <f t="shared" si="276"/>
        <v>-7.692307692307665E-3</v>
      </c>
      <c r="Y194" s="71">
        <f t="shared" si="276"/>
        <v>-3.1197301854974713E-2</v>
      </c>
      <c r="Z194" s="71">
        <f t="shared" ref="Z194:AI194" si="277">Z192/U192-1</f>
        <v>6.2836624775584049E-3</v>
      </c>
      <c r="AA194" s="23">
        <f t="shared" si="277"/>
        <v>-3.8726333907056487E-3</v>
      </c>
      <c r="AB194" s="71">
        <f t="shared" si="277"/>
        <v>-5.8381984987489588E-2</v>
      </c>
      <c r="AC194" s="71">
        <f t="shared" si="277"/>
        <v>-3.4453057708871637E-2</v>
      </c>
      <c r="AD194" s="71">
        <f t="shared" si="277"/>
        <v>-1.9147084421235805E-2</v>
      </c>
      <c r="AE194" s="71">
        <f t="shared" si="277"/>
        <v>-1.7841213202497763E-2</v>
      </c>
      <c r="AF194" s="23">
        <f t="shared" si="277"/>
        <v>-3.2829373650107962E-2</v>
      </c>
      <c r="AG194" s="71">
        <f t="shared" si="277"/>
        <v>-4.6058458813108993E-2</v>
      </c>
      <c r="AH194" s="71">
        <f t="shared" si="277"/>
        <v>-4.281891168599461E-2</v>
      </c>
      <c r="AI194" s="71">
        <f t="shared" si="277"/>
        <v>-4.081632653061229E-2</v>
      </c>
      <c r="AJ194" s="71">
        <f t="shared" ref="AJ194:AS194" si="278">AJ192/AE192-1</f>
        <v>-1.3623978201634857E-2</v>
      </c>
      <c r="AK194" s="23">
        <f t="shared" si="278"/>
        <v>-3.5953550692273351E-2</v>
      </c>
      <c r="AL194" s="71">
        <f t="shared" si="278"/>
        <v>3.3426183844011081E-2</v>
      </c>
      <c r="AM194" s="71">
        <f t="shared" si="278"/>
        <v>2.982292637465056E-2</v>
      </c>
      <c r="AN194" s="71">
        <f t="shared" si="278"/>
        <v>1.8501387604070274E-2</v>
      </c>
      <c r="AO194" s="71">
        <f t="shared" si="278"/>
        <v>1.8416206261511192E-3</v>
      </c>
      <c r="AP194" s="23">
        <f t="shared" si="278"/>
        <v>2.0847810979847115E-2</v>
      </c>
      <c r="AQ194" s="71">
        <f t="shared" si="278"/>
        <v>-8.9847259658581979E-4</v>
      </c>
      <c r="AR194" s="71">
        <f t="shared" si="278"/>
        <v>-4.5248868778280382E-3</v>
      </c>
      <c r="AS194" s="71">
        <f t="shared" si="278"/>
        <v>-1.0899182561307952E-2</v>
      </c>
      <c r="AT194" s="71">
        <f t="shared" ref="AT194" si="279">AT192/AO192-1</f>
        <v>-5.5147058823529216E-3</v>
      </c>
      <c r="AU194" s="23">
        <f t="shared" ref="AU194:AX194" si="280">AU192/AP192-1</f>
        <v>-5.4458815520762593E-3</v>
      </c>
      <c r="AV194" s="71">
        <f t="shared" si="280"/>
        <v>-3.0575539568345356E-2</v>
      </c>
      <c r="AW194" s="71">
        <f t="shared" si="280"/>
        <v>-3.8181818181818206E-2</v>
      </c>
      <c r="AX194" s="71">
        <f t="shared" si="280"/>
        <v>-2.5711662075298403E-2</v>
      </c>
      <c r="AY194" s="71">
        <f t="shared" ref="AY194" si="281">AY192/AT192-1</f>
        <v>-3.2347504621072054E-2</v>
      </c>
      <c r="AZ194" s="23">
        <v>-3.1713438284280193E-2</v>
      </c>
      <c r="BA194" s="71">
        <v>-1.3914656771799594E-2</v>
      </c>
      <c r="BB194" s="71">
        <v>5.6710775047259521E-3</v>
      </c>
      <c r="BC194" s="71">
        <v>-1.6965127238454336E-2</v>
      </c>
      <c r="BD194" s="71">
        <v>-2.005730659025784E-2</v>
      </c>
      <c r="BE194" s="23">
        <v>-1.1310084825636224E-2</v>
      </c>
      <c r="BF194" s="71">
        <v>-1.8814675446848561E-2</v>
      </c>
      <c r="BG194" s="71">
        <v>-4.1353383458646586E-2</v>
      </c>
      <c r="BH194" s="71">
        <v>-1.7257909875359578E-2</v>
      </c>
      <c r="BI194" s="71">
        <v>-3.9961013645224197E-2</v>
      </c>
      <c r="BJ194" s="23">
        <v>-2.9313632030505188E-2</v>
      </c>
      <c r="BK194" s="71">
        <v>-2.3969319271332723E-2</v>
      </c>
    </row>
    <row r="195" spans="1:63">
      <c r="A195" s="67" t="s">
        <v>228</v>
      </c>
      <c r="B195" s="36">
        <v>712</v>
      </c>
      <c r="C195" s="78" t="s">
        <v>48</v>
      </c>
      <c r="D195" s="78" t="s">
        <v>48</v>
      </c>
      <c r="E195" s="78" t="s">
        <v>48</v>
      </c>
      <c r="F195" s="78" t="s">
        <v>48</v>
      </c>
      <c r="G195" s="36">
        <v>790</v>
      </c>
      <c r="H195" s="68">
        <v>207</v>
      </c>
      <c r="I195" s="68">
        <v>210</v>
      </c>
      <c r="J195" s="68">
        <v>221</v>
      </c>
      <c r="K195" s="68">
        <f>L195-J195-I195-H195</f>
        <v>225</v>
      </c>
      <c r="L195" s="36">
        <v>863</v>
      </c>
      <c r="M195" s="68">
        <v>236</v>
      </c>
      <c r="N195" s="68">
        <v>235</v>
      </c>
      <c r="O195" s="68">
        <v>249</v>
      </c>
      <c r="P195" s="68">
        <f>Q195-O195-N195-M195</f>
        <v>257</v>
      </c>
      <c r="Q195" s="36">
        <v>977</v>
      </c>
      <c r="R195" s="68">
        <v>265</v>
      </c>
      <c r="S195" s="68">
        <v>269</v>
      </c>
      <c r="T195" s="68">
        <v>276</v>
      </c>
      <c r="U195" s="68">
        <f>V195-T195-S195-R195</f>
        <v>282</v>
      </c>
      <c r="V195" s="36">
        <v>1092</v>
      </c>
      <c r="W195" s="68">
        <v>296</v>
      </c>
      <c r="X195" s="68">
        <v>285</v>
      </c>
      <c r="Y195" s="68">
        <v>291</v>
      </c>
      <c r="Z195" s="68">
        <f>AA195-Y195-X195-W195</f>
        <v>294</v>
      </c>
      <c r="AA195" s="36">
        <v>1166</v>
      </c>
      <c r="AB195" s="68">
        <v>310</v>
      </c>
      <c r="AC195" s="68">
        <v>321</v>
      </c>
      <c r="AD195" s="68">
        <v>332</v>
      </c>
      <c r="AE195" s="68">
        <f>AF195-AD195-AC195-AB195</f>
        <v>324</v>
      </c>
      <c r="AF195" s="36">
        <v>1287</v>
      </c>
      <c r="AG195" s="68">
        <v>332</v>
      </c>
      <c r="AH195" s="68">
        <v>345</v>
      </c>
      <c r="AI195" s="68">
        <v>353</v>
      </c>
      <c r="AJ195" s="68">
        <f>AK195-AI195-AH195-AG195</f>
        <v>364</v>
      </c>
      <c r="AK195" s="36">
        <v>1394</v>
      </c>
      <c r="AL195" s="68">
        <v>358</v>
      </c>
      <c r="AM195" s="68">
        <v>366</v>
      </c>
      <c r="AN195" s="68">
        <v>363</v>
      </c>
      <c r="AO195" s="68">
        <f>AP195-AN195-AM195-AL195</f>
        <v>363</v>
      </c>
      <c r="AP195" s="36">
        <v>1450</v>
      </c>
      <c r="AQ195" s="68">
        <v>371</v>
      </c>
      <c r="AR195" s="68">
        <v>374</v>
      </c>
      <c r="AS195" s="68">
        <v>374</v>
      </c>
      <c r="AT195" s="68">
        <f>AU195-AS195-AR195-AQ195</f>
        <v>381</v>
      </c>
      <c r="AU195" s="36">
        <v>1500</v>
      </c>
      <c r="AV195" s="68">
        <v>382</v>
      </c>
      <c r="AW195" s="68">
        <v>381</v>
      </c>
      <c r="AX195" s="68">
        <v>386</v>
      </c>
      <c r="AY195" s="68">
        <f>AZ195-AX195-AW195-AV195</f>
        <v>395</v>
      </c>
      <c r="AZ195" s="36">
        <v>1544</v>
      </c>
      <c r="BA195" s="68">
        <v>396</v>
      </c>
      <c r="BB195" s="68">
        <v>403</v>
      </c>
      <c r="BC195" s="68">
        <v>401</v>
      </c>
      <c r="BD195" s="68">
        <v>396</v>
      </c>
      <c r="BE195" s="36">
        <v>1596</v>
      </c>
      <c r="BF195" s="68">
        <v>397</v>
      </c>
      <c r="BG195" s="68">
        <v>396</v>
      </c>
      <c r="BH195" s="68">
        <v>393</v>
      </c>
      <c r="BI195" s="68">
        <v>392</v>
      </c>
      <c r="BJ195" s="36">
        <v>1578</v>
      </c>
      <c r="BK195" s="68">
        <v>395</v>
      </c>
    </row>
    <row r="196" spans="1:63" ht="10.15" customHeight="1">
      <c r="A196" s="69" t="s">
        <v>7</v>
      </c>
      <c r="B196" s="23"/>
      <c r="C196" s="70"/>
      <c r="D196" s="70"/>
      <c r="E196" s="70"/>
      <c r="F196" s="70"/>
      <c r="G196" s="23"/>
      <c r="H196" s="70"/>
      <c r="I196" s="70">
        <f>I195/H195-1</f>
        <v>1.449275362318847E-2</v>
      </c>
      <c r="J196" s="70">
        <f>J195/I195-1</f>
        <v>5.2380952380952417E-2</v>
      </c>
      <c r="K196" s="70">
        <f>K195/J195-1</f>
        <v>1.8099547511312153E-2</v>
      </c>
      <c r="L196" s="23"/>
      <c r="M196" s="70">
        <f>M195/K195-1</f>
        <v>4.8888888888888982E-2</v>
      </c>
      <c r="N196" s="70">
        <f>N195/M195-1</f>
        <v>-4.237288135593209E-3</v>
      </c>
      <c r="O196" s="70">
        <f>O195/N195-1</f>
        <v>5.9574468085106469E-2</v>
      </c>
      <c r="P196" s="70">
        <f>P195/O195-1</f>
        <v>3.2128514056224855E-2</v>
      </c>
      <c r="Q196" s="23"/>
      <c r="R196" s="70">
        <f>R195/P195-1</f>
        <v>3.112840466926059E-2</v>
      </c>
      <c r="S196" s="70">
        <f>S195/R195-1</f>
        <v>1.5094339622641506E-2</v>
      </c>
      <c r="T196" s="70">
        <f>T195/S195-1</f>
        <v>2.6022304832713727E-2</v>
      </c>
      <c r="U196" s="70">
        <f>U195/T195-1</f>
        <v>2.1739130434782705E-2</v>
      </c>
      <c r="V196" s="23"/>
      <c r="W196" s="70">
        <f>W195/U195-1</f>
        <v>4.9645390070921946E-2</v>
      </c>
      <c r="X196" s="70">
        <f>X195/W195-1</f>
        <v>-3.7162162162162171E-2</v>
      </c>
      <c r="Y196" s="70">
        <f>Y195/X195-1</f>
        <v>2.1052631578947434E-2</v>
      </c>
      <c r="Z196" s="70">
        <f>Z195/Y195-1</f>
        <v>1.0309278350515427E-2</v>
      </c>
      <c r="AA196" s="23"/>
      <c r="AB196" s="70">
        <f>AB195/Z195-1</f>
        <v>5.4421768707483054E-2</v>
      </c>
      <c r="AC196" s="70">
        <f>AC195/AB195-1</f>
        <v>3.548387096774186E-2</v>
      </c>
      <c r="AD196" s="70">
        <f>AD195/AC195-1</f>
        <v>3.4267912772585563E-2</v>
      </c>
      <c r="AE196" s="70">
        <f>AE195/AD195-1</f>
        <v>-2.4096385542168641E-2</v>
      </c>
      <c r="AF196" s="23"/>
      <c r="AG196" s="70">
        <f>AG195/AE195-1</f>
        <v>2.4691358024691468E-2</v>
      </c>
      <c r="AH196" s="70">
        <f>AH195/AG195-1</f>
        <v>3.9156626506024139E-2</v>
      </c>
      <c r="AI196" s="70">
        <f>AI195/AH195-1</f>
        <v>2.3188405797101463E-2</v>
      </c>
      <c r="AJ196" s="70">
        <f>AJ195/AI195-1</f>
        <v>3.1161473087818692E-2</v>
      </c>
      <c r="AK196" s="23"/>
      <c r="AL196" s="70">
        <f>AL195/AJ195-1</f>
        <v>-1.6483516483516536E-2</v>
      </c>
      <c r="AM196" s="70">
        <f>AM195/AL195-1</f>
        <v>2.2346368715083775E-2</v>
      </c>
      <c r="AN196" s="70">
        <f>AN195/AM195-1</f>
        <v>-8.1967213114754189E-3</v>
      </c>
      <c r="AO196" s="70">
        <f>AO195/AN195-1</f>
        <v>0</v>
      </c>
      <c r="AP196" s="23"/>
      <c r="AQ196" s="70">
        <f>AQ195/AO195-1</f>
        <v>2.2038567493112948E-2</v>
      </c>
      <c r="AR196" s="70">
        <f>AR195/AQ195-1</f>
        <v>8.0862533692722671E-3</v>
      </c>
      <c r="AS196" s="70">
        <f>AS195/AR195-1</f>
        <v>0</v>
      </c>
      <c r="AT196" s="70">
        <f>AT195/AS195-1</f>
        <v>1.8716577540107027E-2</v>
      </c>
      <c r="AU196" s="23"/>
      <c r="AV196" s="70">
        <f>AV195/AT195-1</f>
        <v>2.624671916010568E-3</v>
      </c>
      <c r="AW196" s="70">
        <f>AW195/AV195-1</f>
        <v>-2.6178010471203939E-3</v>
      </c>
      <c r="AX196" s="70">
        <f>AX195/AW195-1</f>
        <v>1.3123359580052396E-2</v>
      </c>
      <c r="AY196" s="70">
        <f>AY195/AX195-1</f>
        <v>2.3316062176165886E-2</v>
      </c>
      <c r="AZ196" s="23"/>
      <c r="BA196" s="70">
        <v>2.5316455696202667E-3</v>
      </c>
      <c r="BB196" s="70">
        <v>1.7676767676767735E-2</v>
      </c>
      <c r="BC196" s="70">
        <v>-4.9627791563275903E-3</v>
      </c>
      <c r="BD196" s="70">
        <v>-1.2468827930174564E-2</v>
      </c>
      <c r="BE196" s="23"/>
      <c r="BF196" s="70">
        <v>2.525252525252597E-3</v>
      </c>
      <c r="BG196" s="70">
        <v>-2.5188916876573986E-3</v>
      </c>
      <c r="BH196" s="70">
        <v>-7.575757575757569E-3</v>
      </c>
      <c r="BI196" s="70">
        <v>-2.5445292620864812E-3</v>
      </c>
      <c r="BJ196" s="23"/>
      <c r="BK196" s="70">
        <v>7.6530612244898322E-3</v>
      </c>
    </row>
    <row r="197" spans="1:63" ht="9.75" customHeight="1">
      <c r="A197" s="69" t="s">
        <v>8</v>
      </c>
      <c r="B197" s="23"/>
      <c r="C197" s="71"/>
      <c r="D197" s="71"/>
      <c r="E197" s="71"/>
      <c r="F197" s="71"/>
      <c r="G197" s="23">
        <f>G195/B195-1</f>
        <v>0.1095505617977528</v>
      </c>
      <c r="H197" s="71"/>
      <c r="I197" s="71"/>
      <c r="J197" s="71"/>
      <c r="K197" s="71"/>
      <c r="L197" s="23">
        <f t="shared" ref="L197:R197" si="282">L195/G195-1</f>
        <v>9.2405063291139289E-2</v>
      </c>
      <c r="M197" s="71">
        <f t="shared" si="282"/>
        <v>0.14009661835748788</v>
      </c>
      <c r="N197" s="71">
        <f t="shared" si="282"/>
        <v>0.11904761904761907</v>
      </c>
      <c r="O197" s="71">
        <f t="shared" si="282"/>
        <v>0.12669683257918551</v>
      </c>
      <c r="P197" s="71">
        <f t="shared" si="282"/>
        <v>0.14222222222222225</v>
      </c>
      <c r="Q197" s="23">
        <f t="shared" si="282"/>
        <v>0.13209733487833142</v>
      </c>
      <c r="R197" s="71">
        <f t="shared" si="282"/>
        <v>0.12288135593220328</v>
      </c>
      <c r="S197" s="71">
        <f t="shared" ref="S197:Y197" si="283">S195/N195-1</f>
        <v>0.14468085106382977</v>
      </c>
      <c r="T197" s="71">
        <f t="shared" si="283"/>
        <v>0.10843373493975905</v>
      </c>
      <c r="U197" s="71">
        <f t="shared" si="283"/>
        <v>9.7276264591439787E-2</v>
      </c>
      <c r="V197" s="23">
        <f t="shared" si="283"/>
        <v>0.11770726714431934</v>
      </c>
      <c r="W197" s="71">
        <f t="shared" si="283"/>
        <v>0.11698113207547167</v>
      </c>
      <c r="X197" s="71">
        <f t="shared" si="283"/>
        <v>5.9479553903345694E-2</v>
      </c>
      <c r="Y197" s="71">
        <f t="shared" si="283"/>
        <v>5.4347826086956541E-2</v>
      </c>
      <c r="Z197" s="71">
        <f t="shared" ref="Z197:AI197" si="284">Z195/U195-1</f>
        <v>4.2553191489361764E-2</v>
      </c>
      <c r="AA197" s="23">
        <f t="shared" si="284"/>
        <v>6.7765567765567747E-2</v>
      </c>
      <c r="AB197" s="71">
        <f t="shared" si="284"/>
        <v>4.7297297297297369E-2</v>
      </c>
      <c r="AC197" s="71">
        <f t="shared" si="284"/>
        <v>0.12631578947368416</v>
      </c>
      <c r="AD197" s="71">
        <f t="shared" si="284"/>
        <v>0.14089347079037795</v>
      </c>
      <c r="AE197" s="71">
        <f t="shared" si="284"/>
        <v>0.1020408163265305</v>
      </c>
      <c r="AF197" s="23">
        <f t="shared" si="284"/>
        <v>0.10377358490566047</v>
      </c>
      <c r="AG197" s="71">
        <f t="shared" si="284"/>
        <v>7.0967741935483941E-2</v>
      </c>
      <c r="AH197" s="71">
        <f t="shared" si="284"/>
        <v>7.4766355140186924E-2</v>
      </c>
      <c r="AI197" s="71">
        <f t="shared" si="284"/>
        <v>6.3253012048192669E-2</v>
      </c>
      <c r="AJ197" s="71">
        <f t="shared" ref="AJ197:AS197" si="285">AJ195/AE195-1</f>
        <v>0.12345679012345689</v>
      </c>
      <c r="AK197" s="23">
        <f t="shared" si="285"/>
        <v>8.3139083139083247E-2</v>
      </c>
      <c r="AL197" s="71">
        <f t="shared" si="285"/>
        <v>7.8313253012048278E-2</v>
      </c>
      <c r="AM197" s="71">
        <f t="shared" si="285"/>
        <v>6.0869565217391397E-2</v>
      </c>
      <c r="AN197" s="71">
        <f t="shared" si="285"/>
        <v>2.8328611898017053E-2</v>
      </c>
      <c r="AO197" s="71">
        <f t="shared" si="285"/>
        <v>-2.7472527472527375E-3</v>
      </c>
      <c r="AP197" s="23">
        <f t="shared" si="285"/>
        <v>4.0172166427546729E-2</v>
      </c>
      <c r="AQ197" s="71">
        <f t="shared" si="285"/>
        <v>3.6312849162011274E-2</v>
      </c>
      <c r="AR197" s="71">
        <f t="shared" si="285"/>
        <v>2.1857923497267784E-2</v>
      </c>
      <c r="AS197" s="71">
        <f t="shared" si="285"/>
        <v>3.0303030303030276E-2</v>
      </c>
      <c r="AT197" s="71">
        <f t="shared" ref="AT197" si="286">AT195/AO195-1</f>
        <v>4.9586776859504189E-2</v>
      </c>
      <c r="AU197" s="23">
        <f t="shared" ref="AU197:AX197" si="287">AU195/AP195-1</f>
        <v>3.4482758620689724E-2</v>
      </c>
      <c r="AV197" s="71">
        <f t="shared" si="287"/>
        <v>2.9649595687331498E-2</v>
      </c>
      <c r="AW197" s="71">
        <f t="shared" si="287"/>
        <v>1.8716577540107027E-2</v>
      </c>
      <c r="AX197" s="71">
        <f t="shared" si="287"/>
        <v>3.2085561497326109E-2</v>
      </c>
      <c r="AY197" s="71">
        <f t="shared" ref="AY197" si="288">AY195/AT195-1</f>
        <v>3.6745406824147064E-2</v>
      </c>
      <c r="AZ197" s="23">
        <v>2.9333333333333433E-2</v>
      </c>
      <c r="BA197" s="71">
        <v>3.6649214659685958E-2</v>
      </c>
      <c r="BB197" s="71">
        <v>5.7742782152230943E-2</v>
      </c>
      <c r="BC197" s="71">
        <v>3.8860103626942921E-2</v>
      </c>
      <c r="BD197" s="71">
        <v>2.5316455696202667E-3</v>
      </c>
      <c r="BE197" s="23">
        <v>3.3678756476683835E-2</v>
      </c>
      <c r="BF197" s="71">
        <v>2.525252525252597E-3</v>
      </c>
      <c r="BG197" s="71">
        <v>-1.7369727047146455E-2</v>
      </c>
      <c r="BH197" s="71">
        <v>-1.995012468827928E-2</v>
      </c>
      <c r="BI197" s="71">
        <v>-1.0101010101010055E-2</v>
      </c>
      <c r="BJ197" s="23">
        <v>-1.1278195488721776E-2</v>
      </c>
      <c r="BK197" s="71">
        <v>-5.0377833753149082E-3</v>
      </c>
    </row>
    <row r="198" spans="1:63" s="35" customFormat="1">
      <c r="A198" s="67" t="s">
        <v>229</v>
      </c>
      <c r="B198" s="36">
        <v>3905</v>
      </c>
      <c r="C198" s="78" t="s">
        <v>48</v>
      </c>
      <c r="D198" s="78" t="s">
        <v>48</v>
      </c>
      <c r="E198" s="78" t="s">
        <v>48</v>
      </c>
      <c r="F198" s="78" t="s">
        <v>48</v>
      </c>
      <c r="G198" s="36">
        <v>3572</v>
      </c>
      <c r="H198" s="68">
        <v>839</v>
      </c>
      <c r="I198" s="68">
        <v>828</v>
      </c>
      <c r="J198" s="68">
        <v>843</v>
      </c>
      <c r="K198" s="68">
        <f>L198-J198-I198-H198</f>
        <v>823</v>
      </c>
      <c r="L198" s="36">
        <v>3333</v>
      </c>
      <c r="M198" s="68">
        <v>785</v>
      </c>
      <c r="N198" s="68">
        <v>795</v>
      </c>
      <c r="O198" s="68">
        <v>788</v>
      </c>
      <c r="P198" s="68">
        <f>Q198-O198-N198-M198</f>
        <v>792</v>
      </c>
      <c r="Q198" s="36">
        <v>3160</v>
      </c>
      <c r="R198" s="68">
        <v>617</v>
      </c>
      <c r="S198" s="68">
        <v>607</v>
      </c>
      <c r="T198" s="68">
        <v>612</v>
      </c>
      <c r="U198" s="68">
        <f>V198-T198-S198-R198</f>
        <v>557</v>
      </c>
      <c r="V198" s="36">
        <v>2393</v>
      </c>
      <c r="W198" s="68">
        <v>588</v>
      </c>
      <c r="X198" s="68">
        <v>572</v>
      </c>
      <c r="Y198" s="68">
        <v>557</v>
      </c>
      <c r="Z198" s="68">
        <f>AA198-Y198-X198-W198</f>
        <v>537</v>
      </c>
      <c r="AA198" s="36">
        <v>2254</v>
      </c>
      <c r="AB198" s="68">
        <v>510</v>
      </c>
      <c r="AC198" s="68">
        <v>503</v>
      </c>
      <c r="AD198" s="68">
        <v>490</v>
      </c>
      <c r="AE198" s="68">
        <f>AF198-AD198-AC198-AB198</f>
        <v>468</v>
      </c>
      <c r="AF198" s="36">
        <v>1971</v>
      </c>
      <c r="AG198" s="68">
        <v>426</v>
      </c>
      <c r="AH198" s="68">
        <v>415</v>
      </c>
      <c r="AI198" s="68">
        <v>418</v>
      </c>
      <c r="AJ198" s="68">
        <f>AK198-AI198-AH198-AG198</f>
        <v>409</v>
      </c>
      <c r="AK198" s="36">
        <v>1668</v>
      </c>
      <c r="AL198" s="68">
        <v>381</v>
      </c>
      <c r="AM198" s="68">
        <v>375</v>
      </c>
      <c r="AN198" s="68">
        <v>373</v>
      </c>
      <c r="AO198" s="68">
        <f>AP198-AN198-AM198-AL198</f>
        <v>370</v>
      </c>
      <c r="AP198" s="36">
        <v>1499</v>
      </c>
      <c r="AQ198" s="68">
        <v>359</v>
      </c>
      <c r="AR198" s="68">
        <v>351</v>
      </c>
      <c r="AS198" s="68">
        <v>351</v>
      </c>
      <c r="AT198" s="68">
        <f>AU198-AS198-AR198-AQ198</f>
        <v>331</v>
      </c>
      <c r="AU198" s="36">
        <v>1392</v>
      </c>
      <c r="AV198" s="68">
        <v>334</v>
      </c>
      <c r="AW198" s="68">
        <v>320</v>
      </c>
      <c r="AX198" s="68">
        <v>318</v>
      </c>
      <c r="AY198" s="68">
        <f>AZ198-AX198-AW198-AV198</f>
        <v>309</v>
      </c>
      <c r="AZ198" s="36">
        <v>1281</v>
      </c>
      <c r="BA198" s="68">
        <v>302</v>
      </c>
      <c r="BB198" s="68">
        <v>291</v>
      </c>
      <c r="BC198" s="68">
        <v>282</v>
      </c>
      <c r="BD198" s="68">
        <v>281</v>
      </c>
      <c r="BE198" s="36">
        <v>1156</v>
      </c>
      <c r="BF198" s="68">
        <v>269</v>
      </c>
      <c r="BG198" s="68">
        <v>264</v>
      </c>
      <c r="BH198" s="68">
        <v>259</v>
      </c>
      <c r="BI198" s="68">
        <v>247</v>
      </c>
      <c r="BJ198" s="36">
        <v>1039</v>
      </c>
      <c r="BK198" s="68">
        <v>248</v>
      </c>
    </row>
    <row r="199" spans="1:63" ht="9" customHeight="1">
      <c r="A199" s="69" t="s">
        <v>7</v>
      </c>
      <c r="B199" s="23"/>
      <c r="C199" s="70"/>
      <c r="D199" s="70"/>
      <c r="E199" s="70"/>
      <c r="F199" s="70"/>
      <c r="G199" s="23"/>
      <c r="H199" s="70"/>
      <c r="I199" s="70">
        <f>I198/H198-1</f>
        <v>-1.3110846245530383E-2</v>
      </c>
      <c r="J199" s="70">
        <f>J198/I198-1</f>
        <v>1.8115942028985588E-2</v>
      </c>
      <c r="K199" s="70">
        <f>K198/J198-1</f>
        <v>-2.3724792408066464E-2</v>
      </c>
      <c r="L199" s="23"/>
      <c r="M199" s="70">
        <f>M198/K198-1</f>
        <v>-4.6172539489671927E-2</v>
      </c>
      <c r="N199" s="70">
        <f>N198/M198-1</f>
        <v>1.2738853503184711E-2</v>
      </c>
      <c r="O199" s="70">
        <f>O198/N198-1</f>
        <v>-8.8050314465408785E-3</v>
      </c>
      <c r="P199" s="70">
        <f>P198/O198-1</f>
        <v>5.0761421319795996E-3</v>
      </c>
      <c r="Q199" s="23"/>
      <c r="R199" s="70">
        <f>R198/P198-1</f>
        <v>-0.22095959595959591</v>
      </c>
      <c r="S199" s="70">
        <f>S198/R198-1</f>
        <v>-1.620745542949753E-2</v>
      </c>
      <c r="T199" s="70">
        <f>T198/S198-1</f>
        <v>8.2372322899506578E-3</v>
      </c>
      <c r="U199" s="70">
        <f>U198/T198-1</f>
        <v>-8.9869281045751648E-2</v>
      </c>
      <c r="V199" s="23"/>
      <c r="W199" s="70">
        <f>W198/U198-1</f>
        <v>5.5655296229802476E-2</v>
      </c>
      <c r="X199" s="70">
        <f>X198/W198-1</f>
        <v>-2.7210884353741527E-2</v>
      </c>
      <c r="Y199" s="70">
        <f>Y198/X198-1</f>
        <v>-2.6223776223776252E-2</v>
      </c>
      <c r="Z199" s="70">
        <f>Z198/Y198-1</f>
        <v>-3.590664272890487E-2</v>
      </c>
      <c r="AA199" s="23"/>
      <c r="AB199" s="70">
        <f>AB198/Z198-1</f>
        <v>-5.027932960893855E-2</v>
      </c>
      <c r="AC199" s="70">
        <f>AC198/AB198-1</f>
        <v>-1.3725490196078383E-2</v>
      </c>
      <c r="AD199" s="70">
        <f>AD198/AC198-1</f>
        <v>-2.5844930417495027E-2</v>
      </c>
      <c r="AE199" s="70">
        <f>AE198/AD198-1</f>
        <v>-4.4897959183673453E-2</v>
      </c>
      <c r="AF199" s="23"/>
      <c r="AG199" s="70">
        <f>AG198/AE198-1</f>
        <v>-8.9743589743589758E-2</v>
      </c>
      <c r="AH199" s="70">
        <f>AH198/AG198-1</f>
        <v>-2.5821596244131495E-2</v>
      </c>
      <c r="AI199" s="70">
        <f>AI198/AH198-1</f>
        <v>7.2289156626506035E-3</v>
      </c>
      <c r="AJ199" s="70">
        <f>AJ198/AI198-1</f>
        <v>-2.1531100478468845E-2</v>
      </c>
      <c r="AK199" s="23"/>
      <c r="AL199" s="70">
        <f>AL198/AJ198-1</f>
        <v>-6.8459657701711474E-2</v>
      </c>
      <c r="AM199" s="70">
        <f>AM198/AL198-1</f>
        <v>-1.5748031496062964E-2</v>
      </c>
      <c r="AN199" s="70">
        <f>AN198/AM198-1</f>
        <v>-5.3333333333333011E-3</v>
      </c>
      <c r="AO199" s="70">
        <f>AO198/AN198-1</f>
        <v>-8.0428954423592547E-3</v>
      </c>
      <c r="AP199" s="23"/>
      <c r="AQ199" s="70">
        <f>AQ198/AO198-1</f>
        <v>-2.9729729729729759E-2</v>
      </c>
      <c r="AR199" s="70">
        <f>AR198/AQ198-1</f>
        <v>-2.2284122562674091E-2</v>
      </c>
      <c r="AS199" s="70">
        <f>AS198/AR198-1</f>
        <v>0</v>
      </c>
      <c r="AT199" s="70">
        <f>AT198/AS198-1</f>
        <v>-5.6980056980056926E-2</v>
      </c>
      <c r="AU199" s="23"/>
      <c r="AV199" s="70">
        <f>AV198/AT198-1</f>
        <v>9.0634441087613649E-3</v>
      </c>
      <c r="AW199" s="70">
        <f>AW198/AV198-1</f>
        <v>-4.1916167664670656E-2</v>
      </c>
      <c r="AX199" s="70">
        <f>AX198/AW198-1</f>
        <v>-6.2499999999999778E-3</v>
      </c>
      <c r="AY199" s="70">
        <f>AY198/AX198-1</f>
        <v>-2.8301886792452824E-2</v>
      </c>
      <c r="AZ199" s="23"/>
      <c r="BA199" s="70">
        <v>-2.2653721682847849E-2</v>
      </c>
      <c r="BB199" s="70">
        <v>-3.6423841059602613E-2</v>
      </c>
      <c r="BC199" s="70">
        <v>-3.0927835051546393E-2</v>
      </c>
      <c r="BD199" s="70">
        <v>-3.5460992907800915E-3</v>
      </c>
      <c r="BE199" s="23"/>
      <c r="BF199" s="70">
        <v>-4.2704626334519546E-2</v>
      </c>
      <c r="BG199" s="70">
        <v>-1.8587360594795488E-2</v>
      </c>
      <c r="BH199" s="70">
        <v>-1.8939393939393923E-2</v>
      </c>
      <c r="BI199" s="70">
        <v>-4.633204633204635E-2</v>
      </c>
      <c r="BJ199" s="23"/>
      <c r="BK199" s="70">
        <v>4.0485829959513442E-3</v>
      </c>
    </row>
    <row r="200" spans="1:63" ht="9.75" customHeight="1">
      <c r="A200" s="69" t="s">
        <v>8</v>
      </c>
      <c r="B200" s="23"/>
      <c r="C200" s="71"/>
      <c r="D200" s="71"/>
      <c r="E200" s="71"/>
      <c r="F200" s="71"/>
      <c r="G200" s="23">
        <f t="shared" ref="G200:N200" si="289">G198/B198-1</f>
        <v>-8.5275288092189538E-2</v>
      </c>
      <c r="H200" s="71"/>
      <c r="I200" s="71"/>
      <c r="J200" s="71"/>
      <c r="K200" s="71"/>
      <c r="L200" s="23">
        <f t="shared" si="289"/>
        <v>-6.690929451287797E-2</v>
      </c>
      <c r="M200" s="71">
        <f t="shared" si="289"/>
        <v>-6.4362336114421881E-2</v>
      </c>
      <c r="N200" s="71">
        <f t="shared" si="289"/>
        <v>-3.9855072463768071E-2</v>
      </c>
      <c r="O200" s="71">
        <f t="shared" ref="O200:Y200" si="290">O198/J198-1</f>
        <v>-6.5243179122182693E-2</v>
      </c>
      <c r="P200" s="71">
        <f t="shared" si="290"/>
        <v>-3.7667071688942899E-2</v>
      </c>
      <c r="Q200" s="23">
        <f t="shared" si="290"/>
        <v>-5.1905190519051958E-2</v>
      </c>
      <c r="R200" s="71">
        <f t="shared" si="290"/>
        <v>-0.21401273885350314</v>
      </c>
      <c r="S200" s="71">
        <f t="shared" si="290"/>
        <v>-0.2364779874213836</v>
      </c>
      <c r="T200" s="71">
        <f t="shared" si="290"/>
        <v>-0.2233502538071066</v>
      </c>
      <c r="U200" s="71">
        <f t="shared" si="290"/>
        <v>-0.29671717171717171</v>
      </c>
      <c r="V200" s="23">
        <f t="shared" si="290"/>
        <v>-0.24272151898734173</v>
      </c>
      <c r="W200" s="71">
        <f t="shared" si="290"/>
        <v>-4.7001620745542927E-2</v>
      </c>
      <c r="X200" s="71">
        <f t="shared" si="290"/>
        <v>-5.766062602965405E-2</v>
      </c>
      <c r="Y200" s="71">
        <f t="shared" si="290"/>
        <v>-8.9869281045751648E-2</v>
      </c>
      <c r="Z200" s="71">
        <f t="shared" ref="Z200:AI200" si="291">Z198/U198-1</f>
        <v>-3.590664272890487E-2</v>
      </c>
      <c r="AA200" s="23">
        <f t="shared" si="291"/>
        <v>-5.8086084412870886E-2</v>
      </c>
      <c r="AB200" s="71">
        <f t="shared" si="291"/>
        <v>-0.13265306122448983</v>
      </c>
      <c r="AC200" s="71">
        <f t="shared" si="291"/>
        <v>-0.12062937062937062</v>
      </c>
      <c r="AD200" s="71">
        <f t="shared" si="291"/>
        <v>-0.1202872531418312</v>
      </c>
      <c r="AE200" s="71">
        <f t="shared" si="291"/>
        <v>-0.12849162011173187</v>
      </c>
      <c r="AF200" s="23">
        <f t="shared" si="291"/>
        <v>-0.12555456965394851</v>
      </c>
      <c r="AG200" s="71">
        <f t="shared" si="291"/>
        <v>-0.16470588235294115</v>
      </c>
      <c r="AH200" s="71">
        <f t="shared" si="291"/>
        <v>-0.1749502982107356</v>
      </c>
      <c r="AI200" s="71">
        <f t="shared" si="291"/>
        <v>-0.14693877551020407</v>
      </c>
      <c r="AJ200" s="71">
        <f t="shared" ref="AJ200:AS200" si="292">AJ198/AE198-1</f>
        <v>-0.12606837606837606</v>
      </c>
      <c r="AK200" s="23">
        <f t="shared" si="292"/>
        <v>-0.15372907153729076</v>
      </c>
      <c r="AL200" s="71">
        <f t="shared" si="292"/>
        <v>-0.10563380281690138</v>
      </c>
      <c r="AM200" s="71">
        <f t="shared" si="292"/>
        <v>-9.6385542168674676E-2</v>
      </c>
      <c r="AN200" s="71">
        <f t="shared" si="292"/>
        <v>-0.10765550239234445</v>
      </c>
      <c r="AO200" s="71">
        <f t="shared" si="292"/>
        <v>-9.5354523227383914E-2</v>
      </c>
      <c r="AP200" s="23">
        <f t="shared" si="292"/>
        <v>-0.10131894484412474</v>
      </c>
      <c r="AQ200" s="71">
        <f t="shared" si="292"/>
        <v>-5.7742782152230943E-2</v>
      </c>
      <c r="AR200" s="71">
        <f t="shared" si="292"/>
        <v>-6.3999999999999946E-2</v>
      </c>
      <c r="AS200" s="71">
        <f t="shared" si="292"/>
        <v>-5.8981233243967868E-2</v>
      </c>
      <c r="AT200" s="71">
        <f t="shared" ref="AT200" si="293">AT198/AO198-1</f>
        <v>-0.10540540540540544</v>
      </c>
      <c r="AU200" s="23">
        <f t="shared" ref="AU200:AX200" si="294">AU198/AP198-1</f>
        <v>-7.138092061374246E-2</v>
      </c>
      <c r="AV200" s="71">
        <f t="shared" si="294"/>
        <v>-6.9637883008356494E-2</v>
      </c>
      <c r="AW200" s="71">
        <f t="shared" si="294"/>
        <v>-8.8319088319088301E-2</v>
      </c>
      <c r="AX200" s="71">
        <f t="shared" si="294"/>
        <v>-9.4017094017094016E-2</v>
      </c>
      <c r="AY200" s="71">
        <f t="shared" ref="AY200" si="295">AY198/AT198-1</f>
        <v>-6.6465256797583083E-2</v>
      </c>
      <c r="AZ200" s="23">
        <v>-7.9741379310344862E-2</v>
      </c>
      <c r="BA200" s="71">
        <v>-9.5808383233532912E-2</v>
      </c>
      <c r="BB200" s="71">
        <v>-9.0624999999999956E-2</v>
      </c>
      <c r="BC200" s="71">
        <v>-0.1132075471698113</v>
      </c>
      <c r="BD200" s="71">
        <v>-9.061488673139162E-2</v>
      </c>
      <c r="BE200" s="23">
        <v>-9.7580015612802495E-2</v>
      </c>
      <c r="BF200" s="71">
        <v>-0.10927152317880795</v>
      </c>
      <c r="BG200" s="71">
        <v>-9.2783505154639179E-2</v>
      </c>
      <c r="BH200" s="71">
        <v>-8.1560283687943214E-2</v>
      </c>
      <c r="BI200" s="71">
        <v>-0.12099644128113884</v>
      </c>
      <c r="BJ200" s="23">
        <v>-0.10121107266435991</v>
      </c>
      <c r="BK200" s="71">
        <v>-7.8066914498141293E-2</v>
      </c>
    </row>
    <row r="201" spans="1:63">
      <c r="A201" s="67" t="s">
        <v>231</v>
      </c>
      <c r="B201" s="36">
        <v>754</v>
      </c>
      <c r="C201" s="78" t="s">
        <v>48</v>
      </c>
      <c r="D201" s="78" t="s">
        <v>48</v>
      </c>
      <c r="E201" s="78" t="s">
        <v>48</v>
      </c>
      <c r="F201" s="78" t="s">
        <v>48</v>
      </c>
      <c r="G201" s="36">
        <v>811</v>
      </c>
      <c r="H201" s="68">
        <v>207</v>
      </c>
      <c r="I201" s="68">
        <v>213</v>
      </c>
      <c r="J201" s="68">
        <v>217</v>
      </c>
      <c r="K201" s="68">
        <f>L201-J201-I201-H201</f>
        <v>214</v>
      </c>
      <c r="L201" s="36">
        <v>851</v>
      </c>
      <c r="M201" s="68">
        <v>223</v>
      </c>
      <c r="N201" s="68">
        <v>221</v>
      </c>
      <c r="O201" s="68">
        <v>219</v>
      </c>
      <c r="P201" s="68">
        <f>Q201-O201-N201-M201</f>
        <v>219</v>
      </c>
      <c r="Q201" s="36">
        <v>882</v>
      </c>
      <c r="R201" s="68">
        <v>228</v>
      </c>
      <c r="S201" s="68">
        <v>233</v>
      </c>
      <c r="T201" s="68">
        <v>239</v>
      </c>
      <c r="U201" s="68">
        <f>V201-T201-S201-R201</f>
        <v>231</v>
      </c>
      <c r="V201" s="36">
        <v>931</v>
      </c>
      <c r="W201" s="68">
        <v>245</v>
      </c>
      <c r="X201" s="68">
        <v>247</v>
      </c>
      <c r="Y201" s="68">
        <v>243</v>
      </c>
      <c r="Z201" s="68">
        <f>AA201-Y201-X201-W201</f>
        <v>241</v>
      </c>
      <c r="AA201" s="36">
        <v>976</v>
      </c>
      <c r="AB201" s="68">
        <v>247</v>
      </c>
      <c r="AC201" s="68">
        <v>241</v>
      </c>
      <c r="AD201" s="68">
        <v>252</v>
      </c>
      <c r="AE201" s="68">
        <f>AF201-AD201-AC201-AB201</f>
        <v>250</v>
      </c>
      <c r="AF201" s="36">
        <v>990</v>
      </c>
      <c r="AG201" s="68">
        <v>259</v>
      </c>
      <c r="AH201" s="68">
        <v>255</v>
      </c>
      <c r="AI201" s="68">
        <v>251</v>
      </c>
      <c r="AJ201" s="68">
        <f>AK201-AI201-AH201-AG201</f>
        <v>257</v>
      </c>
      <c r="AK201" s="36">
        <v>1022</v>
      </c>
      <c r="AL201" s="68">
        <v>265</v>
      </c>
      <c r="AM201" s="68">
        <v>263</v>
      </c>
      <c r="AN201" s="68">
        <v>265</v>
      </c>
      <c r="AO201" s="68">
        <f>AP201-AN201-AM201-AL201</f>
        <v>260</v>
      </c>
      <c r="AP201" s="36">
        <v>1053</v>
      </c>
      <c r="AQ201" s="68">
        <v>271</v>
      </c>
      <c r="AR201" s="68">
        <v>268</v>
      </c>
      <c r="AS201" s="68">
        <v>258</v>
      </c>
      <c r="AT201" s="68">
        <f>AU201-AS201-AR201-AQ201</f>
        <v>272</v>
      </c>
      <c r="AU201" s="36">
        <v>1069</v>
      </c>
      <c r="AV201" s="68">
        <v>250</v>
      </c>
      <c r="AW201" s="68">
        <v>244</v>
      </c>
      <c r="AX201" s="68">
        <v>244</v>
      </c>
      <c r="AY201" s="68">
        <f>AZ201-AX201-AW201-AV201</f>
        <v>237</v>
      </c>
      <c r="AZ201" s="36">
        <v>975</v>
      </c>
      <c r="BA201" s="68">
        <v>247</v>
      </c>
      <c r="BB201" s="68">
        <v>244</v>
      </c>
      <c r="BC201" s="68">
        <v>243</v>
      </c>
      <c r="BD201" s="68">
        <v>243</v>
      </c>
      <c r="BE201" s="36">
        <v>977</v>
      </c>
      <c r="BF201" s="68">
        <v>246</v>
      </c>
      <c r="BG201" s="68">
        <v>238</v>
      </c>
      <c r="BH201" s="68">
        <v>245</v>
      </c>
      <c r="BI201" s="68">
        <v>219</v>
      </c>
      <c r="BJ201" s="36">
        <v>948</v>
      </c>
      <c r="BK201" s="68">
        <v>244</v>
      </c>
    </row>
    <row r="202" spans="1:63" ht="9" customHeight="1">
      <c r="A202" s="69" t="s">
        <v>7</v>
      </c>
      <c r="B202" s="23"/>
      <c r="C202" s="70"/>
      <c r="D202" s="70"/>
      <c r="E202" s="70"/>
      <c r="F202" s="70"/>
      <c r="G202" s="23"/>
      <c r="H202" s="70"/>
      <c r="I202" s="70">
        <f>I201/H201-1</f>
        <v>2.8985507246376718E-2</v>
      </c>
      <c r="J202" s="70">
        <f>J201/I201-1</f>
        <v>1.8779342723004744E-2</v>
      </c>
      <c r="K202" s="70">
        <f>K201/J201-1</f>
        <v>-1.3824884792626779E-2</v>
      </c>
      <c r="L202" s="23"/>
      <c r="M202" s="70">
        <f>M201/K201-1</f>
        <v>4.20560747663552E-2</v>
      </c>
      <c r="N202" s="70">
        <f>N201/M201-1</f>
        <v>-8.9686098654708779E-3</v>
      </c>
      <c r="O202" s="70">
        <f>O201/N201-1</f>
        <v>-9.0497737556560764E-3</v>
      </c>
      <c r="P202" s="70">
        <f>P201/O201-1</f>
        <v>0</v>
      </c>
      <c r="Q202" s="23"/>
      <c r="R202" s="70">
        <f>R201/P201-1</f>
        <v>4.1095890410958846E-2</v>
      </c>
      <c r="S202" s="70">
        <f>S201/R201-1</f>
        <v>2.1929824561403466E-2</v>
      </c>
      <c r="T202" s="70">
        <f>T201/S201-1</f>
        <v>2.5751072961373467E-2</v>
      </c>
      <c r="U202" s="70">
        <f>U201/T201-1</f>
        <v>-3.3472803347280311E-2</v>
      </c>
      <c r="V202" s="23"/>
      <c r="W202" s="70">
        <f>W201/U201-1</f>
        <v>6.0606060606060552E-2</v>
      </c>
      <c r="X202" s="70">
        <f>X201/W201-1</f>
        <v>8.1632653061225469E-3</v>
      </c>
      <c r="Y202" s="70">
        <f>Y201/X201-1</f>
        <v>-1.619433198380571E-2</v>
      </c>
      <c r="Z202" s="70">
        <f>Z201/Y201-1</f>
        <v>-8.2304526748970819E-3</v>
      </c>
      <c r="AA202" s="23"/>
      <c r="AB202" s="70">
        <f>AB201/Z201-1</f>
        <v>2.4896265560165887E-2</v>
      </c>
      <c r="AC202" s="70">
        <f>AC201/AB201-1</f>
        <v>-2.4291497975708509E-2</v>
      </c>
      <c r="AD202" s="70">
        <f>AD201/AC201-1</f>
        <v>4.5643153526971014E-2</v>
      </c>
      <c r="AE202" s="70">
        <f>AE201/AD201-1</f>
        <v>-7.9365079365079083E-3</v>
      </c>
      <c r="AF202" s="23"/>
      <c r="AG202" s="70">
        <f>AG201/AE201-1</f>
        <v>3.6000000000000032E-2</v>
      </c>
      <c r="AH202" s="70">
        <f>AH201/AG201-1</f>
        <v>-1.5444015444015413E-2</v>
      </c>
      <c r="AI202" s="70">
        <f>AI201/AH201-1</f>
        <v>-1.5686274509803977E-2</v>
      </c>
      <c r="AJ202" s="70">
        <f>AJ201/AI201-1</f>
        <v>2.3904382470119501E-2</v>
      </c>
      <c r="AK202" s="23"/>
      <c r="AL202" s="70">
        <f>AL201/AJ201-1</f>
        <v>3.112840466926059E-2</v>
      </c>
      <c r="AM202" s="70">
        <f>AM201/AL201-1</f>
        <v>-7.547169811320753E-3</v>
      </c>
      <c r="AN202" s="70">
        <f>AN201/AM201-1</f>
        <v>7.6045627376426506E-3</v>
      </c>
      <c r="AO202" s="70">
        <f>AO201/AN201-1</f>
        <v>-1.8867924528301883E-2</v>
      </c>
      <c r="AP202" s="23"/>
      <c r="AQ202" s="70">
        <f>AQ201/AO201-1</f>
        <v>4.2307692307692379E-2</v>
      </c>
      <c r="AR202" s="70">
        <f>AR201/AQ201-1</f>
        <v>-1.1070110701106972E-2</v>
      </c>
      <c r="AS202" s="70">
        <f>AS201/AR201-1</f>
        <v>-3.7313432835820892E-2</v>
      </c>
      <c r="AT202" s="70">
        <f>AT201/AS201-1</f>
        <v>5.4263565891472965E-2</v>
      </c>
      <c r="AU202" s="23"/>
      <c r="AV202" s="70">
        <f>AV201/AT201-1</f>
        <v>-8.0882352941176516E-2</v>
      </c>
      <c r="AW202" s="70">
        <f>AW201/AV201-1</f>
        <v>-2.4000000000000021E-2</v>
      </c>
      <c r="AX202" s="70">
        <f>AX201/AW201-1</f>
        <v>0</v>
      </c>
      <c r="AY202" s="70">
        <f>AY201/AX201-1</f>
        <v>-2.8688524590163911E-2</v>
      </c>
      <c r="AZ202" s="23"/>
      <c r="BA202" s="70">
        <v>4.2194092827004148E-2</v>
      </c>
      <c r="BB202" s="70">
        <v>-1.2145748987854255E-2</v>
      </c>
      <c r="BC202" s="70">
        <v>-4.098360655737654E-3</v>
      </c>
      <c r="BD202" s="70">
        <v>0</v>
      </c>
      <c r="BE202" s="23"/>
      <c r="BF202" s="70">
        <v>1.2345679012345734E-2</v>
      </c>
      <c r="BG202" s="70">
        <v>-3.2520325203251987E-2</v>
      </c>
      <c r="BH202" s="70">
        <v>2.9411764705882248E-2</v>
      </c>
      <c r="BI202" s="70">
        <v>-0.10612244897959189</v>
      </c>
      <c r="BJ202" s="23"/>
      <c r="BK202" s="70">
        <v>0.11415525114155245</v>
      </c>
    </row>
    <row r="203" spans="1:63" ht="9.6" customHeight="1">
      <c r="A203" s="69" t="s">
        <v>8</v>
      </c>
      <c r="B203" s="23"/>
      <c r="C203" s="71"/>
      <c r="D203" s="71"/>
      <c r="E203" s="71"/>
      <c r="F203" s="71"/>
      <c r="G203" s="23">
        <f>G201/B201-1</f>
        <v>7.5596816976127412E-2</v>
      </c>
      <c r="H203" s="71"/>
      <c r="I203" s="71"/>
      <c r="J203" s="71"/>
      <c r="K203" s="71"/>
      <c r="L203" s="23">
        <f t="shared" ref="L203:R203" si="296">L201/G201-1</f>
        <v>4.9321824907521572E-2</v>
      </c>
      <c r="M203" s="71">
        <f t="shared" si="296"/>
        <v>7.7294685990338063E-2</v>
      </c>
      <c r="N203" s="71">
        <f t="shared" si="296"/>
        <v>3.7558685446009488E-2</v>
      </c>
      <c r="O203" s="71">
        <f t="shared" si="296"/>
        <v>9.2165898617511122E-3</v>
      </c>
      <c r="P203" s="71">
        <f t="shared" si="296"/>
        <v>2.3364485981308469E-2</v>
      </c>
      <c r="Q203" s="23">
        <f t="shared" si="296"/>
        <v>3.6427732079906017E-2</v>
      </c>
      <c r="R203" s="71">
        <f t="shared" si="296"/>
        <v>2.2421524663677195E-2</v>
      </c>
      <c r="S203" s="71">
        <f t="shared" ref="S203:Y203" si="297">S201/N201-1</f>
        <v>5.4298642533936681E-2</v>
      </c>
      <c r="T203" s="71">
        <f t="shared" si="297"/>
        <v>9.1324200913242004E-2</v>
      </c>
      <c r="U203" s="71">
        <f t="shared" si="297"/>
        <v>5.4794520547945202E-2</v>
      </c>
      <c r="V203" s="23">
        <f t="shared" si="297"/>
        <v>5.555555555555558E-2</v>
      </c>
      <c r="W203" s="71">
        <f t="shared" si="297"/>
        <v>7.4561403508771829E-2</v>
      </c>
      <c r="X203" s="71">
        <f t="shared" si="297"/>
        <v>6.0085836909871349E-2</v>
      </c>
      <c r="Y203" s="71">
        <f t="shared" si="297"/>
        <v>1.6736401673640211E-2</v>
      </c>
      <c r="Z203" s="71">
        <f t="shared" ref="Z203:AI203" si="298">Z201/U201-1</f>
        <v>4.3290043290043378E-2</v>
      </c>
      <c r="AA203" s="23">
        <f t="shared" si="298"/>
        <v>4.8335123523093548E-2</v>
      </c>
      <c r="AB203" s="71">
        <f t="shared" si="298"/>
        <v>8.1632653061225469E-3</v>
      </c>
      <c r="AC203" s="71">
        <f t="shared" si="298"/>
        <v>-2.4291497975708509E-2</v>
      </c>
      <c r="AD203" s="71">
        <f t="shared" si="298"/>
        <v>3.7037037037036979E-2</v>
      </c>
      <c r="AE203" s="71">
        <f t="shared" si="298"/>
        <v>3.7344398340249052E-2</v>
      </c>
      <c r="AF203" s="23">
        <f t="shared" si="298"/>
        <v>1.4344262295082011E-2</v>
      </c>
      <c r="AG203" s="71">
        <f t="shared" si="298"/>
        <v>4.8582995951417018E-2</v>
      </c>
      <c r="AH203" s="71">
        <f t="shared" si="298"/>
        <v>5.8091286307053958E-2</v>
      </c>
      <c r="AI203" s="71">
        <f t="shared" si="298"/>
        <v>-3.9682539682539542E-3</v>
      </c>
      <c r="AJ203" s="71">
        <f t="shared" ref="AJ203:AS203" si="299">AJ201/AE201-1</f>
        <v>2.8000000000000025E-2</v>
      </c>
      <c r="AK203" s="23">
        <f t="shared" si="299"/>
        <v>3.2323232323232309E-2</v>
      </c>
      <c r="AL203" s="71">
        <f t="shared" si="299"/>
        <v>2.316602316602312E-2</v>
      </c>
      <c r="AM203" s="71">
        <f t="shared" si="299"/>
        <v>3.1372549019607954E-2</v>
      </c>
      <c r="AN203" s="71">
        <f t="shared" si="299"/>
        <v>5.5776892430278835E-2</v>
      </c>
      <c r="AO203" s="71">
        <f t="shared" si="299"/>
        <v>1.1673151750972721E-2</v>
      </c>
      <c r="AP203" s="23">
        <f t="shared" si="299"/>
        <v>3.0332681017612551E-2</v>
      </c>
      <c r="AQ203" s="71">
        <f t="shared" si="299"/>
        <v>2.2641509433962259E-2</v>
      </c>
      <c r="AR203" s="71">
        <f t="shared" si="299"/>
        <v>1.9011406844106515E-2</v>
      </c>
      <c r="AS203" s="71">
        <f t="shared" si="299"/>
        <v>-2.6415094339622636E-2</v>
      </c>
      <c r="AT203" s="71">
        <f t="shared" ref="AT203" si="300">AT201/AO201-1</f>
        <v>4.6153846153846212E-2</v>
      </c>
      <c r="AU203" s="23">
        <f t="shared" ref="AU203:AX203" si="301">AU201/AP201-1</f>
        <v>1.5194681861348425E-2</v>
      </c>
      <c r="AV203" s="71">
        <f t="shared" si="301"/>
        <v>-7.7490774907749027E-2</v>
      </c>
      <c r="AW203" s="71">
        <f t="shared" si="301"/>
        <v>-8.9552238805970186E-2</v>
      </c>
      <c r="AX203" s="71">
        <f t="shared" si="301"/>
        <v>-5.4263565891472854E-2</v>
      </c>
      <c r="AY203" s="71">
        <f t="shared" ref="AY203" si="302">AY201/AT201-1</f>
        <v>-0.12867647058823528</v>
      </c>
      <c r="AZ203" s="23">
        <v>-8.7932647333957004E-2</v>
      </c>
      <c r="BA203" s="71">
        <v>-1.2000000000000011E-2</v>
      </c>
      <c r="BB203" s="71">
        <v>0</v>
      </c>
      <c r="BC203" s="71">
        <v>-4.098360655737654E-3</v>
      </c>
      <c r="BD203" s="71">
        <v>2.5316455696202445E-2</v>
      </c>
      <c r="BE203" s="23">
        <v>2.0512820512821328E-3</v>
      </c>
      <c r="BF203" s="71">
        <v>-4.0485829959514552E-3</v>
      </c>
      <c r="BG203" s="71">
        <v>-2.4590163934426257E-2</v>
      </c>
      <c r="BH203" s="71">
        <v>8.2304526748970819E-3</v>
      </c>
      <c r="BI203" s="71">
        <v>-9.8765432098765427E-2</v>
      </c>
      <c r="BJ203" s="23">
        <v>-2.9682702149437024E-2</v>
      </c>
      <c r="BK203" s="71">
        <v>-8.1300813008130524E-3</v>
      </c>
    </row>
    <row r="204" spans="1:63" ht="11.25" customHeight="1">
      <c r="A204" s="67" t="s">
        <v>232</v>
      </c>
      <c r="B204" s="119" t="s">
        <v>40</v>
      </c>
      <c r="C204" s="78" t="s">
        <v>48</v>
      </c>
      <c r="D204" s="78" t="s">
        <v>48</v>
      </c>
      <c r="E204" s="78" t="s">
        <v>48</v>
      </c>
      <c r="F204" s="78" t="s">
        <v>48</v>
      </c>
      <c r="G204" s="119" t="s">
        <v>40</v>
      </c>
      <c r="H204" s="78" t="s">
        <v>48</v>
      </c>
      <c r="I204" s="78" t="s">
        <v>48</v>
      </c>
      <c r="J204" s="78" t="s">
        <v>48</v>
      </c>
      <c r="K204" s="78" t="s">
        <v>48</v>
      </c>
      <c r="L204" s="119" t="s">
        <v>40</v>
      </c>
      <c r="M204" s="78" t="s">
        <v>48</v>
      </c>
      <c r="N204" s="78" t="s">
        <v>48</v>
      </c>
      <c r="O204" s="78" t="s">
        <v>48</v>
      </c>
      <c r="P204" s="78" t="s">
        <v>48</v>
      </c>
      <c r="Q204" s="119" t="s">
        <v>40</v>
      </c>
      <c r="R204" s="78" t="s">
        <v>48</v>
      </c>
      <c r="S204" s="78" t="s">
        <v>48</v>
      </c>
      <c r="T204" s="78" t="s">
        <v>48</v>
      </c>
      <c r="U204" s="78" t="s">
        <v>48</v>
      </c>
      <c r="V204" s="119" t="s">
        <v>40</v>
      </c>
      <c r="W204" s="78" t="s">
        <v>48</v>
      </c>
      <c r="X204" s="78" t="s">
        <v>48</v>
      </c>
      <c r="Y204" s="78" t="s">
        <v>48</v>
      </c>
      <c r="Z204" s="78" t="s">
        <v>48</v>
      </c>
      <c r="AA204" s="119" t="s">
        <v>40</v>
      </c>
      <c r="AB204" s="78" t="s">
        <v>48</v>
      </c>
      <c r="AC204" s="78" t="s">
        <v>48</v>
      </c>
      <c r="AD204" s="78" t="s">
        <v>48</v>
      </c>
      <c r="AE204" s="78" t="s">
        <v>48</v>
      </c>
      <c r="AF204" s="119" t="s">
        <v>40</v>
      </c>
      <c r="AG204" s="78" t="s">
        <v>48</v>
      </c>
      <c r="AH204" s="78" t="s">
        <v>48</v>
      </c>
      <c r="AI204" s="78" t="s">
        <v>48</v>
      </c>
      <c r="AJ204" s="78" t="s">
        <v>48</v>
      </c>
      <c r="AK204" s="119" t="s">
        <v>40</v>
      </c>
      <c r="AL204" s="68">
        <v>48</v>
      </c>
      <c r="AM204" s="68">
        <v>43</v>
      </c>
      <c r="AN204" s="68">
        <v>46</v>
      </c>
      <c r="AO204" s="68">
        <v>46</v>
      </c>
      <c r="AP204" s="36">
        <v>184</v>
      </c>
      <c r="AQ204" s="68">
        <v>50</v>
      </c>
      <c r="AR204" s="68">
        <v>48</v>
      </c>
      <c r="AS204" s="68">
        <v>52</v>
      </c>
      <c r="AT204" s="68">
        <f>AU204-AS204-AR204-AQ204</f>
        <v>53</v>
      </c>
      <c r="AU204" s="36">
        <v>203</v>
      </c>
      <c r="AV204" s="68">
        <v>56</v>
      </c>
      <c r="AW204" s="68">
        <v>57</v>
      </c>
      <c r="AX204" s="68">
        <v>57</v>
      </c>
      <c r="AY204" s="68">
        <f>AZ204-AX204-AW204-AV204</f>
        <v>60</v>
      </c>
      <c r="AZ204" s="36">
        <v>230</v>
      </c>
      <c r="BA204" s="68">
        <v>62</v>
      </c>
      <c r="BB204" s="68">
        <v>66</v>
      </c>
      <c r="BC204" s="68">
        <v>69</v>
      </c>
      <c r="BD204" s="68">
        <v>63</v>
      </c>
      <c r="BE204" s="36">
        <v>260</v>
      </c>
      <c r="BF204" s="68">
        <v>71</v>
      </c>
      <c r="BG204" s="68">
        <v>68</v>
      </c>
      <c r="BH204" s="68">
        <v>69</v>
      </c>
      <c r="BI204" s="68">
        <v>66</v>
      </c>
      <c r="BJ204" s="36">
        <v>274</v>
      </c>
      <c r="BK204" s="68">
        <v>72</v>
      </c>
    </row>
    <row r="205" spans="1:63" ht="10.15" customHeight="1">
      <c r="A205" s="69" t="s">
        <v>7</v>
      </c>
      <c r="B205" s="23"/>
      <c r="C205" s="71"/>
      <c r="D205" s="71"/>
      <c r="E205" s="71"/>
      <c r="F205" s="71"/>
      <c r="G205" s="23"/>
      <c r="H205" s="71"/>
      <c r="I205" s="71"/>
      <c r="J205" s="71"/>
      <c r="K205" s="71"/>
      <c r="L205" s="23"/>
      <c r="M205" s="71"/>
      <c r="N205" s="71"/>
      <c r="O205" s="71"/>
      <c r="P205" s="71"/>
      <c r="Q205" s="23"/>
      <c r="R205" s="71"/>
      <c r="S205" s="71"/>
      <c r="T205" s="71"/>
      <c r="U205" s="71"/>
      <c r="V205" s="23"/>
      <c r="W205" s="71"/>
      <c r="X205" s="71"/>
      <c r="Y205" s="71"/>
      <c r="Z205" s="71"/>
      <c r="AA205" s="23"/>
      <c r="AB205" s="71"/>
      <c r="AC205" s="71"/>
      <c r="AD205" s="71"/>
      <c r="AE205" s="71"/>
      <c r="AF205" s="23"/>
      <c r="AG205" s="71"/>
      <c r="AH205" s="71"/>
      <c r="AI205" s="71"/>
      <c r="AJ205" s="71"/>
      <c r="AK205" s="23"/>
      <c r="AL205" s="70"/>
      <c r="AM205" s="70">
        <f>AM204/AL204-1</f>
        <v>-0.10416666666666663</v>
      </c>
      <c r="AN205" s="70">
        <f>AN204/AM204-1</f>
        <v>6.9767441860465018E-2</v>
      </c>
      <c r="AO205" s="70">
        <f>AO204/AN204-1</f>
        <v>0</v>
      </c>
      <c r="AP205" s="23"/>
      <c r="AQ205" s="70">
        <f>AQ204/AO204-1</f>
        <v>8.6956521739130377E-2</v>
      </c>
      <c r="AR205" s="70">
        <f>AR204/AQ204-1</f>
        <v>-4.0000000000000036E-2</v>
      </c>
      <c r="AS205" s="70">
        <f>AS204/AR204-1</f>
        <v>8.3333333333333259E-2</v>
      </c>
      <c r="AT205" s="70">
        <f>AT204/AS204-1</f>
        <v>1.9230769230769162E-2</v>
      </c>
      <c r="AU205" s="23"/>
      <c r="AV205" s="70">
        <f>AV204/AT204-1</f>
        <v>5.6603773584905648E-2</v>
      </c>
      <c r="AW205" s="70">
        <f>AW204/AV204-1</f>
        <v>1.7857142857142794E-2</v>
      </c>
      <c r="AX205" s="70">
        <f>AX204/AW204-1</f>
        <v>0</v>
      </c>
      <c r="AY205" s="70">
        <f>AY204/AX204-1</f>
        <v>5.2631578947368363E-2</v>
      </c>
      <c r="AZ205" s="23"/>
      <c r="BA205" s="70">
        <v>3.3333333333333437E-2</v>
      </c>
      <c r="BB205" s="70">
        <v>6.4516129032258007E-2</v>
      </c>
      <c r="BC205" s="70">
        <v>4.5454545454545414E-2</v>
      </c>
      <c r="BD205" s="70">
        <v>-8.6956521739130488E-2</v>
      </c>
      <c r="BE205" s="23"/>
      <c r="BF205" s="70">
        <v>0.12698412698412698</v>
      </c>
      <c r="BG205" s="70">
        <v>-4.2253521126760618E-2</v>
      </c>
      <c r="BH205" s="70">
        <v>1.4705882352941124E-2</v>
      </c>
      <c r="BI205" s="70">
        <v>-4.3478260869565188E-2</v>
      </c>
      <c r="BJ205" s="23"/>
      <c r="BK205" s="70">
        <v>9.0909090909090828E-2</v>
      </c>
    </row>
    <row r="206" spans="1:63" ht="12.6" customHeight="1">
      <c r="A206" s="69" t="s">
        <v>8</v>
      </c>
      <c r="B206" s="23"/>
      <c r="C206" s="71"/>
      <c r="D206" s="71"/>
      <c r="E206" s="71"/>
      <c r="F206" s="71"/>
      <c r="G206" s="23"/>
      <c r="H206" s="71"/>
      <c r="I206" s="71"/>
      <c r="J206" s="71"/>
      <c r="K206" s="71"/>
      <c r="L206" s="23"/>
      <c r="M206" s="71"/>
      <c r="N206" s="71"/>
      <c r="O206" s="71"/>
      <c r="P206" s="71"/>
      <c r="Q206" s="23"/>
      <c r="R206" s="71"/>
      <c r="S206" s="71"/>
      <c r="T206" s="71"/>
      <c r="U206" s="71"/>
      <c r="V206" s="23"/>
      <c r="W206" s="71"/>
      <c r="X206" s="71"/>
      <c r="Y206" s="71"/>
      <c r="Z206" s="71"/>
      <c r="AA206" s="23"/>
      <c r="AB206" s="71"/>
      <c r="AC206" s="71"/>
      <c r="AD206" s="71"/>
      <c r="AE206" s="71"/>
      <c r="AF206" s="23"/>
      <c r="AG206" s="71"/>
      <c r="AH206" s="71"/>
      <c r="AI206" s="71"/>
      <c r="AJ206" s="71"/>
      <c r="AK206" s="23"/>
      <c r="AL206" s="71"/>
      <c r="AM206" s="71"/>
      <c r="AN206" s="71"/>
      <c r="AO206" s="71"/>
      <c r="AP206" s="23"/>
      <c r="AQ206" s="71">
        <f t="shared" ref="AQ206" si="303">AQ204/AL204-1</f>
        <v>4.1666666666666741E-2</v>
      </c>
      <c r="AR206" s="71">
        <f t="shared" ref="AR206" si="304">AR204/AM204-1</f>
        <v>0.11627906976744184</v>
      </c>
      <c r="AS206" s="71">
        <f t="shared" ref="AS206" si="305">AS204/AN204-1</f>
        <v>0.13043478260869557</v>
      </c>
      <c r="AT206" s="71">
        <f t="shared" ref="AT206:AU206" si="306">AT204/AO204-1</f>
        <v>0.15217391304347827</v>
      </c>
      <c r="AU206" s="23">
        <f t="shared" si="306"/>
        <v>0.10326086956521729</v>
      </c>
      <c r="AV206" s="71">
        <f t="shared" ref="AV206" si="307">AV204/AQ204-1</f>
        <v>0.12000000000000011</v>
      </c>
      <c r="AW206" s="71">
        <f t="shared" ref="AW206" si="308">AW204/AR204-1</f>
        <v>0.1875</v>
      </c>
      <c r="AX206" s="71">
        <f t="shared" ref="AX206" si="309">AX204/AS204-1</f>
        <v>9.6153846153846256E-2</v>
      </c>
      <c r="AY206" s="71">
        <f t="shared" ref="AY206" si="310">AY204/AT204-1</f>
        <v>0.13207547169811318</v>
      </c>
      <c r="AZ206" s="23">
        <v>0.13300492610837433</v>
      </c>
      <c r="BA206" s="71">
        <v>0.10714285714285721</v>
      </c>
      <c r="BB206" s="71">
        <v>0.15789473684210531</v>
      </c>
      <c r="BC206" s="71">
        <v>0.21052631578947367</v>
      </c>
      <c r="BD206" s="71">
        <v>5.0000000000000044E-2</v>
      </c>
      <c r="BE206" s="23">
        <v>0.13043478260869557</v>
      </c>
      <c r="BF206" s="71">
        <v>0.14516129032258074</v>
      </c>
      <c r="BG206" s="71">
        <v>3.0303030303030276E-2</v>
      </c>
      <c r="BH206" s="71">
        <v>0</v>
      </c>
      <c r="BI206" s="71">
        <v>4.7619047619047672E-2</v>
      </c>
      <c r="BJ206" s="23">
        <v>5.3846153846153877E-2</v>
      </c>
      <c r="BK206" s="71">
        <v>1.4084507042253502E-2</v>
      </c>
    </row>
    <row r="207" spans="1:63" ht="10.5" customHeight="1">
      <c r="A207" s="67" t="s">
        <v>230</v>
      </c>
      <c r="B207" s="36">
        <v>342</v>
      </c>
      <c r="C207" s="78" t="s">
        <v>48</v>
      </c>
      <c r="D207" s="78" t="s">
        <v>48</v>
      </c>
      <c r="E207" s="78" t="s">
        <v>48</v>
      </c>
      <c r="F207" s="78" t="s">
        <v>48</v>
      </c>
      <c r="G207" s="36">
        <v>325</v>
      </c>
      <c r="H207" s="68">
        <v>73</v>
      </c>
      <c r="I207" s="68">
        <v>67</v>
      </c>
      <c r="J207" s="68">
        <v>62</v>
      </c>
      <c r="K207" s="68">
        <f>L207-J207-I207-H207</f>
        <v>54</v>
      </c>
      <c r="L207" s="36">
        <v>256</v>
      </c>
      <c r="M207" s="68">
        <v>60</v>
      </c>
      <c r="N207" s="68">
        <v>56</v>
      </c>
      <c r="O207" s="68">
        <v>67</v>
      </c>
      <c r="P207" s="68">
        <f>Q207-O207-N207-M207</f>
        <v>61</v>
      </c>
      <c r="Q207" s="36">
        <v>244</v>
      </c>
      <c r="R207" s="68">
        <v>68</v>
      </c>
      <c r="S207" s="68">
        <v>61</v>
      </c>
      <c r="T207" s="68">
        <v>59</v>
      </c>
      <c r="U207" s="68">
        <f>V207-T207-S207-R207</f>
        <v>44</v>
      </c>
      <c r="V207" s="36">
        <v>232</v>
      </c>
      <c r="W207" s="68">
        <v>70</v>
      </c>
      <c r="X207" s="68">
        <v>57</v>
      </c>
      <c r="Y207" s="68">
        <v>58</v>
      </c>
      <c r="Z207" s="68">
        <f>AA207-Y207-X207-W207</f>
        <v>49</v>
      </c>
      <c r="AA207" s="36">
        <v>234</v>
      </c>
      <c r="AB207" s="68">
        <v>62</v>
      </c>
      <c r="AC207" s="68">
        <v>56</v>
      </c>
      <c r="AD207" s="68">
        <v>53</v>
      </c>
      <c r="AE207" s="68">
        <f>AF207-AD207-AC207-AB207</f>
        <v>59</v>
      </c>
      <c r="AF207" s="36">
        <v>230</v>
      </c>
      <c r="AG207" s="68">
        <v>60</v>
      </c>
      <c r="AH207" s="68">
        <v>58</v>
      </c>
      <c r="AI207" s="68">
        <v>59</v>
      </c>
      <c r="AJ207" s="68">
        <f>AK207-AI207-AH207-AG207</f>
        <v>56</v>
      </c>
      <c r="AK207" s="36">
        <v>233</v>
      </c>
      <c r="AL207" s="68">
        <v>61</v>
      </c>
      <c r="AM207" s="68">
        <v>58</v>
      </c>
      <c r="AN207" s="68">
        <v>54</v>
      </c>
      <c r="AO207" s="68">
        <f>AP207-AN207-AM207-AL207</f>
        <v>48</v>
      </c>
      <c r="AP207" s="36">
        <v>221</v>
      </c>
      <c r="AQ207" s="68">
        <v>61</v>
      </c>
      <c r="AR207" s="68">
        <v>59</v>
      </c>
      <c r="AS207" s="68">
        <v>54</v>
      </c>
      <c r="AT207" s="68">
        <f>AU207-AS207-AR207-AQ207</f>
        <v>45</v>
      </c>
      <c r="AU207" s="36">
        <v>219</v>
      </c>
      <c r="AV207" s="68">
        <v>56</v>
      </c>
      <c r="AW207" s="68">
        <v>56</v>
      </c>
      <c r="AX207" s="68">
        <v>56</v>
      </c>
      <c r="AY207" s="68">
        <f>AZ207-AX207-AW207-AV207</f>
        <v>46</v>
      </c>
      <c r="AZ207" s="36">
        <v>214</v>
      </c>
      <c r="BA207" s="68">
        <v>56</v>
      </c>
      <c r="BB207" s="68">
        <v>60</v>
      </c>
      <c r="BC207" s="68">
        <v>48</v>
      </c>
      <c r="BD207" s="68">
        <v>43</v>
      </c>
      <c r="BE207" s="36">
        <v>207</v>
      </c>
      <c r="BF207" s="68">
        <v>60</v>
      </c>
      <c r="BG207" s="68">
        <v>54</v>
      </c>
      <c r="BH207" s="68">
        <v>59</v>
      </c>
      <c r="BI207" s="68">
        <v>61</v>
      </c>
      <c r="BJ207" s="36">
        <v>234</v>
      </c>
      <c r="BK207" s="68">
        <v>59</v>
      </c>
    </row>
    <row r="208" spans="1:63" ht="10.15" customHeight="1">
      <c r="A208" s="69" t="s">
        <v>7</v>
      </c>
      <c r="B208" s="23"/>
      <c r="C208" s="70"/>
      <c r="D208" s="70"/>
      <c r="E208" s="70"/>
      <c r="F208" s="70"/>
      <c r="G208" s="23"/>
      <c r="H208" s="70"/>
      <c r="I208" s="70">
        <f>I207/H207-1</f>
        <v>-8.2191780821917804E-2</v>
      </c>
      <c r="J208" s="70">
        <f>J207/I207-1</f>
        <v>-7.4626865671641784E-2</v>
      </c>
      <c r="K208" s="70">
        <f>K207/J207-1</f>
        <v>-0.12903225806451613</v>
      </c>
      <c r="L208" s="23"/>
      <c r="M208" s="70">
        <f>M207/K207-1</f>
        <v>0.11111111111111116</v>
      </c>
      <c r="N208" s="70">
        <f>N207/M207-1</f>
        <v>-6.6666666666666652E-2</v>
      </c>
      <c r="O208" s="70">
        <f>O207/N207-1</f>
        <v>0.1964285714285714</v>
      </c>
      <c r="P208" s="70">
        <f>P207/O207-1</f>
        <v>-8.9552238805970186E-2</v>
      </c>
      <c r="Q208" s="23"/>
      <c r="R208" s="70">
        <f>R207/P207-1</f>
        <v>0.11475409836065564</v>
      </c>
      <c r="S208" s="70">
        <f>S207/R207-1</f>
        <v>-0.1029411764705882</v>
      </c>
      <c r="T208" s="70">
        <f>T207/S207-1</f>
        <v>-3.2786885245901676E-2</v>
      </c>
      <c r="U208" s="70">
        <f>U207/T207-1</f>
        <v>-0.25423728813559321</v>
      </c>
      <c r="V208" s="23"/>
      <c r="W208" s="70">
        <f>W207/U207-1</f>
        <v>0.59090909090909083</v>
      </c>
      <c r="X208" s="70">
        <f>X207/W207-1</f>
        <v>-0.18571428571428572</v>
      </c>
      <c r="Y208" s="70">
        <f>Y207/X207-1</f>
        <v>1.7543859649122862E-2</v>
      </c>
      <c r="Z208" s="70">
        <f>Z207/Y207-1</f>
        <v>-0.15517241379310343</v>
      </c>
      <c r="AA208" s="23"/>
      <c r="AB208" s="70">
        <f>AB207/Z207-1</f>
        <v>0.26530612244897966</v>
      </c>
      <c r="AC208" s="70">
        <f>AC207/AB207-1</f>
        <v>-9.6774193548387122E-2</v>
      </c>
      <c r="AD208" s="70">
        <f>AD207/AC207-1</f>
        <v>-5.3571428571428603E-2</v>
      </c>
      <c r="AE208" s="70">
        <f>AE207/AD207-1</f>
        <v>0.1132075471698113</v>
      </c>
      <c r="AF208" s="23"/>
      <c r="AG208" s="70">
        <f>AG207/AE207-1</f>
        <v>1.6949152542372836E-2</v>
      </c>
      <c r="AH208" s="70">
        <f>AH207/AG207-1</f>
        <v>-3.3333333333333326E-2</v>
      </c>
      <c r="AI208" s="70">
        <f>AI207/AH207-1</f>
        <v>1.7241379310344751E-2</v>
      </c>
      <c r="AJ208" s="70">
        <f>AJ207/AI207-1</f>
        <v>-5.084745762711862E-2</v>
      </c>
      <c r="AK208" s="23"/>
      <c r="AL208" s="70">
        <f>AL207/AJ207-1</f>
        <v>8.9285714285714191E-2</v>
      </c>
      <c r="AM208" s="70">
        <f>AM207/AL207-1</f>
        <v>-4.9180327868852514E-2</v>
      </c>
      <c r="AN208" s="70">
        <f>AN207/AM207-1</f>
        <v>-6.8965517241379337E-2</v>
      </c>
      <c r="AO208" s="70">
        <f>AO207/AN207-1</f>
        <v>-0.11111111111111116</v>
      </c>
      <c r="AP208" s="23"/>
      <c r="AQ208" s="70">
        <f>AQ207/AO207-1</f>
        <v>0.27083333333333326</v>
      </c>
      <c r="AR208" s="70">
        <f>AR207/AQ207-1</f>
        <v>-3.2786885245901676E-2</v>
      </c>
      <c r="AS208" s="70">
        <f>AS207/AR207-1</f>
        <v>-8.4745762711864403E-2</v>
      </c>
      <c r="AT208" s="70">
        <f>AT207/AS207-1</f>
        <v>-0.16666666666666663</v>
      </c>
      <c r="AU208" s="23"/>
      <c r="AV208" s="70">
        <f>AV207/AT207-1</f>
        <v>0.24444444444444446</v>
      </c>
      <c r="AW208" s="70">
        <f>AW207/AV207-1</f>
        <v>0</v>
      </c>
      <c r="AX208" s="70">
        <f>AX207/AW207-1</f>
        <v>0</v>
      </c>
      <c r="AY208" s="70">
        <f>AY207/AX207-1</f>
        <v>-0.1785714285714286</v>
      </c>
      <c r="AZ208" s="23"/>
      <c r="BA208" s="70">
        <v>0.21739130434782616</v>
      </c>
      <c r="BB208" s="70">
        <v>7.1428571428571397E-2</v>
      </c>
      <c r="BC208" s="70">
        <v>-0.19999999999999996</v>
      </c>
      <c r="BD208" s="70">
        <v>-0.10416666666666663</v>
      </c>
      <c r="BE208" s="23"/>
      <c r="BF208" s="70">
        <v>0.39534883720930236</v>
      </c>
      <c r="BG208" s="70">
        <v>-9.9999999999999978E-2</v>
      </c>
      <c r="BH208" s="70">
        <v>9.259259259259256E-2</v>
      </c>
      <c r="BI208" s="70">
        <v>3.3898305084745672E-2</v>
      </c>
      <c r="BJ208" s="23"/>
      <c r="BK208" s="70">
        <v>-3.2786885245901676E-2</v>
      </c>
    </row>
    <row r="209" spans="1:63" ht="10.5" customHeight="1">
      <c r="A209" s="69" t="s">
        <v>8</v>
      </c>
      <c r="B209" s="23"/>
      <c r="C209" s="71"/>
      <c r="D209" s="71"/>
      <c r="E209" s="71"/>
      <c r="F209" s="71"/>
      <c r="G209" s="23">
        <f>G207/B207-1</f>
        <v>-4.9707602339181256E-2</v>
      </c>
      <c r="H209" s="71"/>
      <c r="I209" s="71"/>
      <c r="J209" s="71"/>
      <c r="K209" s="71"/>
      <c r="L209" s="23">
        <f t="shared" ref="L209:R209" si="311">L207/G207-1</f>
        <v>-0.21230769230769231</v>
      </c>
      <c r="M209" s="71">
        <f t="shared" si="311"/>
        <v>-0.17808219178082196</v>
      </c>
      <c r="N209" s="71">
        <f t="shared" si="311"/>
        <v>-0.16417910447761197</v>
      </c>
      <c r="O209" s="71">
        <f t="shared" si="311"/>
        <v>8.0645161290322509E-2</v>
      </c>
      <c r="P209" s="71">
        <f t="shared" si="311"/>
        <v>0.12962962962962954</v>
      </c>
      <c r="Q209" s="23">
        <f t="shared" si="311"/>
        <v>-4.6875E-2</v>
      </c>
      <c r="R209" s="71">
        <f t="shared" si="311"/>
        <v>0.1333333333333333</v>
      </c>
      <c r="S209" s="71">
        <f t="shared" ref="S209:Y209" si="312">S207/N207-1</f>
        <v>8.9285714285714191E-2</v>
      </c>
      <c r="T209" s="71">
        <f t="shared" si="312"/>
        <v>-0.11940298507462688</v>
      </c>
      <c r="U209" s="71">
        <f t="shared" si="312"/>
        <v>-0.27868852459016391</v>
      </c>
      <c r="V209" s="23">
        <f t="shared" si="312"/>
        <v>-4.9180327868852514E-2</v>
      </c>
      <c r="W209" s="71">
        <f t="shared" si="312"/>
        <v>2.9411764705882248E-2</v>
      </c>
      <c r="X209" s="71">
        <f t="shared" si="312"/>
        <v>-6.557377049180324E-2</v>
      </c>
      <c r="Y209" s="71">
        <f t="shared" si="312"/>
        <v>-1.6949152542372836E-2</v>
      </c>
      <c r="Z209" s="71">
        <f t="shared" ref="Z209:AI209" si="313">Z207/U207-1</f>
        <v>0.11363636363636354</v>
      </c>
      <c r="AA209" s="23">
        <f t="shared" si="313"/>
        <v>8.6206896551723755E-3</v>
      </c>
      <c r="AB209" s="71">
        <f t="shared" si="313"/>
        <v>-0.11428571428571432</v>
      </c>
      <c r="AC209" s="71">
        <f t="shared" si="313"/>
        <v>-1.7543859649122862E-2</v>
      </c>
      <c r="AD209" s="71">
        <f t="shared" si="313"/>
        <v>-8.6206896551724088E-2</v>
      </c>
      <c r="AE209" s="71">
        <f t="shared" si="313"/>
        <v>0.20408163265306123</v>
      </c>
      <c r="AF209" s="23">
        <f t="shared" si="313"/>
        <v>-1.7094017094017144E-2</v>
      </c>
      <c r="AG209" s="71">
        <f t="shared" si="313"/>
        <v>-3.2258064516129004E-2</v>
      </c>
      <c r="AH209" s="71">
        <f t="shared" si="313"/>
        <v>3.5714285714285809E-2</v>
      </c>
      <c r="AI209" s="71">
        <f t="shared" si="313"/>
        <v>0.1132075471698113</v>
      </c>
      <c r="AJ209" s="71">
        <f t="shared" ref="AJ209:AS209" si="314">AJ207/AE207-1</f>
        <v>-5.084745762711862E-2</v>
      </c>
      <c r="AK209" s="23">
        <f t="shared" si="314"/>
        <v>1.304347826086949E-2</v>
      </c>
      <c r="AL209" s="71">
        <f t="shared" si="314"/>
        <v>1.6666666666666607E-2</v>
      </c>
      <c r="AM209" s="71">
        <f t="shared" si="314"/>
        <v>0</v>
      </c>
      <c r="AN209" s="71">
        <f t="shared" si="314"/>
        <v>-8.4745762711864403E-2</v>
      </c>
      <c r="AO209" s="71">
        <f t="shared" si="314"/>
        <v>-0.1428571428571429</v>
      </c>
      <c r="AP209" s="23">
        <f t="shared" si="314"/>
        <v>-5.1502145922746823E-2</v>
      </c>
      <c r="AQ209" s="71">
        <f t="shared" si="314"/>
        <v>0</v>
      </c>
      <c r="AR209" s="71">
        <f t="shared" si="314"/>
        <v>1.7241379310344751E-2</v>
      </c>
      <c r="AS209" s="71">
        <f t="shared" si="314"/>
        <v>0</v>
      </c>
      <c r="AT209" s="71">
        <f t="shared" ref="AT209" si="315">AT207/AO207-1</f>
        <v>-6.25E-2</v>
      </c>
      <c r="AU209" s="23">
        <f t="shared" ref="AU209:AX209" si="316">AU207/AP207-1</f>
        <v>-9.0497737556560764E-3</v>
      </c>
      <c r="AV209" s="71">
        <f t="shared" si="316"/>
        <v>-8.1967213114754078E-2</v>
      </c>
      <c r="AW209" s="71">
        <f t="shared" si="316"/>
        <v>-5.084745762711862E-2</v>
      </c>
      <c r="AX209" s="71">
        <f t="shared" si="316"/>
        <v>3.7037037037036979E-2</v>
      </c>
      <c r="AY209" s="71">
        <f t="shared" ref="AY209" si="317">AY207/AT207-1</f>
        <v>2.2222222222222143E-2</v>
      </c>
      <c r="AZ209" s="23">
        <v>-2.2831050228310557E-2</v>
      </c>
      <c r="BA209" s="71">
        <v>0</v>
      </c>
      <c r="BB209" s="71">
        <v>7.1428571428571397E-2</v>
      </c>
      <c r="BC209" s="71">
        <v>-0.1428571428571429</v>
      </c>
      <c r="BD209" s="71">
        <v>-6.5217391304347783E-2</v>
      </c>
      <c r="BE209" s="23">
        <v>-3.2710280373831724E-2</v>
      </c>
      <c r="BF209" s="71">
        <v>7.1428571428571397E-2</v>
      </c>
      <c r="BG209" s="71">
        <v>-9.9999999999999978E-2</v>
      </c>
      <c r="BH209" s="71">
        <v>0.22916666666666674</v>
      </c>
      <c r="BI209" s="71">
        <v>0.41860465116279078</v>
      </c>
      <c r="BJ209" s="23">
        <v>0.13043478260869557</v>
      </c>
      <c r="BK209" s="71">
        <v>-1.6666666666666718E-2</v>
      </c>
    </row>
    <row r="210" spans="1:63" ht="3" customHeight="1">
      <c r="A210" s="39"/>
      <c r="B210" s="40"/>
      <c r="C210" s="41"/>
      <c r="D210" s="41"/>
      <c r="E210" s="41"/>
      <c r="F210" s="41"/>
      <c r="G210" s="40"/>
      <c r="H210" s="41"/>
      <c r="I210" s="41"/>
      <c r="J210" s="41"/>
      <c r="K210" s="41"/>
      <c r="L210" s="40"/>
      <c r="M210" s="41"/>
      <c r="N210" s="41"/>
      <c r="O210" s="41"/>
      <c r="P210" s="41"/>
      <c r="Q210" s="40"/>
      <c r="R210" s="41"/>
      <c r="S210" s="41"/>
      <c r="T210" s="41"/>
      <c r="U210" s="41"/>
      <c r="V210" s="40"/>
      <c r="W210" s="41"/>
      <c r="X210" s="41"/>
      <c r="Y210" s="41"/>
      <c r="Z210" s="41"/>
      <c r="AA210" s="40"/>
      <c r="AB210" s="41"/>
      <c r="AC210" s="41"/>
      <c r="AD210" s="41"/>
      <c r="AE210" s="41"/>
      <c r="AF210" s="40"/>
      <c r="AG210" s="41"/>
      <c r="AH210" s="41"/>
      <c r="AI210" s="41"/>
      <c r="AJ210" s="41"/>
      <c r="AK210" s="40"/>
      <c r="AL210" s="41"/>
      <c r="AM210" s="41"/>
      <c r="AN210" s="41"/>
      <c r="AO210" s="41"/>
      <c r="AP210" s="40"/>
      <c r="AQ210" s="41"/>
      <c r="AR210" s="41"/>
      <c r="AS210" s="41"/>
      <c r="AT210" s="41"/>
      <c r="AU210" s="40"/>
      <c r="AV210" s="41"/>
      <c r="AW210" s="41"/>
      <c r="AX210" s="41"/>
      <c r="AY210" s="41"/>
      <c r="AZ210" s="40"/>
      <c r="BA210" s="41"/>
      <c r="BB210" s="41"/>
      <c r="BC210" s="41"/>
      <c r="BD210" s="41"/>
      <c r="BE210" s="40"/>
      <c r="BF210" s="41"/>
      <c r="BG210" s="41"/>
      <c r="BH210" s="41"/>
      <c r="BI210" s="41"/>
      <c r="BJ210" s="40"/>
      <c r="BK210" s="41"/>
    </row>
    <row r="211" spans="1:63" ht="9.75" customHeight="1">
      <c r="A211" s="67" t="s">
        <v>130</v>
      </c>
      <c r="B211" s="119" t="s">
        <v>40</v>
      </c>
      <c r="C211" s="78" t="s">
        <v>48</v>
      </c>
      <c r="D211" s="78" t="s">
        <v>48</v>
      </c>
      <c r="E211" s="78" t="s">
        <v>48</v>
      </c>
      <c r="F211" s="78" t="s">
        <v>48</v>
      </c>
      <c r="G211" s="36">
        <v>3303</v>
      </c>
      <c r="H211" s="78" t="s">
        <v>48</v>
      </c>
      <c r="I211" s="78" t="s">
        <v>48</v>
      </c>
      <c r="J211" s="78" t="s">
        <v>48</v>
      </c>
      <c r="K211" s="78" t="s">
        <v>48</v>
      </c>
      <c r="L211" s="36">
        <v>3165</v>
      </c>
      <c r="M211" s="78" t="s">
        <v>48</v>
      </c>
      <c r="N211" s="78" t="s">
        <v>48</v>
      </c>
      <c r="O211" s="78" t="s">
        <v>48</v>
      </c>
      <c r="P211" s="78" t="s">
        <v>48</v>
      </c>
      <c r="Q211" s="36">
        <v>3128</v>
      </c>
      <c r="R211" s="78" t="s">
        <v>48</v>
      </c>
      <c r="S211" s="78" t="s">
        <v>48</v>
      </c>
      <c r="T211" s="78" t="s">
        <v>48</v>
      </c>
      <c r="U211" s="78" t="s">
        <v>48</v>
      </c>
      <c r="V211" s="36">
        <v>2777</v>
      </c>
      <c r="W211" s="78" t="s">
        <v>48</v>
      </c>
      <c r="X211" s="78" t="s">
        <v>48</v>
      </c>
      <c r="Y211" s="78" t="s">
        <v>48</v>
      </c>
      <c r="Z211" s="78" t="s">
        <v>48</v>
      </c>
      <c r="AA211" s="36">
        <v>2716</v>
      </c>
      <c r="AB211" s="78" t="s">
        <v>48</v>
      </c>
      <c r="AC211" s="78" t="s">
        <v>48</v>
      </c>
      <c r="AD211" s="78" t="s">
        <v>48</v>
      </c>
      <c r="AE211" s="78" t="s">
        <v>48</v>
      </c>
      <c r="AF211" s="36">
        <v>2605</v>
      </c>
      <c r="AG211" s="78" t="s">
        <v>48</v>
      </c>
      <c r="AH211" s="78" t="s">
        <v>48</v>
      </c>
      <c r="AI211" s="78" t="s">
        <v>48</v>
      </c>
      <c r="AJ211" s="78" t="s">
        <v>48</v>
      </c>
      <c r="AK211" s="36">
        <v>2498</v>
      </c>
      <c r="AL211" s="78" t="s">
        <v>48</v>
      </c>
      <c r="AM211" s="78" t="s">
        <v>48</v>
      </c>
      <c r="AN211" s="78" t="s">
        <v>48</v>
      </c>
      <c r="AO211" s="78" t="s">
        <v>48</v>
      </c>
      <c r="AP211" s="36">
        <v>2507</v>
      </c>
      <c r="AQ211" s="78" t="s">
        <v>48</v>
      </c>
      <c r="AR211" s="78" t="s">
        <v>48</v>
      </c>
      <c r="AS211" s="78" t="s">
        <v>48</v>
      </c>
      <c r="AT211" s="78" t="s">
        <v>48</v>
      </c>
      <c r="AU211" s="36">
        <v>2329</v>
      </c>
      <c r="AV211" s="78" t="s">
        <v>48</v>
      </c>
      <c r="AW211" s="78" t="s">
        <v>48</v>
      </c>
      <c r="AX211" s="78" t="s">
        <v>48</v>
      </c>
      <c r="AY211" s="78" t="s">
        <v>48</v>
      </c>
      <c r="AZ211" s="36">
        <v>2232</v>
      </c>
      <c r="BA211" s="78" t="s">
        <v>48</v>
      </c>
      <c r="BB211" s="78" t="s">
        <v>48</v>
      </c>
      <c r="BC211" s="78" t="s">
        <v>48</v>
      </c>
      <c r="BD211" s="78" t="s">
        <v>48</v>
      </c>
      <c r="BE211" s="36">
        <v>2101</v>
      </c>
      <c r="BF211" s="78" t="s">
        <v>48</v>
      </c>
      <c r="BG211" s="78" t="s">
        <v>48</v>
      </c>
      <c r="BH211" s="78" t="s">
        <v>48</v>
      </c>
      <c r="BI211" s="78" t="s">
        <v>48</v>
      </c>
      <c r="BJ211" s="36">
        <v>2029</v>
      </c>
      <c r="BK211" s="78" t="s">
        <v>48</v>
      </c>
    </row>
    <row r="212" spans="1:63" ht="11.25" customHeight="1">
      <c r="A212" s="69" t="s">
        <v>132</v>
      </c>
      <c r="B212" s="23"/>
      <c r="C212" s="71"/>
      <c r="D212" s="71"/>
      <c r="E212" s="71"/>
      <c r="F212" s="71"/>
      <c r="G212" s="23">
        <f>G211/G192</f>
        <v>0.70157323495248314</v>
      </c>
      <c r="H212" s="71"/>
      <c r="I212" s="71"/>
      <c r="J212" s="71"/>
      <c r="K212" s="71"/>
      <c r="L212" s="23">
        <f>L211/L192</f>
        <v>0.59683198189703945</v>
      </c>
      <c r="M212" s="71"/>
      <c r="N212" s="71"/>
      <c r="O212" s="71"/>
      <c r="P212" s="71"/>
      <c r="Q212" s="23">
        <f>Q211/Q192</f>
        <v>0.59433783013490404</v>
      </c>
      <c r="R212" s="71"/>
      <c r="S212" s="71"/>
      <c r="T212" s="71"/>
      <c r="U212" s="71"/>
      <c r="V212" s="23">
        <f>V211/V192</f>
        <v>0.59746127366609292</v>
      </c>
      <c r="W212" s="71"/>
      <c r="X212" s="71"/>
      <c r="Y212" s="71"/>
      <c r="Z212" s="71"/>
      <c r="AA212" s="23">
        <f>AA211/AA192</f>
        <v>0.58660907127429807</v>
      </c>
      <c r="AB212" s="71"/>
      <c r="AC212" s="71"/>
      <c r="AD212" s="71"/>
      <c r="AE212" s="71"/>
      <c r="AF212" s="23">
        <f>AF211/AF192</f>
        <v>0.58173291648057168</v>
      </c>
      <c r="AG212" s="71"/>
      <c r="AH212" s="71"/>
      <c r="AI212" s="71"/>
      <c r="AJ212" s="71"/>
      <c r="AK212" s="23">
        <f>AK211/AK192</f>
        <v>0.57864257586286771</v>
      </c>
      <c r="AL212" s="71"/>
      <c r="AM212" s="71"/>
      <c r="AN212" s="71"/>
      <c r="AO212" s="71"/>
      <c r="AP212" s="23">
        <f>AP211/AP192</f>
        <v>0.56886771046063078</v>
      </c>
      <c r="AQ212" s="71"/>
      <c r="AR212" s="71"/>
      <c r="AS212" s="71"/>
      <c r="AT212" s="71"/>
      <c r="AU212" s="23">
        <f>AU211/AU192</f>
        <v>0.53137120693588868</v>
      </c>
      <c r="AV212" s="71"/>
      <c r="AW212" s="71"/>
      <c r="AX212" s="71"/>
      <c r="AY212" s="71"/>
      <c r="AZ212" s="23">
        <v>0.52591894439208298</v>
      </c>
      <c r="BA212" s="71"/>
      <c r="BB212" s="71"/>
      <c r="BC212" s="71"/>
      <c r="BD212" s="71"/>
      <c r="BE212" s="23">
        <v>0.50071496663489035</v>
      </c>
      <c r="BF212" s="71"/>
      <c r="BG212" s="71"/>
      <c r="BH212" s="71"/>
      <c r="BI212" s="71"/>
      <c r="BJ212" s="23">
        <v>0.49815860545052787</v>
      </c>
      <c r="BK212" s="71"/>
    </row>
    <row r="213" spans="1:63" ht="10.5" customHeight="1">
      <c r="A213" s="67" t="s">
        <v>131</v>
      </c>
      <c r="B213" s="119" t="s">
        <v>40</v>
      </c>
      <c r="C213" s="78" t="s">
        <v>48</v>
      </c>
      <c r="D213" s="78" t="s">
        <v>48</v>
      </c>
      <c r="E213" s="78" t="s">
        <v>48</v>
      </c>
      <c r="F213" s="78" t="s">
        <v>48</v>
      </c>
      <c r="G213" s="36">
        <v>2195</v>
      </c>
      <c r="H213" s="78" t="s">
        <v>48</v>
      </c>
      <c r="I213" s="78" t="s">
        <v>48</v>
      </c>
      <c r="J213" s="78" t="s">
        <v>48</v>
      </c>
      <c r="K213" s="78" t="s">
        <v>48</v>
      </c>
      <c r="L213" s="36">
        <v>2138</v>
      </c>
      <c r="M213" s="78" t="s">
        <v>48</v>
      </c>
      <c r="N213" s="78" t="s">
        <v>48</v>
      </c>
      <c r="O213" s="78" t="s">
        <v>48</v>
      </c>
      <c r="P213" s="78" t="s">
        <v>48</v>
      </c>
      <c r="Q213" s="36">
        <v>2134</v>
      </c>
      <c r="R213" s="78" t="s">
        <v>48</v>
      </c>
      <c r="S213" s="78" t="s">
        <v>48</v>
      </c>
      <c r="T213" s="78" t="s">
        <v>48</v>
      </c>
      <c r="U213" s="78" t="s">
        <v>48</v>
      </c>
      <c r="V213" s="36">
        <v>1871</v>
      </c>
      <c r="W213" s="78" t="s">
        <v>48</v>
      </c>
      <c r="X213" s="78" t="s">
        <v>48</v>
      </c>
      <c r="Y213" s="78" t="s">
        <v>48</v>
      </c>
      <c r="Z213" s="78" t="s">
        <v>48</v>
      </c>
      <c r="AA213" s="36">
        <v>1914</v>
      </c>
      <c r="AB213" s="78" t="s">
        <v>48</v>
      </c>
      <c r="AC213" s="78" t="s">
        <v>48</v>
      </c>
      <c r="AD213" s="78" t="s">
        <v>48</v>
      </c>
      <c r="AE213" s="78" t="s">
        <v>48</v>
      </c>
      <c r="AF213" s="36">
        <v>1873</v>
      </c>
      <c r="AG213" s="78" t="s">
        <v>48</v>
      </c>
      <c r="AH213" s="78" t="s">
        <v>48</v>
      </c>
      <c r="AI213" s="78" t="s">
        <v>48</v>
      </c>
      <c r="AJ213" s="78" t="s">
        <v>48</v>
      </c>
      <c r="AK213" s="36">
        <v>1819</v>
      </c>
      <c r="AL213" s="78" t="s">
        <v>48</v>
      </c>
      <c r="AM213" s="78" t="s">
        <v>48</v>
      </c>
      <c r="AN213" s="78" t="s">
        <v>48</v>
      </c>
      <c r="AO213" s="78" t="s">
        <v>48</v>
      </c>
      <c r="AP213" s="36">
        <v>1900</v>
      </c>
      <c r="AQ213" s="78" t="s">
        <v>48</v>
      </c>
      <c r="AR213" s="78" t="s">
        <v>48</v>
      </c>
      <c r="AS213" s="78" t="s">
        <v>48</v>
      </c>
      <c r="AT213" s="78" t="s">
        <v>48</v>
      </c>
      <c r="AU213" s="36">
        <v>2054</v>
      </c>
      <c r="AV213" s="78" t="s">
        <v>48</v>
      </c>
      <c r="AW213" s="78" t="s">
        <v>48</v>
      </c>
      <c r="AX213" s="78" t="s">
        <v>48</v>
      </c>
      <c r="AY213" s="78" t="s">
        <v>48</v>
      </c>
      <c r="AZ213" s="36">
        <v>2012</v>
      </c>
      <c r="BA213" s="78" t="s">
        <v>48</v>
      </c>
      <c r="BB213" s="78" t="s">
        <v>48</v>
      </c>
      <c r="BC213" s="78" t="s">
        <v>48</v>
      </c>
      <c r="BD213" s="78" t="s">
        <v>48</v>
      </c>
      <c r="BE213" s="36">
        <v>2095</v>
      </c>
      <c r="BF213" s="78" t="s">
        <v>48</v>
      </c>
      <c r="BG213" s="78" t="s">
        <v>48</v>
      </c>
      <c r="BH213" s="78" t="s">
        <v>48</v>
      </c>
      <c r="BI213" s="78" t="s">
        <v>48</v>
      </c>
      <c r="BJ213" s="36">
        <v>2044</v>
      </c>
      <c r="BK213" s="78" t="s">
        <v>48</v>
      </c>
    </row>
    <row r="214" spans="1:63" ht="9" customHeight="1">
      <c r="A214" s="69" t="s">
        <v>132</v>
      </c>
      <c r="B214" s="23"/>
      <c r="C214" s="71"/>
      <c r="D214" s="71"/>
      <c r="E214" s="71"/>
      <c r="F214" s="71"/>
      <c r="G214" s="23">
        <f>G213/G192</f>
        <v>0.46622865598567986</v>
      </c>
      <c r="H214" s="71"/>
      <c r="I214" s="71"/>
      <c r="J214" s="71"/>
      <c r="K214" s="71"/>
      <c r="L214" s="23">
        <f>L213/L192</f>
        <v>0.4031680181029606</v>
      </c>
      <c r="M214" s="71"/>
      <c r="N214" s="71"/>
      <c r="O214" s="71"/>
      <c r="P214" s="71"/>
      <c r="Q214" s="23">
        <f>Q213/Q192</f>
        <v>0.40547216416492493</v>
      </c>
      <c r="R214" s="71"/>
      <c r="S214" s="71"/>
      <c r="T214" s="71"/>
      <c r="U214" s="71"/>
      <c r="V214" s="23">
        <f>V213/V192</f>
        <v>0.40253872633390708</v>
      </c>
      <c r="W214" s="71"/>
      <c r="X214" s="71"/>
      <c r="Y214" s="71"/>
      <c r="Z214" s="71"/>
      <c r="AA214" s="23">
        <f>AA213/AA192</f>
        <v>0.41339092872570193</v>
      </c>
      <c r="AB214" s="71"/>
      <c r="AC214" s="71"/>
      <c r="AD214" s="71"/>
      <c r="AE214" s="71"/>
      <c r="AF214" s="23">
        <f>AF213/AF192</f>
        <v>0.41826708351942832</v>
      </c>
      <c r="AG214" s="71"/>
      <c r="AH214" s="71"/>
      <c r="AI214" s="71"/>
      <c r="AJ214" s="71"/>
      <c r="AK214" s="23">
        <f>AK213/AK192</f>
        <v>0.42135742413713229</v>
      </c>
      <c r="AL214" s="71"/>
      <c r="AM214" s="71"/>
      <c r="AN214" s="71"/>
      <c r="AO214" s="71"/>
      <c r="AP214" s="23">
        <f>AP213/AP192</f>
        <v>0.43113228953936916</v>
      </c>
      <c r="AQ214" s="71"/>
      <c r="AR214" s="71"/>
      <c r="AS214" s="71"/>
      <c r="AT214" s="71"/>
      <c r="AU214" s="23">
        <f>AU213/AU192</f>
        <v>0.46862879306411132</v>
      </c>
      <c r="AV214" s="71"/>
      <c r="AW214" s="71"/>
      <c r="AX214" s="71"/>
      <c r="AY214" s="71"/>
      <c r="AZ214" s="23">
        <v>0.47408105560791708</v>
      </c>
      <c r="BA214" s="71"/>
      <c r="BB214" s="71"/>
      <c r="BC214" s="71"/>
      <c r="BD214" s="71"/>
      <c r="BE214" s="23">
        <v>0.49928503336510965</v>
      </c>
      <c r="BF214" s="71"/>
      <c r="BG214" s="71"/>
      <c r="BH214" s="71"/>
      <c r="BI214" s="71"/>
      <c r="BJ214" s="23">
        <v>0.50184139454947219</v>
      </c>
      <c r="BK214" s="71"/>
    </row>
    <row r="215" spans="1:63" ht="11.25" customHeight="1">
      <c r="A215" s="39" t="s">
        <v>71</v>
      </c>
      <c r="B215" s="40"/>
      <c r="C215" s="41"/>
      <c r="D215" s="41"/>
      <c r="E215" s="41"/>
      <c r="F215" s="41"/>
      <c r="G215" s="40"/>
      <c r="H215" s="41"/>
      <c r="I215" s="41"/>
      <c r="J215" s="41"/>
      <c r="K215" s="41"/>
      <c r="L215" s="40"/>
      <c r="M215" s="41"/>
      <c r="N215" s="41"/>
      <c r="O215" s="41"/>
      <c r="P215" s="41"/>
      <c r="Q215" s="40"/>
      <c r="R215" s="41"/>
      <c r="S215" s="41"/>
      <c r="T215" s="41"/>
      <c r="U215" s="41"/>
      <c r="V215" s="40"/>
      <c r="W215" s="41"/>
      <c r="X215" s="41"/>
      <c r="Y215" s="41"/>
      <c r="Z215" s="41"/>
      <c r="AA215" s="40"/>
      <c r="AB215" s="41"/>
      <c r="AC215" s="41"/>
      <c r="AD215" s="41"/>
      <c r="AE215" s="41"/>
      <c r="AF215" s="40"/>
      <c r="AG215" s="41"/>
      <c r="AH215" s="41"/>
      <c r="AI215" s="41"/>
      <c r="AJ215" s="41"/>
      <c r="AK215" s="40"/>
      <c r="AL215" s="41"/>
      <c r="AM215" s="41"/>
      <c r="AN215" s="41"/>
      <c r="AO215" s="41"/>
      <c r="AP215" s="40"/>
      <c r="AQ215" s="41"/>
      <c r="AR215" s="41"/>
      <c r="AS215" s="41"/>
      <c r="AT215" s="41"/>
      <c r="AU215" s="40"/>
      <c r="AV215" s="41"/>
      <c r="AW215" s="41"/>
      <c r="AX215" s="41"/>
      <c r="AY215" s="41"/>
      <c r="AZ215" s="40"/>
      <c r="BA215" s="41"/>
      <c r="BB215" s="41"/>
      <c r="BC215" s="41"/>
      <c r="BD215" s="41"/>
      <c r="BE215" s="40"/>
      <c r="BF215" s="41"/>
      <c r="BG215" s="41"/>
      <c r="BH215" s="41"/>
      <c r="BI215" s="41"/>
      <c r="BJ215" s="40"/>
      <c r="BK215" s="41"/>
    </row>
    <row r="216" spans="1:63" s="35" customFormat="1">
      <c r="A216" s="67" t="s">
        <v>11</v>
      </c>
      <c r="B216" s="36">
        <v>941</v>
      </c>
      <c r="C216" s="68">
        <v>218</v>
      </c>
      <c r="D216" s="68">
        <v>211</v>
      </c>
      <c r="E216" s="68">
        <v>214</v>
      </c>
      <c r="F216" s="68">
        <f>G216-E216-D216-C216</f>
        <v>209</v>
      </c>
      <c r="G216" s="36">
        <v>852</v>
      </c>
      <c r="H216" s="68">
        <v>211</v>
      </c>
      <c r="I216" s="68">
        <v>205</v>
      </c>
      <c r="J216" s="68">
        <v>184</v>
      </c>
      <c r="K216" s="68">
        <f>L216-J216-I216-H216</f>
        <v>194</v>
      </c>
      <c r="L216" s="36">
        <v>794</v>
      </c>
      <c r="M216" s="68">
        <v>170</v>
      </c>
      <c r="N216" s="68">
        <v>171</v>
      </c>
      <c r="O216" s="68">
        <v>171</v>
      </c>
      <c r="P216" s="68">
        <f>Q216-O216-N216-M216</f>
        <v>178</v>
      </c>
      <c r="Q216" s="36">
        <v>690</v>
      </c>
      <c r="R216" s="68">
        <v>162</v>
      </c>
      <c r="S216" s="68">
        <v>171</v>
      </c>
      <c r="T216" s="68">
        <v>180</v>
      </c>
      <c r="U216" s="68">
        <f>V216-T216-S216-R216</f>
        <v>175</v>
      </c>
      <c r="V216" s="36">
        <v>688</v>
      </c>
      <c r="W216" s="68">
        <v>178</v>
      </c>
      <c r="X216" s="68">
        <v>178</v>
      </c>
      <c r="Y216" s="68">
        <v>185</v>
      </c>
      <c r="Z216" s="68">
        <f>AA216-Y216-X216-W216</f>
        <v>189</v>
      </c>
      <c r="AA216" s="36">
        <v>730</v>
      </c>
      <c r="AB216" s="68">
        <v>167</v>
      </c>
      <c r="AC216" s="68">
        <v>168</v>
      </c>
      <c r="AD216" s="68">
        <v>174</v>
      </c>
      <c r="AE216" s="68">
        <f>AF216-AD216-AC216-AB216</f>
        <v>174</v>
      </c>
      <c r="AF216" s="36">
        <v>683</v>
      </c>
      <c r="AG216" s="68">
        <v>168</v>
      </c>
      <c r="AH216" s="68">
        <v>172</v>
      </c>
      <c r="AI216" s="68">
        <v>178</v>
      </c>
      <c r="AJ216" s="68">
        <f>AK216-AI216-AH216-AG216</f>
        <v>170</v>
      </c>
      <c r="AK216" s="36">
        <v>688</v>
      </c>
      <c r="AL216" s="68">
        <v>176</v>
      </c>
      <c r="AM216" s="68">
        <v>180</v>
      </c>
      <c r="AN216" s="68">
        <v>184</v>
      </c>
      <c r="AO216" s="68">
        <f>AP216-AN216-AM216-AL216</f>
        <v>185</v>
      </c>
      <c r="AP216" s="36">
        <v>725</v>
      </c>
      <c r="AQ216" s="68">
        <v>183</v>
      </c>
      <c r="AR216" s="68">
        <v>185</v>
      </c>
      <c r="AS216" s="68">
        <v>188</v>
      </c>
      <c r="AT216" s="68">
        <f>AU216-AS216-AR216-AQ216</f>
        <v>161</v>
      </c>
      <c r="AU216" s="36">
        <v>717</v>
      </c>
      <c r="AV216" s="68">
        <v>180</v>
      </c>
      <c r="AW216" s="68">
        <v>177</v>
      </c>
      <c r="AX216" s="68">
        <v>186</v>
      </c>
      <c r="AY216" s="68">
        <f>AZ216-AX216-AW216-AV216</f>
        <v>185</v>
      </c>
      <c r="AZ216" s="36">
        <v>728</v>
      </c>
      <c r="BA216" s="68">
        <v>204</v>
      </c>
      <c r="BB216" s="68">
        <v>211</v>
      </c>
      <c r="BC216" s="68">
        <v>218</v>
      </c>
      <c r="BD216" s="68">
        <v>217</v>
      </c>
      <c r="BE216" s="36">
        <v>850</v>
      </c>
      <c r="BF216" s="68">
        <v>207</v>
      </c>
      <c r="BG216" s="68">
        <v>204</v>
      </c>
      <c r="BH216" s="68">
        <v>225</v>
      </c>
      <c r="BI216" s="68">
        <v>225</v>
      </c>
      <c r="BJ216" s="36">
        <v>861</v>
      </c>
      <c r="BK216" s="68">
        <v>212</v>
      </c>
    </row>
    <row r="217" spans="1:63" ht="9.75" customHeight="1">
      <c r="A217" s="69" t="s">
        <v>7</v>
      </c>
      <c r="B217" s="23"/>
      <c r="C217" s="70"/>
      <c r="D217" s="70">
        <f>D216/C216-1</f>
        <v>-3.2110091743119296E-2</v>
      </c>
      <c r="E217" s="70">
        <f>E216/D216-1</f>
        <v>1.4218009478673022E-2</v>
      </c>
      <c r="F217" s="70">
        <f>F216/E216-1</f>
        <v>-2.3364485981308358E-2</v>
      </c>
      <c r="G217" s="23"/>
      <c r="H217" s="70">
        <f>H216/F216-1</f>
        <v>9.5693779904306719E-3</v>
      </c>
      <c r="I217" s="70">
        <f>I216/H216-1</f>
        <v>-2.8436018957345932E-2</v>
      </c>
      <c r="J217" s="70">
        <f>J216/I216-1</f>
        <v>-0.10243902439024388</v>
      </c>
      <c r="K217" s="70">
        <f>K216/J216-1</f>
        <v>5.4347826086956541E-2</v>
      </c>
      <c r="L217" s="23"/>
      <c r="M217" s="70">
        <f>M216/K216-1</f>
        <v>-0.12371134020618557</v>
      </c>
      <c r="N217" s="70">
        <f>N216/M216-1</f>
        <v>5.8823529411764497E-3</v>
      </c>
      <c r="O217" s="70">
        <f>O216/N216-1</f>
        <v>0</v>
      </c>
      <c r="P217" s="70">
        <f>P216/O216-1</f>
        <v>4.0935672514619936E-2</v>
      </c>
      <c r="Q217" s="23"/>
      <c r="R217" s="70">
        <f>R216/P216-1</f>
        <v>-8.98876404494382E-2</v>
      </c>
      <c r="S217" s="70">
        <f>S216/R216-1</f>
        <v>5.555555555555558E-2</v>
      </c>
      <c r="T217" s="70">
        <f>T216/S216-1</f>
        <v>5.2631578947368363E-2</v>
      </c>
      <c r="U217" s="70">
        <f>U216/T216-1</f>
        <v>-2.777777777777779E-2</v>
      </c>
      <c r="V217" s="23"/>
      <c r="W217" s="70">
        <f>W216/U216-1</f>
        <v>1.7142857142857126E-2</v>
      </c>
      <c r="X217" s="70">
        <f>X216/W216-1</f>
        <v>0</v>
      </c>
      <c r="Y217" s="70">
        <f>Y216/X216-1</f>
        <v>3.9325842696629199E-2</v>
      </c>
      <c r="Z217" s="70">
        <f>Z216/Y216-1</f>
        <v>2.1621621621621623E-2</v>
      </c>
      <c r="AA217" s="23"/>
      <c r="AB217" s="70">
        <f>AB216/Z216-1</f>
        <v>-0.1164021164021164</v>
      </c>
      <c r="AC217" s="70">
        <f>AC216/AB216-1</f>
        <v>5.9880239520957446E-3</v>
      </c>
      <c r="AD217" s="70">
        <f>AD216/AC216-1</f>
        <v>3.5714285714285809E-2</v>
      </c>
      <c r="AE217" s="70">
        <f>AE216/AD216-1</f>
        <v>0</v>
      </c>
      <c r="AF217" s="23"/>
      <c r="AG217" s="70">
        <f>AG216/AE216-1</f>
        <v>-3.4482758620689613E-2</v>
      </c>
      <c r="AH217" s="70">
        <f>AH216/AG216-1</f>
        <v>2.3809523809523725E-2</v>
      </c>
      <c r="AI217" s="70">
        <f>AI216/AH216-1</f>
        <v>3.488372093023262E-2</v>
      </c>
      <c r="AJ217" s="70">
        <f>AJ216/AI216-1</f>
        <v>-4.49438202247191E-2</v>
      </c>
      <c r="AK217" s="23"/>
      <c r="AL217" s="70">
        <f>AL216/AJ216-1</f>
        <v>3.529411764705892E-2</v>
      </c>
      <c r="AM217" s="70">
        <f>AM216/AL216-1</f>
        <v>2.2727272727272707E-2</v>
      </c>
      <c r="AN217" s="70">
        <f>AN216/AM216-1</f>
        <v>2.2222222222222143E-2</v>
      </c>
      <c r="AO217" s="70">
        <f>AO216/AN216-1</f>
        <v>5.4347826086955653E-3</v>
      </c>
      <c r="AP217" s="23"/>
      <c r="AQ217" s="70">
        <f>AQ216/AO216-1</f>
        <v>-1.0810810810810811E-2</v>
      </c>
      <c r="AR217" s="70">
        <f>AR216/AQ216-1</f>
        <v>1.0928961748633892E-2</v>
      </c>
      <c r="AS217" s="70">
        <f>AS216/AR216-1</f>
        <v>1.6216216216216273E-2</v>
      </c>
      <c r="AT217" s="70">
        <f>AT216/AS216-1</f>
        <v>-0.1436170212765957</v>
      </c>
      <c r="AU217" s="23"/>
      <c r="AV217" s="70">
        <f>AV216/AT216-1</f>
        <v>0.11801242236024834</v>
      </c>
      <c r="AW217" s="70">
        <f>AW216/AV216-1</f>
        <v>-1.6666666666666718E-2</v>
      </c>
      <c r="AX217" s="70">
        <f>AX216/AW216-1</f>
        <v>5.0847457627118731E-2</v>
      </c>
      <c r="AY217" s="70">
        <f>AY216/AX216-1</f>
        <v>-5.3763440860215006E-3</v>
      </c>
      <c r="AZ217" s="23"/>
      <c r="BA217" s="70">
        <v>0.10270270270270276</v>
      </c>
      <c r="BB217" s="70">
        <v>3.4313725490196179E-2</v>
      </c>
      <c r="BC217" s="70">
        <v>3.3175355450236976E-2</v>
      </c>
      <c r="BD217" s="70">
        <v>-4.5871559633027248E-3</v>
      </c>
      <c r="BE217" s="23"/>
      <c r="BF217" s="70">
        <v>-4.6082949308755783E-2</v>
      </c>
      <c r="BG217" s="70">
        <v>-1.4492753623188359E-2</v>
      </c>
      <c r="BH217" s="70">
        <v>0.10294117647058831</v>
      </c>
      <c r="BI217" s="70">
        <v>0</v>
      </c>
      <c r="BJ217" s="23"/>
      <c r="BK217" s="70">
        <v>-5.7777777777777817E-2</v>
      </c>
    </row>
    <row r="218" spans="1:63" ht="10.5" customHeight="1">
      <c r="A218" s="69" t="s">
        <v>8</v>
      </c>
      <c r="B218" s="23"/>
      <c r="C218" s="71"/>
      <c r="D218" s="71"/>
      <c r="E218" s="71"/>
      <c r="F218" s="71"/>
      <c r="G218" s="23">
        <f t="shared" ref="G218:N218" si="318">G216/B216-1</f>
        <v>-9.4580233793836399E-2</v>
      </c>
      <c r="H218" s="71">
        <f t="shared" si="318"/>
        <v>-3.2110091743119296E-2</v>
      </c>
      <c r="I218" s="71">
        <f t="shared" si="318"/>
        <v>-2.8436018957345932E-2</v>
      </c>
      <c r="J218" s="71">
        <f t="shared" si="318"/>
        <v>-0.14018691588785048</v>
      </c>
      <c r="K218" s="71">
        <f t="shared" si="318"/>
        <v>-7.1770334928229707E-2</v>
      </c>
      <c r="L218" s="23">
        <f t="shared" si="318"/>
        <v>-6.8075117370892002E-2</v>
      </c>
      <c r="M218" s="71">
        <f t="shared" si="318"/>
        <v>-0.19431279620853081</v>
      </c>
      <c r="N218" s="71">
        <f t="shared" si="318"/>
        <v>-0.1658536585365854</v>
      </c>
      <c r="O218" s="71">
        <f t="shared" ref="O218:Y218" si="319">O216/J216-1</f>
        <v>-7.0652173913043459E-2</v>
      </c>
      <c r="P218" s="71">
        <f t="shared" si="319"/>
        <v>-8.2474226804123751E-2</v>
      </c>
      <c r="Q218" s="23">
        <f t="shared" si="319"/>
        <v>-0.13098236775818639</v>
      </c>
      <c r="R218" s="71">
        <f t="shared" si="319"/>
        <v>-4.705882352941182E-2</v>
      </c>
      <c r="S218" s="71">
        <f t="shared" si="319"/>
        <v>0</v>
      </c>
      <c r="T218" s="71">
        <f t="shared" si="319"/>
        <v>5.2631578947368363E-2</v>
      </c>
      <c r="U218" s="71">
        <f t="shared" si="319"/>
        <v>-1.6853932584269704E-2</v>
      </c>
      <c r="V218" s="23">
        <f t="shared" si="319"/>
        <v>-2.8985507246376274E-3</v>
      </c>
      <c r="W218" s="71">
        <f t="shared" si="319"/>
        <v>9.8765432098765427E-2</v>
      </c>
      <c r="X218" s="71">
        <f t="shared" si="319"/>
        <v>4.0935672514619936E-2</v>
      </c>
      <c r="Y218" s="71">
        <f t="shared" si="319"/>
        <v>2.7777777777777679E-2</v>
      </c>
      <c r="Z218" s="71">
        <f t="shared" ref="Z218:AI218" si="320">Z216/U216-1</f>
        <v>8.0000000000000071E-2</v>
      </c>
      <c r="AA218" s="23">
        <f t="shared" si="320"/>
        <v>6.1046511627907085E-2</v>
      </c>
      <c r="AB218" s="71">
        <f t="shared" si="320"/>
        <v>-6.1797752808988804E-2</v>
      </c>
      <c r="AC218" s="71">
        <f t="shared" si="320"/>
        <v>-5.6179775280898903E-2</v>
      </c>
      <c r="AD218" s="71">
        <f t="shared" si="320"/>
        <v>-5.9459459459459407E-2</v>
      </c>
      <c r="AE218" s="71">
        <f t="shared" si="320"/>
        <v>-7.9365079365079416E-2</v>
      </c>
      <c r="AF218" s="23">
        <f t="shared" si="320"/>
        <v>-6.438356164383563E-2</v>
      </c>
      <c r="AG218" s="71">
        <f t="shared" si="320"/>
        <v>5.9880239520957446E-3</v>
      </c>
      <c r="AH218" s="71">
        <f t="shared" si="320"/>
        <v>2.3809523809523725E-2</v>
      </c>
      <c r="AI218" s="71">
        <f t="shared" si="320"/>
        <v>2.2988505747126409E-2</v>
      </c>
      <c r="AJ218" s="71">
        <f t="shared" ref="AJ218:AS218" si="321">AJ216/AE216-1</f>
        <v>-2.2988505747126409E-2</v>
      </c>
      <c r="AK218" s="23">
        <f t="shared" si="321"/>
        <v>7.3206442166910968E-3</v>
      </c>
      <c r="AL218" s="71">
        <f t="shared" si="321"/>
        <v>4.7619047619047672E-2</v>
      </c>
      <c r="AM218" s="71">
        <f t="shared" si="321"/>
        <v>4.6511627906976827E-2</v>
      </c>
      <c r="AN218" s="71">
        <f t="shared" si="321"/>
        <v>3.3707865168539408E-2</v>
      </c>
      <c r="AO218" s="71">
        <f t="shared" si="321"/>
        <v>8.8235294117646967E-2</v>
      </c>
      <c r="AP218" s="23">
        <f t="shared" si="321"/>
        <v>5.3779069767441845E-2</v>
      </c>
      <c r="AQ218" s="71">
        <f t="shared" si="321"/>
        <v>3.9772727272727293E-2</v>
      </c>
      <c r="AR218" s="71">
        <f t="shared" si="321"/>
        <v>2.7777777777777679E-2</v>
      </c>
      <c r="AS218" s="71">
        <f t="shared" si="321"/>
        <v>2.1739130434782705E-2</v>
      </c>
      <c r="AT218" s="71">
        <f t="shared" ref="AT218" si="322">AT216/AO216-1</f>
        <v>-0.12972972972972974</v>
      </c>
      <c r="AU218" s="23">
        <f t="shared" ref="AU218:AX218" si="323">AU216/AP216-1</f>
        <v>-1.1034482758620734E-2</v>
      </c>
      <c r="AV218" s="71">
        <f t="shared" si="323"/>
        <v>-1.6393442622950838E-2</v>
      </c>
      <c r="AW218" s="71">
        <f t="shared" si="323"/>
        <v>-4.3243243243243246E-2</v>
      </c>
      <c r="AX218" s="71">
        <f t="shared" si="323"/>
        <v>-1.0638297872340385E-2</v>
      </c>
      <c r="AY218" s="71">
        <f t="shared" ref="AY218" si="324">AY216/AT216-1</f>
        <v>0.14906832298136652</v>
      </c>
      <c r="AZ218" s="23">
        <v>1.5341701534170138E-2</v>
      </c>
      <c r="BA218" s="71">
        <v>0.1333333333333333</v>
      </c>
      <c r="BB218" s="71">
        <v>0.19209039548022599</v>
      </c>
      <c r="BC218" s="71">
        <v>0.17204301075268824</v>
      </c>
      <c r="BD218" s="71">
        <v>0.17297297297297298</v>
      </c>
      <c r="BE218" s="23">
        <v>0.16758241758241765</v>
      </c>
      <c r="BF218" s="71">
        <v>1.4705882352941124E-2</v>
      </c>
      <c r="BG218" s="71">
        <v>-3.3175355450236976E-2</v>
      </c>
      <c r="BH218" s="71">
        <v>3.2110091743119185E-2</v>
      </c>
      <c r="BI218" s="71">
        <v>3.6866359447004671E-2</v>
      </c>
      <c r="BJ218" s="23">
        <v>1.2941176470588234E-2</v>
      </c>
      <c r="BK218" s="71">
        <v>2.4154589371980784E-2</v>
      </c>
    </row>
    <row r="219" spans="1:63" ht="10.5" customHeight="1">
      <c r="A219" s="67" t="s">
        <v>91</v>
      </c>
      <c r="B219" s="36">
        <v>1293</v>
      </c>
      <c r="C219" s="78" t="s">
        <v>48</v>
      </c>
      <c r="D219" s="78" t="s">
        <v>48</v>
      </c>
      <c r="E219" s="78" t="s">
        <v>48</v>
      </c>
      <c r="F219" s="78" t="s">
        <v>48</v>
      </c>
      <c r="G219" s="36">
        <v>1202</v>
      </c>
      <c r="H219" s="68">
        <v>278</v>
      </c>
      <c r="I219" s="68">
        <v>264</v>
      </c>
      <c r="J219" s="68">
        <v>255</v>
      </c>
      <c r="K219" s="68">
        <f>L219-J219-I219-H219</f>
        <v>297</v>
      </c>
      <c r="L219" s="36">
        <v>1094</v>
      </c>
      <c r="M219" s="68">
        <v>277</v>
      </c>
      <c r="N219" s="68">
        <v>250</v>
      </c>
      <c r="O219" s="68">
        <v>256</v>
      </c>
      <c r="P219" s="68">
        <f>Q219-O219-N219-M219</f>
        <v>296</v>
      </c>
      <c r="Q219" s="36">
        <v>1079</v>
      </c>
      <c r="R219" s="68">
        <v>284</v>
      </c>
      <c r="S219" s="68">
        <v>291</v>
      </c>
      <c r="T219" s="68">
        <v>284</v>
      </c>
      <c r="U219" s="68">
        <f>V219-T219-S219-R219</f>
        <v>217</v>
      </c>
      <c r="V219" s="36">
        <v>1076</v>
      </c>
      <c r="W219" s="68">
        <v>267</v>
      </c>
      <c r="X219" s="68">
        <v>267</v>
      </c>
      <c r="Y219" s="68">
        <v>274</v>
      </c>
      <c r="Z219" s="68">
        <f>AA219-Y219-X219-W219</f>
        <v>228</v>
      </c>
      <c r="AA219" s="36">
        <v>1036</v>
      </c>
      <c r="AB219" s="68">
        <v>270</v>
      </c>
      <c r="AC219" s="68">
        <v>242</v>
      </c>
      <c r="AD219" s="68">
        <v>243</v>
      </c>
      <c r="AE219" s="68">
        <f>AF219-AD219-AC219-AB219</f>
        <v>225</v>
      </c>
      <c r="AF219" s="36">
        <v>980</v>
      </c>
      <c r="AG219" s="68">
        <v>223</v>
      </c>
      <c r="AH219" s="68">
        <v>228</v>
      </c>
      <c r="AI219" s="68">
        <v>227</v>
      </c>
      <c r="AJ219" s="68">
        <f>AK219-AI219-AH219-AG219</f>
        <v>217</v>
      </c>
      <c r="AK219" s="36">
        <v>895</v>
      </c>
      <c r="AL219" s="68">
        <v>227</v>
      </c>
      <c r="AM219" s="68">
        <v>226</v>
      </c>
      <c r="AN219" s="68">
        <v>232</v>
      </c>
      <c r="AO219" s="68">
        <f>AP219-AN219-AM219-AL219</f>
        <v>227</v>
      </c>
      <c r="AP219" s="36">
        <v>912</v>
      </c>
      <c r="AQ219" s="68">
        <v>230</v>
      </c>
      <c r="AR219" s="68">
        <v>217</v>
      </c>
      <c r="AS219" s="68">
        <v>225</v>
      </c>
      <c r="AT219" s="68">
        <f>AU219-AS219-AR219-AQ219</f>
        <v>226</v>
      </c>
      <c r="AU219" s="36">
        <v>898</v>
      </c>
      <c r="AV219" s="68">
        <v>224</v>
      </c>
      <c r="AW219" s="68">
        <v>220</v>
      </c>
      <c r="AX219" s="68">
        <v>224</v>
      </c>
      <c r="AY219" s="68">
        <f>AZ219-AX219-AW219-AV219</f>
        <v>223</v>
      </c>
      <c r="AZ219" s="36">
        <v>891</v>
      </c>
      <c r="BA219" s="68">
        <v>228</v>
      </c>
      <c r="BB219" s="68">
        <v>232</v>
      </c>
      <c r="BC219" s="68">
        <v>233</v>
      </c>
      <c r="BD219" s="68">
        <v>219</v>
      </c>
      <c r="BE219" s="36">
        <v>912</v>
      </c>
      <c r="BF219" s="68">
        <v>233</v>
      </c>
      <c r="BG219" s="68">
        <v>231</v>
      </c>
      <c r="BH219" s="68">
        <v>224</v>
      </c>
      <c r="BI219" s="68">
        <v>223</v>
      </c>
      <c r="BJ219" s="36">
        <v>911</v>
      </c>
      <c r="BK219" s="68">
        <v>229</v>
      </c>
    </row>
    <row r="220" spans="1:63" ht="9.75" customHeight="1">
      <c r="A220" s="69" t="s">
        <v>7</v>
      </c>
      <c r="B220" s="23"/>
      <c r="C220" s="71"/>
      <c r="D220" s="71"/>
      <c r="E220" s="71"/>
      <c r="F220" s="71"/>
      <c r="G220" s="23"/>
      <c r="H220" s="70"/>
      <c r="I220" s="70">
        <f>I219/H219-1</f>
        <v>-5.0359712230215847E-2</v>
      </c>
      <c r="J220" s="70">
        <f>J219/I219-1</f>
        <v>-3.4090909090909061E-2</v>
      </c>
      <c r="K220" s="70">
        <f>K219/J219-1</f>
        <v>0.16470588235294126</v>
      </c>
      <c r="L220" s="23"/>
      <c r="M220" s="70">
        <f>M219/K219-1</f>
        <v>-6.7340067340067367E-2</v>
      </c>
      <c r="N220" s="70">
        <f>N219/M219-1</f>
        <v>-9.7472924187725685E-2</v>
      </c>
      <c r="O220" s="70">
        <f>O219/N219-1</f>
        <v>2.4000000000000021E-2</v>
      </c>
      <c r="P220" s="70">
        <f>P219/O219-1</f>
        <v>0.15625</v>
      </c>
      <c r="Q220" s="23"/>
      <c r="R220" s="70">
        <f>R219/P219-1</f>
        <v>-4.0540540540540571E-2</v>
      </c>
      <c r="S220" s="70">
        <f>S219/R219-1</f>
        <v>2.464788732394374E-2</v>
      </c>
      <c r="T220" s="70">
        <f>T219/S219-1</f>
        <v>-2.4054982817869441E-2</v>
      </c>
      <c r="U220" s="70">
        <f>U219/T219-1</f>
        <v>-0.2359154929577465</v>
      </c>
      <c r="V220" s="23"/>
      <c r="W220" s="70">
        <f>W219/U219-1</f>
        <v>0.23041474654377869</v>
      </c>
      <c r="X220" s="70">
        <f>X219/W219-1</f>
        <v>0</v>
      </c>
      <c r="Y220" s="70">
        <f>Y219/X219-1</f>
        <v>2.621722846441954E-2</v>
      </c>
      <c r="Z220" s="70">
        <f>Z219/Y219-1</f>
        <v>-0.16788321167883213</v>
      </c>
      <c r="AA220" s="23"/>
      <c r="AB220" s="70">
        <f>AB219/Z219-1</f>
        <v>0.18421052631578938</v>
      </c>
      <c r="AC220" s="70">
        <f>AC219/AB219-1</f>
        <v>-0.10370370370370374</v>
      </c>
      <c r="AD220" s="70">
        <f>AD219/AC219-1</f>
        <v>4.1322314049587749E-3</v>
      </c>
      <c r="AE220" s="70">
        <f>AE219/AD219-1</f>
        <v>-7.407407407407407E-2</v>
      </c>
      <c r="AF220" s="23"/>
      <c r="AG220" s="70">
        <f>AG219/AE219-1</f>
        <v>-8.8888888888888351E-3</v>
      </c>
      <c r="AH220" s="70">
        <f>AH219/AG219-1</f>
        <v>2.2421524663677195E-2</v>
      </c>
      <c r="AI220" s="70">
        <f>AI219/AH219-1</f>
        <v>-4.3859649122807154E-3</v>
      </c>
      <c r="AJ220" s="70">
        <f>AJ219/AI219-1</f>
        <v>-4.4052863436123357E-2</v>
      </c>
      <c r="AK220" s="23"/>
      <c r="AL220" s="70">
        <f>AL219/AJ219-1</f>
        <v>4.6082949308755783E-2</v>
      </c>
      <c r="AM220" s="70">
        <f>AM219/AL219-1</f>
        <v>-4.405286343612369E-3</v>
      </c>
      <c r="AN220" s="70">
        <f>AN219/AM219-1</f>
        <v>2.6548672566371723E-2</v>
      </c>
      <c r="AO220" s="70">
        <f>AO219/AN219-1</f>
        <v>-2.155172413793105E-2</v>
      </c>
      <c r="AP220" s="23"/>
      <c r="AQ220" s="70">
        <f>AQ219/AO219-1</f>
        <v>1.3215859030837107E-2</v>
      </c>
      <c r="AR220" s="70">
        <f>AR219/AQ219-1</f>
        <v>-5.6521739130434789E-2</v>
      </c>
      <c r="AS220" s="70">
        <f>AS219/AR219-1</f>
        <v>3.6866359447004671E-2</v>
      </c>
      <c r="AT220" s="70">
        <f>AT219/AS219-1</f>
        <v>4.4444444444444731E-3</v>
      </c>
      <c r="AU220" s="23"/>
      <c r="AV220" s="70">
        <f>AV219/AT219-1</f>
        <v>-8.8495575221239076E-3</v>
      </c>
      <c r="AW220" s="70">
        <f>AW219/AV219-1</f>
        <v>-1.7857142857142905E-2</v>
      </c>
      <c r="AX220" s="70">
        <f>AX219/AW219-1</f>
        <v>1.8181818181818077E-2</v>
      </c>
      <c r="AY220" s="70">
        <f>AY219/AX219-1</f>
        <v>-4.4642857142856984E-3</v>
      </c>
      <c r="AZ220" s="23"/>
      <c r="BA220" s="70">
        <v>2.2421524663677195E-2</v>
      </c>
      <c r="BB220" s="70">
        <v>1.7543859649122862E-2</v>
      </c>
      <c r="BC220" s="70">
        <v>4.3103448275862988E-3</v>
      </c>
      <c r="BD220" s="70">
        <v>-6.0085836909871237E-2</v>
      </c>
      <c r="BE220" s="23"/>
      <c r="BF220" s="70">
        <v>6.3926940639269514E-2</v>
      </c>
      <c r="BG220" s="70">
        <v>-8.5836909871244149E-3</v>
      </c>
      <c r="BH220" s="70">
        <v>-3.0303030303030276E-2</v>
      </c>
      <c r="BI220" s="70">
        <v>-4.4642857142856984E-3</v>
      </c>
      <c r="BJ220" s="23"/>
      <c r="BK220" s="70">
        <v>2.6905829596412634E-2</v>
      </c>
    </row>
    <row r="221" spans="1:63" ht="10.5" customHeight="1">
      <c r="A221" s="69" t="s">
        <v>8</v>
      </c>
      <c r="B221" s="23"/>
      <c r="C221" s="71"/>
      <c r="D221" s="71"/>
      <c r="E221" s="71"/>
      <c r="F221" s="71"/>
      <c r="G221" s="23">
        <f>G219/B219-1</f>
        <v>-7.0378963650425397E-2</v>
      </c>
      <c r="H221" s="68"/>
      <c r="I221" s="68"/>
      <c r="J221" s="68"/>
      <c r="K221" s="68"/>
      <c r="L221" s="23">
        <f t="shared" ref="L221:Y221" si="325">L219/G219-1</f>
        <v>-8.9850249584026654E-2</v>
      </c>
      <c r="M221" s="71">
        <f t="shared" si="325"/>
        <v>-3.597122302158251E-3</v>
      </c>
      <c r="N221" s="71">
        <f t="shared" si="325"/>
        <v>-5.3030303030302983E-2</v>
      </c>
      <c r="O221" s="71">
        <f t="shared" si="325"/>
        <v>3.9215686274509665E-3</v>
      </c>
      <c r="P221" s="71">
        <f t="shared" si="325"/>
        <v>-3.3670033670033517E-3</v>
      </c>
      <c r="Q221" s="23">
        <f t="shared" si="325"/>
        <v>-1.3711151736745864E-2</v>
      </c>
      <c r="R221" s="71">
        <f t="shared" si="325"/>
        <v>2.5270758122743597E-2</v>
      </c>
      <c r="S221" s="71">
        <f t="shared" si="325"/>
        <v>0.16399999999999992</v>
      </c>
      <c r="T221" s="71">
        <f t="shared" si="325"/>
        <v>0.109375</v>
      </c>
      <c r="U221" s="71">
        <f t="shared" si="325"/>
        <v>-0.26689189189189189</v>
      </c>
      <c r="V221" s="23">
        <f t="shared" si="325"/>
        <v>-2.780352177942591E-3</v>
      </c>
      <c r="W221" s="71">
        <f t="shared" si="325"/>
        <v>-5.9859154929577496E-2</v>
      </c>
      <c r="X221" s="71">
        <f t="shared" si="325"/>
        <v>-8.2474226804123751E-2</v>
      </c>
      <c r="Y221" s="71">
        <f t="shared" si="325"/>
        <v>-3.5211267605633756E-2</v>
      </c>
      <c r="Z221" s="71">
        <f t="shared" ref="Z221:AI221" si="326">Z219/U219-1</f>
        <v>5.0691244239631228E-2</v>
      </c>
      <c r="AA221" s="23">
        <f t="shared" si="326"/>
        <v>-3.7174721189591087E-2</v>
      </c>
      <c r="AB221" s="71">
        <f t="shared" si="326"/>
        <v>1.1235955056179803E-2</v>
      </c>
      <c r="AC221" s="71">
        <f t="shared" si="326"/>
        <v>-9.3632958801498134E-2</v>
      </c>
      <c r="AD221" s="71">
        <f t="shared" si="326"/>
        <v>-0.11313868613138689</v>
      </c>
      <c r="AE221" s="71">
        <f t="shared" si="326"/>
        <v>-1.3157894736842146E-2</v>
      </c>
      <c r="AF221" s="23">
        <f t="shared" si="326"/>
        <v>-5.4054054054054057E-2</v>
      </c>
      <c r="AG221" s="71">
        <f t="shared" si="326"/>
        <v>-0.17407407407407405</v>
      </c>
      <c r="AH221" s="71">
        <f t="shared" si="326"/>
        <v>-5.7851239669421517E-2</v>
      </c>
      <c r="AI221" s="71">
        <f t="shared" si="326"/>
        <v>-6.5843621399176988E-2</v>
      </c>
      <c r="AJ221" s="71">
        <f t="shared" ref="AJ221:AS221" si="327">AJ219/AE219-1</f>
        <v>-3.5555555555555562E-2</v>
      </c>
      <c r="AK221" s="23">
        <f t="shared" si="327"/>
        <v>-8.6734693877551061E-2</v>
      </c>
      <c r="AL221" s="71">
        <f t="shared" si="327"/>
        <v>1.7937219730941756E-2</v>
      </c>
      <c r="AM221" s="71">
        <f t="shared" si="327"/>
        <v>-8.7719298245614308E-3</v>
      </c>
      <c r="AN221" s="71">
        <f t="shared" si="327"/>
        <v>2.2026431718061623E-2</v>
      </c>
      <c r="AO221" s="71">
        <f t="shared" si="327"/>
        <v>4.6082949308755783E-2</v>
      </c>
      <c r="AP221" s="23">
        <f t="shared" si="327"/>
        <v>1.8994413407821265E-2</v>
      </c>
      <c r="AQ221" s="71">
        <f t="shared" si="327"/>
        <v>1.3215859030837107E-2</v>
      </c>
      <c r="AR221" s="71">
        <f t="shared" si="327"/>
        <v>-3.9823008849557473E-2</v>
      </c>
      <c r="AS221" s="71">
        <f t="shared" si="327"/>
        <v>-3.0172413793103425E-2</v>
      </c>
      <c r="AT221" s="71">
        <f t="shared" ref="AT221" si="328">AT219/AO219-1</f>
        <v>-4.405286343612369E-3</v>
      </c>
      <c r="AU221" s="23">
        <f t="shared" ref="AU221:AX221" si="329">AU219/AP219-1</f>
        <v>-1.5350877192982448E-2</v>
      </c>
      <c r="AV221" s="71">
        <f t="shared" si="329"/>
        <v>-2.6086956521739091E-2</v>
      </c>
      <c r="AW221" s="71">
        <f t="shared" si="329"/>
        <v>1.3824884792626779E-2</v>
      </c>
      <c r="AX221" s="71">
        <f t="shared" si="329"/>
        <v>-4.4444444444444731E-3</v>
      </c>
      <c r="AY221" s="71">
        <f t="shared" ref="AY221" si="330">AY219/AT219-1</f>
        <v>-1.3274336283185861E-2</v>
      </c>
      <c r="AZ221" s="23">
        <v>-7.7951002227171218E-3</v>
      </c>
      <c r="BA221" s="71">
        <v>1.7857142857142794E-2</v>
      </c>
      <c r="BB221" s="71">
        <v>5.4545454545454453E-2</v>
      </c>
      <c r="BC221" s="71">
        <v>4.0178571428571397E-2</v>
      </c>
      <c r="BD221" s="71">
        <v>-1.7937219730941756E-2</v>
      </c>
      <c r="BE221" s="23">
        <v>2.3569023569023573E-2</v>
      </c>
      <c r="BF221" s="71">
        <v>2.1929824561403466E-2</v>
      </c>
      <c r="BG221" s="71">
        <v>-4.3103448275861878E-3</v>
      </c>
      <c r="BH221" s="71">
        <v>-3.8626609442060089E-2</v>
      </c>
      <c r="BI221" s="71">
        <v>1.8264840182648401E-2</v>
      </c>
      <c r="BJ221" s="23">
        <v>-1.0964912280702066E-3</v>
      </c>
      <c r="BK221" s="71">
        <v>-1.7167381974248941E-2</v>
      </c>
    </row>
    <row r="222" spans="1:63" ht="12.6" customHeight="1">
      <c r="A222" s="67" t="s">
        <v>255</v>
      </c>
      <c r="B222" s="36">
        <v>39</v>
      </c>
      <c r="C222" s="78" t="s">
        <v>48</v>
      </c>
      <c r="D222" s="78" t="s">
        <v>48</v>
      </c>
      <c r="E222" s="78" t="s">
        <v>48</v>
      </c>
      <c r="F222" s="78" t="s">
        <v>48</v>
      </c>
      <c r="G222" s="36">
        <v>96</v>
      </c>
      <c r="H222" s="182">
        <v>-20</v>
      </c>
      <c r="I222" s="182">
        <v>4</v>
      </c>
      <c r="J222" s="182">
        <v>-38</v>
      </c>
      <c r="K222" s="182">
        <f>L222-J222-I222-H222</f>
        <v>256</v>
      </c>
      <c r="L222" s="36">
        <v>202</v>
      </c>
      <c r="M222" s="182">
        <v>-25</v>
      </c>
      <c r="N222" s="182">
        <v>-13</v>
      </c>
      <c r="O222" s="182">
        <v>-59</v>
      </c>
      <c r="P222" s="182">
        <f>Q222-O222-N222-M222</f>
        <v>-61</v>
      </c>
      <c r="Q222" s="174">
        <v>-158</v>
      </c>
      <c r="R222" s="182">
        <v>250</v>
      </c>
      <c r="S222" s="182">
        <v>-62</v>
      </c>
      <c r="T222" s="182">
        <v>-106</v>
      </c>
      <c r="U222" s="182">
        <f>V222-T222-S222-R222</f>
        <v>57</v>
      </c>
      <c r="V222" s="36">
        <v>139</v>
      </c>
      <c r="W222" s="182">
        <v>-22</v>
      </c>
      <c r="X222" s="182">
        <v>16</v>
      </c>
      <c r="Y222" s="182">
        <v>-7</v>
      </c>
      <c r="Z222" s="182">
        <f>AA222-Y222-X222-W222</f>
        <v>-115</v>
      </c>
      <c r="AA222" s="174">
        <v>-128</v>
      </c>
      <c r="AB222" s="182">
        <v>-73</v>
      </c>
      <c r="AC222" s="182">
        <v>-17</v>
      </c>
      <c r="AD222" s="182">
        <v>-8</v>
      </c>
      <c r="AE222" s="182">
        <f>AF222-AD222-AC222-AB222</f>
        <v>20</v>
      </c>
      <c r="AF222" s="174">
        <v>-78</v>
      </c>
      <c r="AG222" s="182">
        <v>-8</v>
      </c>
      <c r="AH222" s="182">
        <v>14</v>
      </c>
      <c r="AI222" s="182">
        <v>-25</v>
      </c>
      <c r="AJ222" s="182">
        <f>AK222-AI222-AH222-AG222</f>
        <v>-4</v>
      </c>
      <c r="AK222" s="174">
        <v>-23</v>
      </c>
      <c r="AL222" s="182">
        <v>-17</v>
      </c>
      <c r="AM222" s="182">
        <v>-139</v>
      </c>
      <c r="AN222" s="182">
        <v>-13</v>
      </c>
      <c r="AO222" s="182">
        <f>AP222-AN222-AM222-AL222</f>
        <v>70</v>
      </c>
      <c r="AP222" s="174">
        <v>-99</v>
      </c>
      <c r="AQ222" s="182">
        <v>-9</v>
      </c>
      <c r="AR222" s="182">
        <v>-12</v>
      </c>
      <c r="AS222" s="182">
        <v>-26</v>
      </c>
      <c r="AT222" s="182">
        <f>AU222-AS222-AR222-AQ222</f>
        <v>34</v>
      </c>
      <c r="AU222" s="174">
        <v>-13</v>
      </c>
      <c r="AV222" s="182">
        <v>-4</v>
      </c>
      <c r="AW222" s="182">
        <v>-1</v>
      </c>
      <c r="AX222" s="182">
        <v>-24</v>
      </c>
      <c r="AY222" s="182">
        <f>AZ222-AX222-AW222-AV222</f>
        <v>6</v>
      </c>
      <c r="AZ222" s="174">
        <v>-23</v>
      </c>
      <c r="BA222" s="182">
        <v>18</v>
      </c>
      <c r="BB222" s="182">
        <v>89</v>
      </c>
      <c r="BC222" s="182">
        <v>-2</v>
      </c>
      <c r="BD222" s="182">
        <v>509</v>
      </c>
      <c r="BE222" s="174">
        <v>614</v>
      </c>
      <c r="BF222" s="182">
        <v>-69</v>
      </c>
      <c r="BG222" s="182">
        <v>-423</v>
      </c>
      <c r="BH222" s="182">
        <v>-8</v>
      </c>
      <c r="BI222" s="182">
        <v>94</v>
      </c>
      <c r="BJ222" s="174">
        <v>-406</v>
      </c>
      <c r="BK222" s="182">
        <v>-4</v>
      </c>
    </row>
    <row r="223" spans="1:63" s="35" customFormat="1" ht="13.5" customHeight="1">
      <c r="A223" s="67" t="s">
        <v>251</v>
      </c>
      <c r="B223" s="36">
        <v>1319</v>
      </c>
      <c r="C223" s="68">
        <v>373</v>
      </c>
      <c r="D223" s="68">
        <v>442</v>
      </c>
      <c r="E223" s="68">
        <v>428</v>
      </c>
      <c r="F223" s="68">
        <f>G223-E223-D223-C223</f>
        <v>232</v>
      </c>
      <c r="G223" s="36">
        <v>1475</v>
      </c>
      <c r="H223" s="68">
        <v>437</v>
      </c>
      <c r="I223" s="68">
        <v>434</v>
      </c>
      <c r="J223" s="68">
        <v>491</v>
      </c>
      <c r="K223" s="68">
        <f>L223-J223-I223-H223</f>
        <v>161</v>
      </c>
      <c r="L223" s="36">
        <v>1523</v>
      </c>
      <c r="M223" s="68">
        <v>490</v>
      </c>
      <c r="N223" s="68">
        <v>503</v>
      </c>
      <c r="O223" s="68">
        <v>556</v>
      </c>
      <c r="P223" s="68">
        <f>Q223-O223-N223-M223</f>
        <v>494</v>
      </c>
      <c r="Q223" s="36">
        <v>2043</v>
      </c>
      <c r="R223" s="68">
        <v>211</v>
      </c>
      <c r="S223" s="68">
        <v>517</v>
      </c>
      <c r="T223" s="68">
        <v>546</v>
      </c>
      <c r="U223" s="68">
        <f>V223-T223-S223-R223</f>
        <v>397</v>
      </c>
      <c r="V223" s="36">
        <v>1671</v>
      </c>
      <c r="W223" s="68">
        <v>539</v>
      </c>
      <c r="X223" s="68">
        <v>437</v>
      </c>
      <c r="Y223" s="68">
        <v>419</v>
      </c>
      <c r="Z223" s="68">
        <f>AA223-Y223-X223-W223</f>
        <v>564</v>
      </c>
      <c r="AA223" s="36">
        <v>1959</v>
      </c>
      <c r="AB223" s="68">
        <v>535</v>
      </c>
      <c r="AC223" s="68">
        <v>510</v>
      </c>
      <c r="AD223" s="68">
        <v>494</v>
      </c>
      <c r="AE223" s="68">
        <f>AF223-AD223-AC223-AB223</f>
        <v>459</v>
      </c>
      <c r="AF223" s="36">
        <v>1998</v>
      </c>
      <c r="AG223" s="68">
        <v>504</v>
      </c>
      <c r="AH223" s="68">
        <v>471</v>
      </c>
      <c r="AI223" s="68">
        <v>498</v>
      </c>
      <c r="AJ223" s="68">
        <f>AK223-AI223-AH223-AG223</f>
        <v>507</v>
      </c>
      <c r="AK223" s="36">
        <v>1980</v>
      </c>
      <c r="AL223" s="68">
        <v>547</v>
      </c>
      <c r="AM223" s="68">
        <v>662</v>
      </c>
      <c r="AN223" s="68">
        <v>512</v>
      </c>
      <c r="AO223" s="68">
        <f>AP223-AN223-AM223-AL223</f>
        <v>427</v>
      </c>
      <c r="AP223" s="36">
        <v>2148</v>
      </c>
      <c r="AQ223" s="68">
        <v>536</v>
      </c>
      <c r="AR223" s="68">
        <v>540</v>
      </c>
      <c r="AS223" s="68">
        <v>519</v>
      </c>
      <c r="AT223" s="68">
        <f>AU223-AS223-AR223-AQ223</f>
        <v>481</v>
      </c>
      <c r="AU223" s="36">
        <v>2076</v>
      </c>
      <c r="AV223" s="68">
        <v>513</v>
      </c>
      <c r="AW223" s="68">
        <v>496</v>
      </c>
      <c r="AX223" s="68">
        <v>492</v>
      </c>
      <c r="AY223" s="68">
        <f>AZ223-AX223-AW223-AV223</f>
        <v>470</v>
      </c>
      <c r="AZ223" s="36">
        <v>1971</v>
      </c>
      <c r="BA223" s="68">
        <v>473</v>
      </c>
      <c r="BB223" s="68">
        <v>387</v>
      </c>
      <c r="BC223" s="68">
        <v>451</v>
      </c>
      <c r="BD223" s="182">
        <v>-87</v>
      </c>
      <c r="BE223" s="36">
        <v>1224</v>
      </c>
      <c r="BF223" s="68">
        <v>531</v>
      </c>
      <c r="BG223" s="68">
        <v>875</v>
      </c>
      <c r="BH223" s="68">
        <v>440</v>
      </c>
      <c r="BI223" s="182">
        <v>296</v>
      </c>
      <c r="BJ223" s="36">
        <v>2142</v>
      </c>
      <c r="BK223" s="68">
        <v>439</v>
      </c>
    </row>
    <row r="224" spans="1:63" ht="12" customHeight="1">
      <c r="A224" s="69" t="s">
        <v>7</v>
      </c>
      <c r="B224" s="23"/>
      <c r="C224" s="70"/>
      <c r="D224" s="70">
        <f>D223/C223-1</f>
        <v>0.18498659517426264</v>
      </c>
      <c r="E224" s="70">
        <f>E223/D223-1</f>
        <v>-3.1674208144796379E-2</v>
      </c>
      <c r="F224" s="70">
        <f>F223/E223-1</f>
        <v>-0.45794392523364491</v>
      </c>
      <c r="G224" s="23"/>
      <c r="H224" s="70">
        <f>H223/F223-1</f>
        <v>0.88362068965517238</v>
      </c>
      <c r="I224" s="70">
        <f>I223/H223-1</f>
        <v>-6.8649885583523806E-3</v>
      </c>
      <c r="J224" s="70">
        <f>J223/I223-1</f>
        <v>0.13133640552995396</v>
      </c>
      <c r="K224" s="70">
        <f>K223/J223-1</f>
        <v>-0.67209775967413443</v>
      </c>
      <c r="L224" s="23"/>
      <c r="M224" s="70">
        <f>M223/K223-1</f>
        <v>2.0434782608695654</v>
      </c>
      <c r="N224" s="70">
        <f>N223/M223-1</f>
        <v>2.6530612244898055E-2</v>
      </c>
      <c r="O224" s="70">
        <f>O223/N223-1</f>
        <v>0.10536779324055656</v>
      </c>
      <c r="P224" s="70">
        <f>P223/O223-1</f>
        <v>-0.11151079136690645</v>
      </c>
      <c r="Q224" s="23"/>
      <c r="R224" s="70">
        <f>R223/P223-1</f>
        <v>-0.57287449392712553</v>
      </c>
      <c r="S224" s="70">
        <f>S223/R223-1</f>
        <v>1.4502369668246446</v>
      </c>
      <c r="T224" s="70">
        <f>T223/S223-1</f>
        <v>5.6092843326885911E-2</v>
      </c>
      <c r="U224" s="70">
        <f>U223/T223-1</f>
        <v>-0.27289377289377292</v>
      </c>
      <c r="V224" s="23"/>
      <c r="W224" s="70">
        <f>W223/U223-1</f>
        <v>0.35768261964735526</v>
      </c>
      <c r="X224" s="70">
        <f>X223/W223-1</f>
        <v>-0.18923933209647492</v>
      </c>
      <c r="Y224" s="70">
        <f>Y223/X223-1</f>
        <v>-4.1189931350114395E-2</v>
      </c>
      <c r="Z224" s="70">
        <f>Z223/Y223-1</f>
        <v>0.34606205250596656</v>
      </c>
      <c r="AA224" s="23"/>
      <c r="AB224" s="70">
        <f>AB223/Z223-1</f>
        <v>-5.1418439716312103E-2</v>
      </c>
      <c r="AC224" s="70">
        <f>AC223/AB223-1</f>
        <v>-4.6728971962616828E-2</v>
      </c>
      <c r="AD224" s="70">
        <f>AD223/AC223-1</f>
        <v>-3.1372549019607843E-2</v>
      </c>
      <c r="AE224" s="70">
        <f>AE223/AD223-1</f>
        <v>-7.0850202429149745E-2</v>
      </c>
      <c r="AF224" s="23"/>
      <c r="AG224" s="70">
        <f>AG223/AE223-1</f>
        <v>9.8039215686274606E-2</v>
      </c>
      <c r="AH224" s="70">
        <f>AH223/AG223-1</f>
        <v>-6.5476190476190466E-2</v>
      </c>
      <c r="AI224" s="70">
        <f>AI223/AH223-1</f>
        <v>5.7324840764331197E-2</v>
      </c>
      <c r="AJ224" s="70">
        <f>AJ223/AI223-1</f>
        <v>1.8072289156626509E-2</v>
      </c>
      <c r="AK224" s="23"/>
      <c r="AL224" s="70">
        <f>AL223/AJ223-1</f>
        <v>7.8895463510848085E-2</v>
      </c>
      <c r="AM224" s="70">
        <f>AM223/AL223-1</f>
        <v>0.21023765996343702</v>
      </c>
      <c r="AN224" s="70">
        <f>AN223/AM223-1</f>
        <v>-0.22658610271903323</v>
      </c>
      <c r="AO224" s="70">
        <f>AO223/AN223-1</f>
        <v>-0.166015625</v>
      </c>
      <c r="AP224" s="23"/>
      <c r="AQ224" s="70">
        <f>AQ223/AO223-1</f>
        <v>0.2552693208430914</v>
      </c>
      <c r="AR224" s="70">
        <f>AR223/AQ223-1</f>
        <v>7.4626865671640896E-3</v>
      </c>
      <c r="AS224" s="70">
        <f>AS223/AR223-1</f>
        <v>-3.8888888888888862E-2</v>
      </c>
      <c r="AT224" s="70">
        <f>AT223/AS223-1</f>
        <v>-7.3217726396917149E-2</v>
      </c>
      <c r="AU224" s="23"/>
      <c r="AV224" s="70">
        <f>AV223/AT223-1</f>
        <v>6.6528066528066532E-2</v>
      </c>
      <c r="AW224" s="70">
        <f>AW223/AV223-1</f>
        <v>-3.3138401559454245E-2</v>
      </c>
      <c r="AX224" s="70">
        <f>AX223/AW223-1</f>
        <v>-8.0645161290322509E-3</v>
      </c>
      <c r="AY224" s="70">
        <f>AY223/AX223-1</f>
        <v>-4.471544715447151E-2</v>
      </c>
      <c r="AZ224" s="23"/>
      <c r="BA224" s="70">
        <v>6.382978723404209E-3</v>
      </c>
      <c r="BB224" s="70">
        <v>-0.18181818181818177</v>
      </c>
      <c r="BC224" s="70">
        <v>0.1653746770025839</v>
      </c>
      <c r="BD224" s="83" t="s">
        <v>39</v>
      </c>
      <c r="BE224" s="23"/>
      <c r="BF224" s="83" t="s">
        <v>39</v>
      </c>
      <c r="BG224" s="70">
        <v>0.64783427495291912</v>
      </c>
      <c r="BH224" s="70">
        <v>-0.49714285714285711</v>
      </c>
      <c r="BI224" s="70">
        <v>-0.32727272727272727</v>
      </c>
      <c r="BJ224" s="23"/>
      <c r="BK224" s="70">
        <v>0.48310810810810811</v>
      </c>
    </row>
    <row r="225" spans="1:63" ht="9.75" customHeight="1">
      <c r="A225" s="69" t="s">
        <v>8</v>
      </c>
      <c r="B225" s="23"/>
      <c r="C225" s="71"/>
      <c r="D225" s="71"/>
      <c r="E225" s="71"/>
      <c r="F225" s="71"/>
      <c r="G225" s="23">
        <f t="shared" ref="G225:N225" si="331">G223/B223-1</f>
        <v>0.1182714177407127</v>
      </c>
      <c r="H225" s="71">
        <f t="shared" si="331"/>
        <v>0.17158176943699721</v>
      </c>
      <c r="I225" s="71">
        <f t="shared" si="331"/>
        <v>-1.8099547511312264E-2</v>
      </c>
      <c r="J225" s="71">
        <f t="shared" si="331"/>
        <v>0.14719626168224309</v>
      </c>
      <c r="K225" s="71">
        <f t="shared" si="331"/>
        <v>-0.30603448275862066</v>
      </c>
      <c r="L225" s="23">
        <f t="shared" si="331"/>
        <v>3.2542372881355863E-2</v>
      </c>
      <c r="M225" s="71">
        <f t="shared" si="331"/>
        <v>0.12128146453089239</v>
      </c>
      <c r="N225" s="71">
        <f t="shared" si="331"/>
        <v>0.1589861751152073</v>
      </c>
      <c r="O225" s="71">
        <f t="shared" ref="O225:Y225" si="332">O223/J223-1</f>
        <v>0.13238289205702647</v>
      </c>
      <c r="P225" s="71">
        <f t="shared" si="332"/>
        <v>2.0683229813664594</v>
      </c>
      <c r="Q225" s="23">
        <f t="shared" si="332"/>
        <v>0.34143138542350626</v>
      </c>
      <c r="R225" s="71">
        <f t="shared" si="332"/>
        <v>-0.56938775510204076</v>
      </c>
      <c r="S225" s="71">
        <f t="shared" si="332"/>
        <v>2.7833001988071482E-2</v>
      </c>
      <c r="T225" s="71">
        <f t="shared" si="332"/>
        <v>-1.7985611510791366E-2</v>
      </c>
      <c r="U225" s="71">
        <f t="shared" si="332"/>
        <v>-0.19635627530364375</v>
      </c>
      <c r="V225" s="23">
        <f t="shared" si="332"/>
        <v>-0.18208516886930981</v>
      </c>
      <c r="W225" s="71">
        <f t="shared" si="332"/>
        <v>1.5545023696682465</v>
      </c>
      <c r="X225" s="71">
        <f t="shared" si="332"/>
        <v>-0.15473887814313347</v>
      </c>
      <c r="Y225" s="71">
        <f t="shared" si="332"/>
        <v>-0.23260073260073255</v>
      </c>
      <c r="Z225" s="71">
        <f t="shared" ref="Z225:AI225" si="333">Z223/U223-1</f>
        <v>0.420654911838791</v>
      </c>
      <c r="AA225" s="23">
        <f t="shared" si="333"/>
        <v>0.17235188509874333</v>
      </c>
      <c r="AB225" s="71">
        <f t="shared" si="333"/>
        <v>-7.4211502782931538E-3</v>
      </c>
      <c r="AC225" s="71">
        <f t="shared" si="333"/>
        <v>0.16704805491990848</v>
      </c>
      <c r="AD225" s="71">
        <f t="shared" si="333"/>
        <v>0.17899761336515518</v>
      </c>
      <c r="AE225" s="71">
        <f t="shared" si="333"/>
        <v>-0.18617021276595747</v>
      </c>
      <c r="AF225" s="23">
        <f t="shared" si="333"/>
        <v>1.9908116385911168E-2</v>
      </c>
      <c r="AG225" s="71">
        <f t="shared" si="333"/>
        <v>-5.7943925233644888E-2</v>
      </c>
      <c r="AH225" s="71">
        <f t="shared" si="333"/>
        <v>-7.6470588235294068E-2</v>
      </c>
      <c r="AI225" s="71">
        <f t="shared" si="333"/>
        <v>8.0971659919029104E-3</v>
      </c>
      <c r="AJ225" s="71">
        <f t="shared" ref="AJ225:AS225" si="334">AJ223/AE223-1</f>
        <v>0.10457516339869288</v>
      </c>
      <c r="AK225" s="23">
        <f t="shared" si="334"/>
        <v>-9.009009009009028E-3</v>
      </c>
      <c r="AL225" s="71">
        <f t="shared" si="334"/>
        <v>8.5317460317460236E-2</v>
      </c>
      <c r="AM225" s="71">
        <f t="shared" si="334"/>
        <v>0.40552016985137995</v>
      </c>
      <c r="AN225" s="71">
        <f t="shared" si="334"/>
        <v>2.8112449799196693E-2</v>
      </c>
      <c r="AO225" s="71">
        <f t="shared" si="334"/>
        <v>-0.15779092702169628</v>
      </c>
      <c r="AP225" s="23">
        <f t="shared" si="334"/>
        <v>8.4848484848484951E-2</v>
      </c>
      <c r="AQ225" s="71">
        <f t="shared" si="334"/>
        <v>-2.0109689213894E-2</v>
      </c>
      <c r="AR225" s="71">
        <f t="shared" si="334"/>
        <v>-0.18429003021148038</v>
      </c>
      <c r="AS225" s="71">
        <f t="shared" si="334"/>
        <v>1.3671875E-2</v>
      </c>
      <c r="AT225" s="71">
        <f t="shared" ref="AT225" si="335">AT223/AO223-1</f>
        <v>0.12646370023419196</v>
      </c>
      <c r="AU225" s="23">
        <f t="shared" ref="AU225:AX225" si="336">AU223/AP223-1</f>
        <v>-3.3519553072625663E-2</v>
      </c>
      <c r="AV225" s="71">
        <f t="shared" si="336"/>
        <v>-4.2910447761194015E-2</v>
      </c>
      <c r="AW225" s="71">
        <f t="shared" si="336"/>
        <v>-8.1481481481481488E-2</v>
      </c>
      <c r="AX225" s="71">
        <f t="shared" si="336"/>
        <v>-5.2023121387283267E-2</v>
      </c>
      <c r="AY225" s="71">
        <f t="shared" ref="AY225" si="337">AY223/AT223-1</f>
        <v>-2.2869022869022815E-2</v>
      </c>
      <c r="AZ225" s="23">
        <v>-5.0578034682080886E-2</v>
      </c>
      <c r="BA225" s="71">
        <v>-7.7972709551656916E-2</v>
      </c>
      <c r="BB225" s="71">
        <v>-0.219758064516129</v>
      </c>
      <c r="BC225" s="71">
        <v>-8.333333333333337E-2</v>
      </c>
      <c r="BD225" s="83" t="s">
        <v>39</v>
      </c>
      <c r="BE225" s="23">
        <v>-0.37899543378995437</v>
      </c>
      <c r="BF225" s="71">
        <v>0.12262156448202965</v>
      </c>
      <c r="BG225" s="71">
        <v>1.260981912144703</v>
      </c>
      <c r="BH225" s="71">
        <v>-2.4390243902439046E-2</v>
      </c>
      <c r="BI225" s="83" t="s">
        <v>39</v>
      </c>
      <c r="BJ225" s="23">
        <v>0.75</v>
      </c>
      <c r="BK225" s="71">
        <v>-0.17325800376647837</v>
      </c>
    </row>
    <row r="226" spans="1:63">
      <c r="A226" s="67" t="s">
        <v>88</v>
      </c>
      <c r="B226" s="36">
        <v>188</v>
      </c>
      <c r="C226" s="78" t="s">
        <v>48</v>
      </c>
      <c r="D226" s="78" t="s">
        <v>48</v>
      </c>
      <c r="E226" s="78" t="s">
        <v>48</v>
      </c>
      <c r="F226" s="78" t="s">
        <v>48</v>
      </c>
      <c r="G226" s="36">
        <v>125</v>
      </c>
      <c r="H226" s="182">
        <v>-21</v>
      </c>
      <c r="I226" s="182">
        <v>-4</v>
      </c>
      <c r="J226" s="182">
        <v>3</v>
      </c>
      <c r="K226" s="182">
        <f>L226-J226-I226-H226</f>
        <v>7</v>
      </c>
      <c r="L226" s="174">
        <v>-15</v>
      </c>
      <c r="M226" s="182">
        <v>-1</v>
      </c>
      <c r="N226" s="182">
        <v>29</v>
      </c>
      <c r="O226" s="182">
        <v>30</v>
      </c>
      <c r="P226" s="182">
        <f>Q226-O226-N226-M226</f>
        <v>32</v>
      </c>
      <c r="Q226" s="36">
        <v>90</v>
      </c>
      <c r="R226" s="68">
        <v>26</v>
      </c>
      <c r="S226" s="68">
        <v>73</v>
      </c>
      <c r="T226" s="68">
        <v>88</v>
      </c>
      <c r="U226" s="68">
        <f>V226-T226-S226-R226</f>
        <v>53</v>
      </c>
      <c r="V226" s="36">
        <v>240</v>
      </c>
      <c r="W226" s="68">
        <v>49</v>
      </c>
      <c r="X226" s="68">
        <v>76</v>
      </c>
      <c r="Y226" s="68">
        <v>63</v>
      </c>
      <c r="Z226" s="68">
        <f>AA226-Y226-X226-W226</f>
        <v>71</v>
      </c>
      <c r="AA226" s="36">
        <v>259</v>
      </c>
      <c r="AB226" s="68">
        <v>98</v>
      </c>
      <c r="AC226" s="68">
        <v>112</v>
      </c>
      <c r="AD226" s="68">
        <v>130</v>
      </c>
      <c r="AE226" s="68">
        <f>AF226-AD226-AC226-AB226</f>
        <v>102</v>
      </c>
      <c r="AF226" s="36">
        <v>442</v>
      </c>
      <c r="AG226" s="143">
        <v>93</v>
      </c>
      <c r="AH226" s="143">
        <v>110</v>
      </c>
      <c r="AI226" s="143">
        <v>116</v>
      </c>
      <c r="AJ226" s="143">
        <f>AK226-AI226-AH226-AG226</f>
        <v>81</v>
      </c>
      <c r="AK226" s="36">
        <v>400</v>
      </c>
      <c r="AL226" s="143">
        <v>75</v>
      </c>
      <c r="AM226" s="143">
        <v>100</v>
      </c>
      <c r="AN226" s="143">
        <v>138</v>
      </c>
      <c r="AO226" s="143">
        <f>AP226-AN226-AM226-AL226</f>
        <v>19</v>
      </c>
      <c r="AP226" s="36">
        <v>332</v>
      </c>
      <c r="AQ226" s="143">
        <v>101</v>
      </c>
      <c r="AR226" s="143">
        <v>105</v>
      </c>
      <c r="AS226" s="143">
        <v>93</v>
      </c>
      <c r="AT226" s="143">
        <f>AU226-AS226-AR226-AQ226</f>
        <v>146</v>
      </c>
      <c r="AU226" s="36">
        <v>445</v>
      </c>
      <c r="AV226" s="143">
        <v>92</v>
      </c>
      <c r="AW226" s="143">
        <v>82</v>
      </c>
      <c r="AX226" s="143">
        <v>107</v>
      </c>
      <c r="AY226" s="143">
        <f>AZ226-AX226-AW226-AV226</f>
        <v>122</v>
      </c>
      <c r="AZ226" s="36">
        <v>403</v>
      </c>
      <c r="BA226" s="143">
        <v>121</v>
      </c>
      <c r="BB226" s="143">
        <v>119</v>
      </c>
      <c r="BC226" s="143">
        <v>113</v>
      </c>
      <c r="BD226" s="143">
        <v>117</v>
      </c>
      <c r="BE226" s="36">
        <v>470</v>
      </c>
      <c r="BF226" s="143">
        <v>106</v>
      </c>
      <c r="BG226" s="143">
        <v>141</v>
      </c>
      <c r="BH226" s="143">
        <v>207</v>
      </c>
      <c r="BI226" s="143">
        <v>115</v>
      </c>
      <c r="BJ226" s="36">
        <v>569</v>
      </c>
      <c r="BK226" s="143">
        <v>49</v>
      </c>
    </row>
    <row r="227" spans="1:63" ht="9" customHeight="1">
      <c r="A227" s="69" t="s">
        <v>7</v>
      </c>
      <c r="B227" s="23"/>
      <c r="C227" s="71"/>
      <c r="D227" s="71"/>
      <c r="E227" s="71"/>
      <c r="F227" s="71"/>
      <c r="G227" s="23"/>
      <c r="H227" s="70"/>
      <c r="I227" s="70">
        <f>I226/H226-1</f>
        <v>-0.80952380952380953</v>
      </c>
      <c r="J227" s="81" t="s">
        <v>39</v>
      </c>
      <c r="K227" s="70">
        <f>K226/J226-1</f>
        <v>1.3333333333333335</v>
      </c>
      <c r="L227" s="23"/>
      <c r="M227" s="81" t="s">
        <v>39</v>
      </c>
      <c r="N227" s="81" t="s">
        <v>39</v>
      </c>
      <c r="O227" s="70">
        <f>O226/N226-1</f>
        <v>3.4482758620689724E-2</v>
      </c>
      <c r="P227" s="70">
        <f>P226/O226-1</f>
        <v>6.6666666666666652E-2</v>
      </c>
      <c r="Q227" s="23"/>
      <c r="R227" s="70">
        <f>R226/P226-1</f>
        <v>-0.1875</v>
      </c>
      <c r="S227" s="70">
        <f>S226/R226-1</f>
        <v>1.8076923076923075</v>
      </c>
      <c r="T227" s="70">
        <f>T226/S226-1</f>
        <v>0.20547945205479445</v>
      </c>
      <c r="U227" s="70">
        <f>U226/T226-1</f>
        <v>-0.39772727272727271</v>
      </c>
      <c r="V227" s="23"/>
      <c r="W227" s="70">
        <f>W226/U226-1</f>
        <v>-7.547169811320753E-2</v>
      </c>
      <c r="X227" s="70">
        <f>X226/W226-1</f>
        <v>0.55102040816326525</v>
      </c>
      <c r="Y227" s="70">
        <f>Y226/X226-1</f>
        <v>-0.17105263157894735</v>
      </c>
      <c r="Z227" s="70">
        <f>Z226/Y226-1</f>
        <v>0.12698412698412698</v>
      </c>
      <c r="AA227" s="23"/>
      <c r="AB227" s="70">
        <f>AB226/Z226-1</f>
        <v>0.38028169014084501</v>
      </c>
      <c r="AC227" s="70">
        <f>AC226/AB226-1</f>
        <v>0.14285714285714279</v>
      </c>
      <c r="AD227" s="70">
        <f>AD226/AC226-1</f>
        <v>0.16071428571428581</v>
      </c>
      <c r="AE227" s="70">
        <f>AE226/AD226-1</f>
        <v>-0.2153846153846154</v>
      </c>
      <c r="AF227" s="23"/>
      <c r="AG227" s="70">
        <f>AG226/AE226-1</f>
        <v>-8.8235294117647078E-2</v>
      </c>
      <c r="AH227" s="70">
        <f>AH226/AG226-1</f>
        <v>0.18279569892473124</v>
      </c>
      <c r="AI227" s="70">
        <f>AI226/AH226-1</f>
        <v>5.4545454545454453E-2</v>
      </c>
      <c r="AJ227" s="70">
        <f>AJ226/AI226-1</f>
        <v>-0.30172413793103448</v>
      </c>
      <c r="AK227" s="23"/>
      <c r="AL227" s="70">
        <f>AL226/AJ226-1</f>
        <v>-7.407407407407407E-2</v>
      </c>
      <c r="AM227" s="70">
        <f>AM226/AL226-1</f>
        <v>0.33333333333333326</v>
      </c>
      <c r="AN227" s="70">
        <f>AN226/AM226-1</f>
        <v>0.37999999999999989</v>
      </c>
      <c r="AO227" s="70">
        <f>AO226/AN226-1</f>
        <v>-0.8623188405797102</v>
      </c>
      <c r="AP227" s="23"/>
      <c r="AQ227" s="70">
        <f>AQ226/AO226-1</f>
        <v>4.3157894736842106</v>
      </c>
      <c r="AR227" s="70">
        <f>AR226/AQ226-1</f>
        <v>3.9603960396039639E-2</v>
      </c>
      <c r="AS227" s="70">
        <f>AS226/AR226-1</f>
        <v>-0.11428571428571432</v>
      </c>
      <c r="AT227" s="70">
        <f>AT226/AS226-1</f>
        <v>0.56989247311827951</v>
      </c>
      <c r="AU227" s="23"/>
      <c r="AV227" s="70">
        <f>AV226/AT226-1</f>
        <v>-0.36986301369863017</v>
      </c>
      <c r="AW227" s="70">
        <f>AW226/AV226-1</f>
        <v>-0.10869565217391308</v>
      </c>
      <c r="AX227" s="70">
        <f>AX226/AW226-1</f>
        <v>0.30487804878048785</v>
      </c>
      <c r="AY227" s="70">
        <f>AY226/AX226-1</f>
        <v>0.14018691588785037</v>
      </c>
      <c r="AZ227" s="23"/>
      <c r="BA227" s="70">
        <v>-8.1967213114754189E-3</v>
      </c>
      <c r="BB227" s="70">
        <v>-1.6528925619834656E-2</v>
      </c>
      <c r="BC227" s="70">
        <v>-5.0420168067226934E-2</v>
      </c>
      <c r="BD227" s="70">
        <v>3.539823008849563E-2</v>
      </c>
      <c r="BE227" s="23"/>
      <c r="BF227" s="70">
        <v>-9.4017094017094016E-2</v>
      </c>
      <c r="BG227" s="70">
        <v>0.33018867924528306</v>
      </c>
      <c r="BH227" s="70">
        <v>0.46808510638297873</v>
      </c>
      <c r="BI227" s="70">
        <v>-0.44444444444444442</v>
      </c>
      <c r="BJ227" s="23"/>
      <c r="BK227" s="70">
        <v>-0.57391304347826089</v>
      </c>
    </row>
    <row r="228" spans="1:63" ht="10.5" customHeight="1">
      <c r="A228" s="69" t="s">
        <v>8</v>
      </c>
      <c r="B228" s="23"/>
      <c r="C228" s="71"/>
      <c r="D228" s="71"/>
      <c r="E228" s="71"/>
      <c r="F228" s="71"/>
      <c r="G228" s="23">
        <f>G226/B226-1</f>
        <v>-0.33510638297872342</v>
      </c>
      <c r="H228" s="71"/>
      <c r="I228" s="71"/>
      <c r="J228" s="71"/>
      <c r="K228" s="71"/>
      <c r="L228" s="90" t="s">
        <v>39</v>
      </c>
      <c r="M228" s="71">
        <f>M226/H226-1</f>
        <v>-0.95238095238095233</v>
      </c>
      <c r="N228" s="71">
        <f>N226/I226-1</f>
        <v>-8.25</v>
      </c>
      <c r="O228" s="71">
        <f>O226/J226-1</f>
        <v>9</v>
      </c>
      <c r="P228" s="71">
        <f>P226/K226-1</f>
        <v>3.5714285714285712</v>
      </c>
      <c r="Q228" s="90" t="s">
        <v>39</v>
      </c>
      <c r="R228" s="81" t="s">
        <v>39</v>
      </c>
      <c r="S228" s="71">
        <f t="shared" ref="S228:AD228" si="338">S226/N226-1</f>
        <v>1.5172413793103448</v>
      </c>
      <c r="T228" s="71">
        <f t="shared" si="338"/>
        <v>1.9333333333333331</v>
      </c>
      <c r="U228" s="71">
        <f t="shared" si="338"/>
        <v>0.65625</v>
      </c>
      <c r="V228" s="23">
        <f t="shared" si="338"/>
        <v>1.6666666666666665</v>
      </c>
      <c r="W228" s="71">
        <f t="shared" si="338"/>
        <v>0.88461538461538458</v>
      </c>
      <c r="X228" s="71">
        <f t="shared" si="338"/>
        <v>4.1095890410958846E-2</v>
      </c>
      <c r="Y228" s="71">
        <f t="shared" si="338"/>
        <v>-0.28409090909090906</v>
      </c>
      <c r="Z228" s="71">
        <f t="shared" si="338"/>
        <v>0.33962264150943389</v>
      </c>
      <c r="AA228" s="23">
        <f t="shared" si="338"/>
        <v>7.9166666666666607E-2</v>
      </c>
      <c r="AB228" s="71">
        <f t="shared" si="338"/>
        <v>1</v>
      </c>
      <c r="AC228" s="71">
        <f t="shared" si="338"/>
        <v>0.47368421052631571</v>
      </c>
      <c r="AD228" s="71">
        <f t="shared" si="338"/>
        <v>1.0634920634920637</v>
      </c>
      <c r="AE228" s="71">
        <f t="shared" ref="AE228:AN228" si="339">AE226/Z226-1</f>
        <v>0.43661971830985924</v>
      </c>
      <c r="AF228" s="23">
        <f t="shared" si="339"/>
        <v>0.70656370656370648</v>
      </c>
      <c r="AG228" s="71">
        <f t="shared" si="339"/>
        <v>-5.1020408163265252E-2</v>
      </c>
      <c r="AH228" s="71">
        <f t="shared" si="339"/>
        <v>-1.7857142857142905E-2</v>
      </c>
      <c r="AI228" s="71">
        <f t="shared" si="339"/>
        <v>-0.10769230769230764</v>
      </c>
      <c r="AJ228" s="71">
        <f t="shared" si="339"/>
        <v>-0.20588235294117652</v>
      </c>
      <c r="AK228" s="23">
        <f t="shared" si="339"/>
        <v>-9.5022624434389136E-2</v>
      </c>
      <c r="AL228" s="71">
        <f t="shared" si="339"/>
        <v>-0.19354838709677424</v>
      </c>
      <c r="AM228" s="71">
        <f t="shared" si="339"/>
        <v>-9.0909090909090939E-2</v>
      </c>
      <c r="AN228" s="71">
        <f t="shared" si="339"/>
        <v>0.18965517241379315</v>
      </c>
      <c r="AO228" s="71">
        <f>AO226/AJ226-1</f>
        <v>-0.76543209876543217</v>
      </c>
      <c r="AP228" s="23">
        <f>AP226/AK226-1</f>
        <v>-0.17000000000000004</v>
      </c>
      <c r="AQ228" s="71">
        <f t="shared" ref="AQ228:AS228" si="340">AQ226/AL226-1</f>
        <v>0.34666666666666668</v>
      </c>
      <c r="AR228" s="71">
        <f t="shared" si="340"/>
        <v>5.0000000000000044E-2</v>
      </c>
      <c r="AS228" s="71">
        <f t="shared" si="340"/>
        <v>-0.32608695652173914</v>
      </c>
      <c r="AT228" s="71">
        <f>AT226/AO226-1</f>
        <v>6.6842105263157894</v>
      </c>
      <c r="AU228" s="23">
        <f>AU226/AP226-1</f>
        <v>0.34036144578313254</v>
      </c>
      <c r="AV228" s="71">
        <f t="shared" ref="AV228:AX228" si="341">AV226/AQ226-1</f>
        <v>-8.9108910891089077E-2</v>
      </c>
      <c r="AW228" s="71">
        <f t="shared" si="341"/>
        <v>-0.21904761904761905</v>
      </c>
      <c r="AX228" s="71">
        <f t="shared" si="341"/>
        <v>0.15053763440860224</v>
      </c>
      <c r="AY228" s="71">
        <f>AY226/AT226-1</f>
        <v>-0.16438356164383561</v>
      </c>
      <c r="AZ228" s="23">
        <v>-9.4382022471910076E-2</v>
      </c>
      <c r="BA228" s="71">
        <v>0.31521739130434789</v>
      </c>
      <c r="BB228" s="71">
        <v>0.45121951219512191</v>
      </c>
      <c r="BC228" s="71">
        <v>5.6074766355140193E-2</v>
      </c>
      <c r="BD228" s="71">
        <v>-4.0983606557377095E-2</v>
      </c>
      <c r="BE228" s="23">
        <v>0.16625310173697261</v>
      </c>
      <c r="BF228" s="71">
        <v>-0.12396694214876036</v>
      </c>
      <c r="BG228" s="71">
        <v>0.18487394957983194</v>
      </c>
      <c r="BH228" s="71">
        <v>0.83185840707964598</v>
      </c>
      <c r="BI228" s="71">
        <v>-1.7094017094017144E-2</v>
      </c>
      <c r="BJ228" s="23">
        <v>0.21063829787234045</v>
      </c>
      <c r="BK228" s="71">
        <v>-0.53773584905660377</v>
      </c>
    </row>
    <row r="229" spans="1:63" ht="11.1" customHeight="1">
      <c r="A229" s="67" t="s">
        <v>184</v>
      </c>
      <c r="B229" s="36">
        <v>394</v>
      </c>
      <c r="C229" s="78" t="s">
        <v>48</v>
      </c>
      <c r="D229" s="78" t="s">
        <v>48</v>
      </c>
      <c r="E229" s="78" t="s">
        <v>48</v>
      </c>
      <c r="F229" s="78" t="s">
        <v>48</v>
      </c>
      <c r="G229" s="36">
        <v>400</v>
      </c>
      <c r="H229" s="78" t="s">
        <v>48</v>
      </c>
      <c r="I229" s="78" t="s">
        <v>48</v>
      </c>
      <c r="J229" s="78" t="s">
        <v>48</v>
      </c>
      <c r="K229" s="78" t="s">
        <v>48</v>
      </c>
      <c r="L229" s="174">
        <v>431</v>
      </c>
      <c r="M229" s="78" t="s">
        <v>48</v>
      </c>
      <c r="N229" s="78" t="s">
        <v>48</v>
      </c>
      <c r="O229" s="78" t="s">
        <v>48</v>
      </c>
      <c r="P229" s="78" t="s">
        <v>48</v>
      </c>
      <c r="Q229" s="36">
        <v>527</v>
      </c>
      <c r="R229" s="78" t="s">
        <v>48</v>
      </c>
      <c r="S229" s="78" t="s">
        <v>48</v>
      </c>
      <c r="T229" s="78" t="s">
        <v>48</v>
      </c>
      <c r="U229" s="78" t="s">
        <v>48</v>
      </c>
      <c r="V229" s="36">
        <v>356</v>
      </c>
      <c r="W229" s="78" t="s">
        <v>48</v>
      </c>
      <c r="X229" s="78" t="s">
        <v>48</v>
      </c>
      <c r="Y229" s="78" t="s">
        <v>48</v>
      </c>
      <c r="Z229" s="78" t="s">
        <v>48</v>
      </c>
      <c r="AA229" s="36">
        <v>493</v>
      </c>
      <c r="AB229" s="78" t="s">
        <v>48</v>
      </c>
      <c r="AC229" s="78" t="s">
        <v>48</v>
      </c>
      <c r="AD229" s="78" t="s">
        <v>48</v>
      </c>
      <c r="AE229" s="78" t="s">
        <v>48</v>
      </c>
      <c r="AF229" s="36">
        <v>410</v>
      </c>
      <c r="AG229" s="78" t="s">
        <v>48</v>
      </c>
      <c r="AH229" s="78" t="s">
        <v>48</v>
      </c>
      <c r="AI229" s="78" t="s">
        <v>48</v>
      </c>
      <c r="AJ229" s="78" t="s">
        <v>48</v>
      </c>
      <c r="AK229" s="36">
        <v>478</v>
      </c>
      <c r="AL229" s="78" t="s">
        <v>48</v>
      </c>
      <c r="AM229" s="78" t="s">
        <v>48</v>
      </c>
      <c r="AN229" s="78" t="s">
        <v>48</v>
      </c>
      <c r="AO229" s="78" t="s">
        <v>48</v>
      </c>
      <c r="AP229" s="36">
        <v>492</v>
      </c>
      <c r="AQ229" s="143">
        <v>107</v>
      </c>
      <c r="AR229" s="143">
        <v>109</v>
      </c>
      <c r="AS229" s="143">
        <v>83</v>
      </c>
      <c r="AT229" s="143">
        <f>AU229-AS229-AR229-AQ229</f>
        <v>100</v>
      </c>
      <c r="AU229" s="36">
        <v>399</v>
      </c>
      <c r="AV229" s="143">
        <v>102</v>
      </c>
      <c r="AW229" s="143">
        <v>97</v>
      </c>
      <c r="AX229" s="143">
        <v>109</v>
      </c>
      <c r="AY229" s="143">
        <f>AZ229-AX229-AW229-AV229</f>
        <v>88</v>
      </c>
      <c r="AZ229" s="36">
        <v>396</v>
      </c>
      <c r="BA229" s="143">
        <v>89</v>
      </c>
      <c r="BB229" s="143">
        <v>66</v>
      </c>
      <c r="BC229" s="143">
        <v>81</v>
      </c>
      <c r="BD229" s="182">
        <v>-49</v>
      </c>
      <c r="BE229" s="36">
        <v>187</v>
      </c>
      <c r="BF229" s="143">
        <v>104</v>
      </c>
      <c r="BG229" s="143">
        <v>172</v>
      </c>
      <c r="BH229" s="143">
        <v>58</v>
      </c>
      <c r="BI229" s="182">
        <v>47</v>
      </c>
      <c r="BJ229" s="36">
        <v>381</v>
      </c>
      <c r="BK229" s="143">
        <v>95</v>
      </c>
    </row>
    <row r="230" spans="1:63" ht="10.15" customHeight="1">
      <c r="A230" s="69" t="s">
        <v>7</v>
      </c>
      <c r="B230" s="23"/>
      <c r="C230" s="70"/>
      <c r="D230" s="70"/>
      <c r="E230" s="70"/>
      <c r="F230" s="70"/>
      <c r="G230" s="23"/>
      <c r="H230" s="70"/>
      <c r="I230" s="70"/>
      <c r="J230" s="70"/>
      <c r="K230" s="70"/>
      <c r="L230" s="23"/>
      <c r="M230" s="70"/>
      <c r="N230" s="70"/>
      <c r="O230" s="70"/>
      <c r="P230" s="70"/>
      <c r="Q230" s="23"/>
      <c r="R230" s="70"/>
      <c r="S230" s="70"/>
      <c r="T230" s="70"/>
      <c r="U230" s="70"/>
      <c r="V230" s="23"/>
      <c r="W230" s="70"/>
      <c r="X230" s="70"/>
      <c r="Y230" s="70"/>
      <c r="Z230" s="70"/>
      <c r="AA230" s="23"/>
      <c r="AB230" s="70"/>
      <c r="AC230" s="70"/>
      <c r="AD230" s="70"/>
      <c r="AE230" s="70"/>
      <c r="AF230" s="23"/>
      <c r="AG230" s="70"/>
      <c r="AH230" s="70"/>
      <c r="AI230" s="70"/>
      <c r="AJ230" s="70"/>
      <c r="AK230" s="23"/>
      <c r="AL230" s="70"/>
      <c r="AM230" s="70"/>
      <c r="AN230" s="70"/>
      <c r="AO230" s="70"/>
      <c r="AP230" s="23"/>
      <c r="AQ230" s="70"/>
      <c r="AR230" s="70">
        <f>AR229/AQ229-1</f>
        <v>1.8691588785046731E-2</v>
      </c>
      <c r="AS230" s="70">
        <f>AS229/AR229-1</f>
        <v>-0.23853211009174313</v>
      </c>
      <c r="AT230" s="70">
        <f>AT229/AS229-1</f>
        <v>0.20481927710843384</v>
      </c>
      <c r="AU230" s="23"/>
      <c r="AV230" s="70">
        <f>AV229/AT229-1</f>
        <v>2.0000000000000018E-2</v>
      </c>
      <c r="AW230" s="70">
        <f>AW229/AV229-1</f>
        <v>-4.9019607843137303E-2</v>
      </c>
      <c r="AX230" s="70">
        <f>AX229/AW229-1</f>
        <v>0.12371134020618557</v>
      </c>
      <c r="AY230" s="70">
        <f>AY229/AX229-1</f>
        <v>-0.19266055045871555</v>
      </c>
      <c r="AZ230" s="23"/>
      <c r="BA230" s="70">
        <v>1.1363636363636465E-2</v>
      </c>
      <c r="BB230" s="70">
        <v>-0.2584269662921348</v>
      </c>
      <c r="BC230" s="70">
        <v>0.22727272727272729</v>
      </c>
      <c r="BD230" s="83" t="s">
        <v>39</v>
      </c>
      <c r="BE230" s="23"/>
      <c r="BF230" s="83" t="s">
        <v>39</v>
      </c>
      <c r="BG230" s="70">
        <v>0.65384615384615374</v>
      </c>
      <c r="BH230" s="70">
        <v>-0.66279069767441867</v>
      </c>
      <c r="BI230" s="70">
        <v>-0.18965517241379315</v>
      </c>
      <c r="BJ230" s="23"/>
      <c r="BK230" s="70">
        <v>1.021276595744681</v>
      </c>
    </row>
    <row r="231" spans="1:63" ht="10.5" customHeight="1">
      <c r="A231" s="69" t="s">
        <v>8</v>
      </c>
      <c r="B231" s="23"/>
      <c r="C231" s="71"/>
      <c r="D231" s="71"/>
      <c r="E231" s="71"/>
      <c r="F231" s="71"/>
      <c r="G231" s="23">
        <f t="shared" ref="G231" si="342">G229/B229-1</f>
        <v>1.5228426395939021E-2</v>
      </c>
      <c r="H231" s="71"/>
      <c r="I231" s="71"/>
      <c r="J231" s="71"/>
      <c r="K231" s="71"/>
      <c r="L231" s="23">
        <f t="shared" ref="L231" si="343">L229/G229-1</f>
        <v>7.7499999999999902E-2</v>
      </c>
      <c r="M231" s="71"/>
      <c r="N231" s="71"/>
      <c r="O231" s="71"/>
      <c r="P231" s="71"/>
      <c r="Q231" s="23">
        <f t="shared" ref="Q231" si="344">Q229/L229-1</f>
        <v>0.22273781902552203</v>
      </c>
      <c r="R231" s="71"/>
      <c r="S231" s="71"/>
      <c r="T231" s="71"/>
      <c r="U231" s="71"/>
      <c r="V231" s="23">
        <f t="shared" ref="V231" si="345">V229/Q229-1</f>
        <v>-0.32447817836812143</v>
      </c>
      <c r="W231" s="71"/>
      <c r="X231" s="71"/>
      <c r="Y231" s="71"/>
      <c r="Z231" s="71"/>
      <c r="AA231" s="23">
        <f t="shared" ref="AA231" si="346">AA229/V229-1</f>
        <v>0.38483146067415741</v>
      </c>
      <c r="AB231" s="71"/>
      <c r="AC231" s="71"/>
      <c r="AD231" s="71"/>
      <c r="AE231" s="71"/>
      <c r="AF231" s="23">
        <f t="shared" ref="AF231" si="347">AF229/AA229-1</f>
        <v>-0.16835699797160242</v>
      </c>
      <c r="AG231" s="71"/>
      <c r="AH231" s="71"/>
      <c r="AI231" s="71"/>
      <c r="AJ231" s="71"/>
      <c r="AK231" s="23">
        <f t="shared" ref="AK231" si="348">AK229/AF229-1</f>
        <v>0.16585365853658529</v>
      </c>
      <c r="AL231" s="71"/>
      <c r="AM231" s="71"/>
      <c r="AN231" s="71"/>
      <c r="AO231" s="71"/>
      <c r="AP231" s="23">
        <f t="shared" ref="AP231" si="349">AP229/AK229-1</f>
        <v>2.9288702928870203E-2</v>
      </c>
      <c r="AQ231" s="71"/>
      <c r="AR231" s="71"/>
      <c r="AS231" s="71"/>
      <c r="AT231" s="71"/>
      <c r="AU231" s="23">
        <f t="shared" ref="AU231" si="350">AU229/AP229-1</f>
        <v>-0.18902439024390238</v>
      </c>
      <c r="AV231" s="71">
        <f t="shared" ref="AV231" si="351">AV229/AQ229-1</f>
        <v>-4.6728971962616828E-2</v>
      </c>
      <c r="AW231" s="71">
        <f t="shared" ref="AW231" si="352">AW229/AR229-1</f>
        <v>-0.11009174311926606</v>
      </c>
      <c r="AX231" s="71">
        <f t="shared" ref="AX231" si="353">AX229/AS229-1</f>
        <v>0.31325301204819267</v>
      </c>
      <c r="AY231" s="71">
        <f>AY229/AT229-1</f>
        <v>-0.12</v>
      </c>
      <c r="AZ231" s="23">
        <v>-7.5187969924812581E-3</v>
      </c>
      <c r="BA231" s="71">
        <v>-0.12745098039215685</v>
      </c>
      <c r="BB231" s="71">
        <v>-0.31958762886597936</v>
      </c>
      <c r="BC231" s="71">
        <v>-0.25688073394495414</v>
      </c>
      <c r="BD231" s="83" t="s">
        <v>39</v>
      </c>
      <c r="BE231" s="23">
        <v>-0.52777777777777779</v>
      </c>
      <c r="BF231" s="71">
        <v>0.1685393258426966</v>
      </c>
      <c r="BG231" s="71">
        <v>1.606060606060606</v>
      </c>
      <c r="BH231" s="71">
        <v>-0.28395061728395066</v>
      </c>
      <c r="BI231" s="83" t="s">
        <v>39</v>
      </c>
      <c r="BJ231" s="23">
        <v>1.0374331550802141</v>
      </c>
      <c r="BK231" s="71">
        <v>-8.6538461538461564E-2</v>
      </c>
    </row>
    <row r="232" spans="1:63" ht="12" customHeight="1">
      <c r="A232" s="67" t="s">
        <v>247</v>
      </c>
      <c r="B232" s="36">
        <f>1330-593</f>
        <v>737</v>
      </c>
      <c r="C232" s="68">
        <f>398-154</f>
        <v>244</v>
      </c>
      <c r="D232" s="68">
        <f>468-178</f>
        <v>290</v>
      </c>
      <c r="E232" s="68">
        <f>462-191</f>
        <v>271</v>
      </c>
      <c r="F232" s="68">
        <f>G232-E232-D232-C232</f>
        <v>145</v>
      </c>
      <c r="G232" s="36">
        <f>1627-677</f>
        <v>950</v>
      </c>
      <c r="H232" s="68">
        <f>608-272</f>
        <v>336</v>
      </c>
      <c r="I232" s="68">
        <f>541-225</f>
        <v>316</v>
      </c>
      <c r="J232" s="68">
        <v>319</v>
      </c>
      <c r="K232" s="68">
        <f>L232-J232-I232-H232</f>
        <v>136</v>
      </c>
      <c r="L232" s="36">
        <f>3603-958-1538</f>
        <v>1107</v>
      </c>
      <c r="M232" s="68">
        <f>642-282</f>
        <v>360</v>
      </c>
      <c r="N232" s="68">
        <f>638-289</f>
        <v>349</v>
      </c>
      <c r="O232" s="68">
        <f>588-211</f>
        <v>377</v>
      </c>
      <c r="P232" s="68">
        <f>Q232-O232-N232-M232</f>
        <v>340</v>
      </c>
      <c r="Q232" s="36">
        <f>2443-1017</f>
        <v>1426</v>
      </c>
      <c r="R232" s="68">
        <f>185-62</f>
        <v>123</v>
      </c>
      <c r="S232" s="68">
        <v>330</v>
      </c>
      <c r="T232" s="68">
        <f>458-147</f>
        <v>311</v>
      </c>
      <c r="U232" s="68">
        <f>V232-T232-S232-R232</f>
        <v>309</v>
      </c>
      <c r="V232" s="36">
        <v>1073</v>
      </c>
      <c r="W232" s="68">
        <f>490-162+20</f>
        <v>348</v>
      </c>
      <c r="X232" s="68">
        <f>361-98</f>
        <v>263</v>
      </c>
      <c r="Y232" s="68">
        <f>356-110</f>
        <v>246</v>
      </c>
      <c r="Z232" s="68">
        <f>AA232-Y232-X232-W232</f>
        <v>370</v>
      </c>
      <c r="AA232" s="36">
        <f>1700-493+20</f>
        <v>1227</v>
      </c>
      <c r="AB232" s="68">
        <v>303</v>
      </c>
      <c r="AC232" s="68">
        <v>292</v>
      </c>
      <c r="AD232" s="68">
        <v>288</v>
      </c>
      <c r="AE232" s="68">
        <f>AF232-AD232-AC232-AB232</f>
        <v>263</v>
      </c>
      <c r="AF232" s="36">
        <v>1146</v>
      </c>
      <c r="AG232" s="143">
        <v>295</v>
      </c>
      <c r="AH232" s="143">
        <v>251</v>
      </c>
      <c r="AI232" s="143">
        <v>263</v>
      </c>
      <c r="AJ232" s="143">
        <f>AK232-AI232-AH232-AG232</f>
        <v>293</v>
      </c>
      <c r="AK232" s="36">
        <f>1580-478</f>
        <v>1102</v>
      </c>
      <c r="AL232" s="68">
        <v>346</v>
      </c>
      <c r="AM232" s="68">
        <f>562-180</f>
        <v>382</v>
      </c>
      <c r="AN232" s="68">
        <f>374-118</f>
        <v>256</v>
      </c>
      <c r="AO232" s="143">
        <f>AP232-AN232-AM232-AL232</f>
        <v>340</v>
      </c>
      <c r="AP232" s="36">
        <f>1816-492</f>
        <v>1324</v>
      </c>
      <c r="AQ232" s="68">
        <f>435-107</f>
        <v>328</v>
      </c>
      <c r="AR232" s="68">
        <v>326</v>
      </c>
      <c r="AS232" s="68">
        <f>426-83</f>
        <v>343</v>
      </c>
      <c r="AT232" s="143">
        <f>AU232-AS232-AR232-AQ232</f>
        <v>235</v>
      </c>
      <c r="AU232" s="36">
        <f>1631-399</f>
        <v>1232</v>
      </c>
      <c r="AV232" s="68">
        <v>319</v>
      </c>
      <c r="AW232" s="68">
        <f>414-97</f>
        <v>317</v>
      </c>
      <c r="AX232" s="68">
        <f>385-109</f>
        <v>276</v>
      </c>
      <c r="AY232" s="143">
        <f>AZ232-AX232-AW232-AV232</f>
        <v>260</v>
      </c>
      <c r="AZ232" s="36">
        <v>1172</v>
      </c>
      <c r="BA232" s="68">
        <v>263</v>
      </c>
      <c r="BB232" s="68">
        <v>202</v>
      </c>
      <c r="BC232" s="68">
        <v>257</v>
      </c>
      <c r="BD232" s="182">
        <v>-155</v>
      </c>
      <c r="BE232" s="36">
        <v>567</v>
      </c>
      <c r="BF232" s="68">
        <v>321</v>
      </c>
      <c r="BG232" s="68">
        <v>562</v>
      </c>
      <c r="BH232" s="68">
        <v>175</v>
      </c>
      <c r="BI232" s="182">
        <v>134</v>
      </c>
      <c r="BJ232" s="36">
        <v>1192</v>
      </c>
      <c r="BK232" s="68">
        <v>295</v>
      </c>
    </row>
    <row r="233" spans="1:63" ht="12" customHeight="1">
      <c r="A233" s="69" t="s">
        <v>7</v>
      </c>
      <c r="B233" s="23"/>
      <c r="C233" s="70"/>
      <c r="D233" s="70">
        <f>D232/C232-1</f>
        <v>0.18852459016393452</v>
      </c>
      <c r="E233" s="70">
        <f>E232/D232-1</f>
        <v>-6.5517241379310365E-2</v>
      </c>
      <c r="F233" s="70">
        <f>F232/E232-1</f>
        <v>-0.4649446494464945</v>
      </c>
      <c r="G233" s="23"/>
      <c r="H233" s="70">
        <f>H232/F232-1</f>
        <v>1.317241379310345</v>
      </c>
      <c r="I233" s="70">
        <f>I232/H232-1</f>
        <v>-5.9523809523809534E-2</v>
      </c>
      <c r="J233" s="70">
        <f>J232/I232-1</f>
        <v>9.493670886076E-3</v>
      </c>
      <c r="K233" s="70">
        <f>K232/J232-1</f>
        <v>-0.57366771159874608</v>
      </c>
      <c r="L233" s="23"/>
      <c r="M233" s="70">
        <f>M232/K232-1</f>
        <v>1.6470588235294117</v>
      </c>
      <c r="N233" s="70">
        <f>N232/M232-1</f>
        <v>-3.0555555555555558E-2</v>
      </c>
      <c r="O233" s="70">
        <f>O232/N232-1</f>
        <v>8.022922636103158E-2</v>
      </c>
      <c r="P233" s="70">
        <f>P232/O232-1</f>
        <v>-9.8143236074270557E-2</v>
      </c>
      <c r="Q233" s="23"/>
      <c r="R233" s="70">
        <f>R232/P232-1</f>
        <v>-0.63823529411764701</v>
      </c>
      <c r="S233" s="70">
        <f>S232/R232-1</f>
        <v>1.6829268292682928</v>
      </c>
      <c r="T233" s="70">
        <f>T232/S232-1</f>
        <v>-5.7575757575757613E-2</v>
      </c>
      <c r="U233" s="70">
        <f>U232/T232-1</f>
        <v>-6.4308681672026191E-3</v>
      </c>
      <c r="V233" s="23"/>
      <c r="W233" s="70">
        <f>W232/U232-1</f>
        <v>0.12621359223300965</v>
      </c>
      <c r="X233" s="70">
        <f>X232/W232-1</f>
        <v>-0.24425287356321834</v>
      </c>
      <c r="Y233" s="70">
        <f>Y232/X232-1</f>
        <v>-6.4638783269961975E-2</v>
      </c>
      <c r="Z233" s="70">
        <f>Z232/Y232-1</f>
        <v>0.50406504065040658</v>
      </c>
      <c r="AA233" s="23"/>
      <c r="AB233" s="70">
        <f>AB232/Z232-1</f>
        <v>-0.18108108108108112</v>
      </c>
      <c r="AC233" s="70">
        <f>AC232/AB232-1</f>
        <v>-3.6303630363036299E-2</v>
      </c>
      <c r="AD233" s="70">
        <f>AD232/AC232-1</f>
        <v>-1.3698630136986356E-2</v>
      </c>
      <c r="AE233" s="70">
        <f>AE232/AD232-1</f>
        <v>-8.680555555555558E-2</v>
      </c>
      <c r="AF233" s="23"/>
      <c r="AG233" s="70">
        <f>AG232/AE232-1</f>
        <v>0.1216730038022813</v>
      </c>
      <c r="AH233" s="70">
        <f>AH232/AG232-1</f>
        <v>-0.14915254237288134</v>
      </c>
      <c r="AI233" s="70">
        <f>AI232/AH232-1</f>
        <v>4.7808764940239001E-2</v>
      </c>
      <c r="AJ233" s="70">
        <f>AJ232/AI232-1</f>
        <v>0.11406844106463887</v>
      </c>
      <c r="AK233" s="23"/>
      <c r="AL233" s="70">
        <f>AL232/AJ232-1</f>
        <v>0.1808873720136519</v>
      </c>
      <c r="AM233" s="70">
        <f>AM232/AL232-1</f>
        <v>0.10404624277456653</v>
      </c>
      <c r="AN233" s="70">
        <f>AN232/AM232-1</f>
        <v>-0.32984293193717273</v>
      </c>
      <c r="AO233" s="70">
        <f>AO232/AN232-1</f>
        <v>0.328125</v>
      </c>
      <c r="AP233" s="23"/>
      <c r="AQ233" s="70">
        <f>AQ232/AO232-1</f>
        <v>-3.5294117647058809E-2</v>
      </c>
      <c r="AR233" s="70">
        <f>AR232/AQ232-1</f>
        <v>-6.0975609756097615E-3</v>
      </c>
      <c r="AS233" s="70">
        <f>AS232/AR232-1</f>
        <v>5.2147239263803602E-2</v>
      </c>
      <c r="AT233" s="70">
        <f>AT232/AS232-1</f>
        <v>-0.314868804664723</v>
      </c>
      <c r="AU233" s="23"/>
      <c r="AV233" s="70">
        <f>AV232/AT232-1</f>
        <v>0.35744680851063837</v>
      </c>
      <c r="AW233" s="70">
        <f>AW232/AV232-1</f>
        <v>-6.2695924764890609E-3</v>
      </c>
      <c r="AX233" s="70">
        <f>AX232/AW232-1</f>
        <v>-0.12933753943217663</v>
      </c>
      <c r="AY233" s="70">
        <f>AY232/AX232-1</f>
        <v>-5.7971014492753659E-2</v>
      </c>
      <c r="AZ233" s="23"/>
      <c r="BA233" s="70">
        <v>1.1538461538461497E-2</v>
      </c>
      <c r="BB233" s="70">
        <v>-0.23193916349809884</v>
      </c>
      <c r="BC233" s="70">
        <v>0.2722772277227723</v>
      </c>
      <c r="BD233" s="83" t="s">
        <v>39</v>
      </c>
      <c r="BE233" s="23"/>
      <c r="BF233" s="83" t="s">
        <v>39</v>
      </c>
      <c r="BG233" s="70">
        <v>0.75077881619937692</v>
      </c>
      <c r="BH233" s="70">
        <v>-0.68861209964412806</v>
      </c>
      <c r="BI233" s="70">
        <v>-0.23428571428571432</v>
      </c>
      <c r="BJ233" s="23"/>
      <c r="BK233" s="70">
        <v>1.2014925373134329</v>
      </c>
    </row>
    <row r="234" spans="1:63" ht="11.45" customHeight="1">
      <c r="A234" s="69" t="s">
        <v>8</v>
      </c>
      <c r="B234" s="23"/>
      <c r="C234" s="71"/>
      <c r="D234" s="71"/>
      <c r="E234" s="71"/>
      <c r="F234" s="71"/>
      <c r="G234" s="23">
        <f t="shared" ref="G234:N234" si="354">G232/B232-1</f>
        <v>0.28900949796472175</v>
      </c>
      <c r="H234" s="71">
        <f t="shared" si="354"/>
        <v>0.37704918032786883</v>
      </c>
      <c r="I234" s="71">
        <f t="shared" si="354"/>
        <v>8.9655172413793061E-2</v>
      </c>
      <c r="J234" s="71">
        <f t="shared" si="354"/>
        <v>0.17712177121771222</v>
      </c>
      <c r="K234" s="71">
        <f t="shared" si="354"/>
        <v>-6.2068965517241392E-2</v>
      </c>
      <c r="L234" s="23">
        <f t="shared" si="354"/>
        <v>0.16526315789473678</v>
      </c>
      <c r="M234" s="71">
        <f t="shared" si="354"/>
        <v>7.1428571428571397E-2</v>
      </c>
      <c r="N234" s="71">
        <f t="shared" si="354"/>
        <v>0.10443037974683533</v>
      </c>
      <c r="O234" s="71">
        <f t="shared" ref="O234:Y234" si="355">O232/J232-1</f>
        <v>0.18181818181818188</v>
      </c>
      <c r="P234" s="71">
        <f t="shared" si="355"/>
        <v>1.5</v>
      </c>
      <c r="Q234" s="23">
        <f t="shared" si="355"/>
        <v>0.28816621499548334</v>
      </c>
      <c r="R234" s="71">
        <f t="shared" si="355"/>
        <v>-0.65833333333333333</v>
      </c>
      <c r="S234" s="71">
        <f t="shared" si="355"/>
        <v>-5.4441260744985676E-2</v>
      </c>
      <c r="T234" s="71">
        <f t="shared" si="355"/>
        <v>-0.17506631299734743</v>
      </c>
      <c r="U234" s="71">
        <f t="shared" si="355"/>
        <v>-9.1176470588235303E-2</v>
      </c>
      <c r="V234" s="23">
        <f t="shared" si="355"/>
        <v>-0.24754558204768584</v>
      </c>
      <c r="W234" s="71">
        <f t="shared" si="355"/>
        <v>1.8292682926829267</v>
      </c>
      <c r="X234" s="71">
        <f t="shared" si="355"/>
        <v>-0.20303030303030301</v>
      </c>
      <c r="Y234" s="71">
        <f t="shared" si="355"/>
        <v>-0.20900321543408362</v>
      </c>
      <c r="Z234" s="71">
        <f t="shared" ref="Z234:AI234" si="356">Z232/U232-1</f>
        <v>0.19741100323624594</v>
      </c>
      <c r="AA234" s="23">
        <f t="shared" si="356"/>
        <v>0.14352283317800563</v>
      </c>
      <c r="AB234" s="71">
        <f t="shared" si="356"/>
        <v>-0.12931034482758619</v>
      </c>
      <c r="AC234" s="71">
        <f t="shared" si="356"/>
        <v>0.11026615969581743</v>
      </c>
      <c r="AD234" s="71">
        <f t="shared" si="356"/>
        <v>0.1707317073170731</v>
      </c>
      <c r="AE234" s="71">
        <f t="shared" si="356"/>
        <v>-0.28918918918918923</v>
      </c>
      <c r="AF234" s="23">
        <f t="shared" si="356"/>
        <v>-6.6014669926650393E-2</v>
      </c>
      <c r="AG234" s="71">
        <f t="shared" si="356"/>
        <v>-2.6402640264026389E-2</v>
      </c>
      <c r="AH234" s="71">
        <f t="shared" si="356"/>
        <v>-0.1404109589041096</v>
      </c>
      <c r="AI234" s="71">
        <f t="shared" si="356"/>
        <v>-8.680555555555558E-2</v>
      </c>
      <c r="AJ234" s="71">
        <f t="shared" ref="AJ234:AS234" si="357">AJ232/AE232-1</f>
        <v>0.11406844106463887</v>
      </c>
      <c r="AK234" s="23">
        <f t="shared" si="357"/>
        <v>-3.839441535776611E-2</v>
      </c>
      <c r="AL234" s="71">
        <f t="shared" si="357"/>
        <v>0.17288135593220333</v>
      </c>
      <c r="AM234" s="71">
        <f t="shared" si="357"/>
        <v>0.52191235059760954</v>
      </c>
      <c r="AN234" s="71">
        <f t="shared" si="357"/>
        <v>-2.6615969581749055E-2</v>
      </c>
      <c r="AO234" s="71">
        <f t="shared" si="357"/>
        <v>0.16040955631399312</v>
      </c>
      <c r="AP234" s="23">
        <f t="shared" si="357"/>
        <v>0.20145190562613435</v>
      </c>
      <c r="AQ234" s="71">
        <f t="shared" si="357"/>
        <v>-5.2023121387283267E-2</v>
      </c>
      <c r="AR234" s="71">
        <f t="shared" si="357"/>
        <v>-0.1465968586387435</v>
      </c>
      <c r="AS234" s="71">
        <f t="shared" si="357"/>
        <v>0.33984375</v>
      </c>
      <c r="AT234" s="71">
        <f t="shared" ref="AT234" si="358">AT232/AO232-1</f>
        <v>-0.30882352941176472</v>
      </c>
      <c r="AU234" s="23">
        <f t="shared" ref="AU234:AX234" si="359">AU232/AP232-1</f>
        <v>-6.9486404833836835E-2</v>
      </c>
      <c r="AV234" s="71">
        <f t="shared" si="359"/>
        <v>-2.7439024390243927E-2</v>
      </c>
      <c r="AW234" s="71">
        <f t="shared" si="359"/>
        <v>-2.7607361963190136E-2</v>
      </c>
      <c r="AX234" s="71">
        <f t="shared" si="359"/>
        <v>-0.19533527696793007</v>
      </c>
      <c r="AY234" s="71">
        <f t="shared" ref="AY234" si="360">AY232/AT232-1</f>
        <v>0.1063829787234043</v>
      </c>
      <c r="AZ234" s="23">
        <v>-4.870129870129869E-2</v>
      </c>
      <c r="BA234" s="71">
        <v>-0.17554858934169282</v>
      </c>
      <c r="BB234" s="71">
        <v>-0.36277602523659302</v>
      </c>
      <c r="BC234" s="71">
        <v>-6.88405797101449E-2</v>
      </c>
      <c r="BD234" s="83" t="s">
        <v>39</v>
      </c>
      <c r="BE234" s="23">
        <v>-0.5162116040955631</v>
      </c>
      <c r="BF234" s="71">
        <v>0.22053231939163509</v>
      </c>
      <c r="BG234" s="71">
        <v>1.782178217821782</v>
      </c>
      <c r="BH234" s="71">
        <v>-0.31906614785992216</v>
      </c>
      <c r="BI234" s="83" t="s">
        <v>39</v>
      </c>
      <c r="BJ234" s="23">
        <v>1.1022927689594355</v>
      </c>
      <c r="BK234" s="71">
        <v>-8.0996884735202501E-2</v>
      </c>
    </row>
    <row r="235" spans="1:63" ht="23.25" customHeight="1">
      <c r="A235" s="225" t="s">
        <v>250</v>
      </c>
      <c r="B235" s="23"/>
      <c r="C235" s="71"/>
      <c r="D235" s="71"/>
      <c r="E235" s="71"/>
      <c r="F235" s="71"/>
      <c r="G235" s="23"/>
      <c r="H235" s="71"/>
      <c r="I235" s="71"/>
      <c r="J235" s="71"/>
      <c r="K235" s="71"/>
      <c r="L235" s="23"/>
      <c r="M235" s="71"/>
      <c r="N235" s="71"/>
      <c r="O235" s="71"/>
      <c r="P235" s="71"/>
      <c r="Q235" s="23"/>
      <c r="R235" s="71"/>
      <c r="S235" s="71"/>
      <c r="T235" s="71"/>
      <c r="U235" s="71"/>
      <c r="V235" s="23"/>
      <c r="W235" s="71"/>
      <c r="X235" s="71"/>
      <c r="Y235" s="71"/>
      <c r="Z235" s="71"/>
      <c r="AA235" s="23"/>
      <c r="AB235" s="71"/>
      <c r="AC235" s="71"/>
      <c r="AD235" s="71"/>
      <c r="AE235" s="71"/>
      <c r="AF235" s="36">
        <f>AF232+(AF222*0.75)</f>
        <v>1087.5</v>
      </c>
      <c r="AG235" s="71"/>
      <c r="AH235" s="71"/>
      <c r="AI235" s="71"/>
      <c r="AJ235" s="71"/>
      <c r="AK235" s="36">
        <f>AK232+(AK222*0.75)</f>
        <v>1084.75</v>
      </c>
      <c r="AL235" s="71"/>
      <c r="AM235" s="71"/>
      <c r="AN235" s="71"/>
      <c r="AO235" s="71"/>
      <c r="AP235" s="36">
        <f>AP232+(AP222*0.75)</f>
        <v>1249.75</v>
      </c>
      <c r="AQ235" s="220">
        <f>AQ232+(AQ222*0.75)</f>
        <v>321.25</v>
      </c>
      <c r="AR235" s="220">
        <f>AR232+(AR222*0.75)</f>
        <v>317</v>
      </c>
      <c r="AS235" s="220">
        <f>AS232+(AS222*0.75)</f>
        <v>323.5</v>
      </c>
      <c r="AT235" s="143">
        <f>AU235-AS235-AR235-AQ235</f>
        <v>260.5</v>
      </c>
      <c r="AU235" s="36">
        <f>AU232+(AU222*0.75)</f>
        <v>1222.25</v>
      </c>
      <c r="AV235" s="220">
        <f>AV232+(AV222*0.76)</f>
        <v>315.95999999999998</v>
      </c>
      <c r="AW235" s="220">
        <f>AW232+(AW222*0.76)</f>
        <v>316.24</v>
      </c>
      <c r="AX235" s="220">
        <f>AX232+(AX222*0.76)</f>
        <v>257.76</v>
      </c>
      <c r="AY235" s="143">
        <f>AZ235-AX235-AW235-AV235</f>
        <v>264.56</v>
      </c>
      <c r="AZ235" s="36">
        <v>1154.52</v>
      </c>
      <c r="BA235" s="220">
        <v>276.86</v>
      </c>
      <c r="BB235" s="220">
        <v>270.52999999999997</v>
      </c>
      <c r="BC235" s="220">
        <v>255.46</v>
      </c>
      <c r="BD235" s="143">
        <v>236.92999999999995</v>
      </c>
      <c r="BE235" s="36">
        <v>1039.78</v>
      </c>
      <c r="BF235" s="220">
        <v>267.87</v>
      </c>
      <c r="BG235" s="220">
        <v>236.29000000000002</v>
      </c>
      <c r="BH235" s="220">
        <v>168.84</v>
      </c>
      <c r="BI235" s="143">
        <v>206.37999999999994</v>
      </c>
      <c r="BJ235" s="36">
        <v>879.38</v>
      </c>
      <c r="BK235" s="220">
        <v>291.92</v>
      </c>
    </row>
    <row r="236" spans="1:63" s="35" customFormat="1" ht="12.75" customHeight="1">
      <c r="A236" s="67" t="s">
        <v>189</v>
      </c>
      <c r="B236" s="36">
        <f>B216+B223</f>
        <v>2260</v>
      </c>
      <c r="C236" s="75">
        <f>C216+C223</f>
        <v>591</v>
      </c>
      <c r="D236" s="75">
        <f>D216+D223</f>
        <v>653</v>
      </c>
      <c r="E236" s="75">
        <f>E216+E223</f>
        <v>642</v>
      </c>
      <c r="F236" s="68">
        <f>G236-E236-D236-C236</f>
        <v>441</v>
      </c>
      <c r="G236" s="36">
        <f>G216+G223</f>
        <v>2327</v>
      </c>
      <c r="H236" s="75">
        <f>H216+H223</f>
        <v>648</v>
      </c>
      <c r="I236" s="75">
        <f>I216+I223</f>
        <v>639</v>
      </c>
      <c r="J236" s="75">
        <f>J216+J223</f>
        <v>675</v>
      </c>
      <c r="K236" s="68">
        <f>L236-J236-I236-H236</f>
        <v>355</v>
      </c>
      <c r="L236" s="36">
        <f>L216+L223</f>
        <v>2317</v>
      </c>
      <c r="M236" s="75">
        <f>M216+M223</f>
        <v>660</v>
      </c>
      <c r="N236" s="75">
        <f>N216+N223</f>
        <v>674</v>
      </c>
      <c r="O236" s="75">
        <f>O216+O223</f>
        <v>727</v>
      </c>
      <c r="P236" s="68">
        <f>Q236-O236-N236-M236</f>
        <v>672</v>
      </c>
      <c r="Q236" s="36">
        <f>Q216+Q223</f>
        <v>2733</v>
      </c>
      <c r="R236" s="75">
        <f>R216+R223</f>
        <v>373</v>
      </c>
      <c r="S236" s="75">
        <f>S216+S223</f>
        <v>688</v>
      </c>
      <c r="T236" s="75">
        <f>T216+T223</f>
        <v>726</v>
      </c>
      <c r="U236" s="68">
        <f>V236-T236-S236-R236</f>
        <v>572</v>
      </c>
      <c r="V236" s="36">
        <f>V216+V223</f>
        <v>2359</v>
      </c>
      <c r="W236" s="75">
        <f>W216+W223</f>
        <v>717</v>
      </c>
      <c r="X236" s="75">
        <f>X216+X223</f>
        <v>615</v>
      </c>
      <c r="Y236" s="75">
        <f>Y216+Y223</f>
        <v>604</v>
      </c>
      <c r="Z236" s="68">
        <f>AA236-Y236-X236-W236</f>
        <v>753</v>
      </c>
      <c r="AA236" s="36">
        <f>AA216+AA223</f>
        <v>2689</v>
      </c>
      <c r="AB236" s="75">
        <f>AB216+AB223</f>
        <v>702</v>
      </c>
      <c r="AC236" s="75">
        <f>AC216+AC223</f>
        <v>678</v>
      </c>
      <c r="AD236" s="75">
        <f>AD216+AD223</f>
        <v>668</v>
      </c>
      <c r="AE236" s="68">
        <f>AF236-AD236-AC236-AB236</f>
        <v>633</v>
      </c>
      <c r="AF236" s="36">
        <f>AF216+AF223</f>
        <v>2681</v>
      </c>
      <c r="AG236" s="75">
        <f>AG216+AG223</f>
        <v>672</v>
      </c>
      <c r="AH236" s="75">
        <f>AH216+AH223</f>
        <v>643</v>
      </c>
      <c r="AI236" s="75">
        <f>AI216+AI223</f>
        <v>676</v>
      </c>
      <c r="AJ236" s="68">
        <f>AK236-AI236-AH236-AG236</f>
        <v>677</v>
      </c>
      <c r="AK236" s="36">
        <f>AK216+AK223</f>
        <v>2668</v>
      </c>
      <c r="AL236" s="75">
        <f>AL216+AL223</f>
        <v>723</v>
      </c>
      <c r="AM236" s="75">
        <f>AM216+AM223</f>
        <v>842</v>
      </c>
      <c r="AN236" s="75">
        <f>AN216+AN223</f>
        <v>696</v>
      </c>
      <c r="AO236" s="68">
        <f>AP236-AN236-AM236-AL236</f>
        <v>612</v>
      </c>
      <c r="AP236" s="36">
        <f>AP216+AP223</f>
        <v>2873</v>
      </c>
      <c r="AQ236" s="75">
        <f>AQ216+AQ223</f>
        <v>719</v>
      </c>
      <c r="AR236" s="75">
        <f>AR216+AR223</f>
        <v>725</v>
      </c>
      <c r="AS236" s="75">
        <f>AS216+AS223</f>
        <v>707</v>
      </c>
      <c r="AT236" s="68">
        <f>AU236-AS236-AR236-AQ236</f>
        <v>642</v>
      </c>
      <c r="AU236" s="36">
        <f>AU216+AU223</f>
        <v>2793</v>
      </c>
      <c r="AV236" s="75">
        <f>AV216+AV223</f>
        <v>693</v>
      </c>
      <c r="AW236" s="75">
        <f>AW216+AW223</f>
        <v>673</v>
      </c>
      <c r="AX236" s="75">
        <f>AX216+AX223</f>
        <v>678</v>
      </c>
      <c r="AY236" s="68">
        <f>AZ236-AX236-AW236-AV236</f>
        <v>655</v>
      </c>
      <c r="AZ236" s="36">
        <v>2699</v>
      </c>
      <c r="BA236" s="75">
        <v>677</v>
      </c>
      <c r="BB236" s="75">
        <v>598</v>
      </c>
      <c r="BC236" s="75">
        <v>669</v>
      </c>
      <c r="BD236" s="68">
        <v>130</v>
      </c>
      <c r="BE236" s="36">
        <v>2074</v>
      </c>
      <c r="BF236" s="75">
        <v>738</v>
      </c>
      <c r="BG236" s="75">
        <v>1079</v>
      </c>
      <c r="BH236" s="75">
        <v>665</v>
      </c>
      <c r="BI236" s="68">
        <v>521</v>
      </c>
      <c r="BJ236" s="36">
        <v>3003</v>
      </c>
      <c r="BK236" s="75">
        <v>651</v>
      </c>
    </row>
    <row r="237" spans="1:63" ht="10.15" customHeight="1">
      <c r="A237" s="69" t="s">
        <v>7</v>
      </c>
      <c r="B237" s="23"/>
      <c r="C237" s="70"/>
      <c r="D237" s="70">
        <f>D236/C236-1</f>
        <v>0.10490693739424706</v>
      </c>
      <c r="E237" s="70">
        <f>E236/D236-1</f>
        <v>-1.6845329249617125E-2</v>
      </c>
      <c r="F237" s="70">
        <f>F236/E236-1</f>
        <v>-0.31308411214953269</v>
      </c>
      <c r="G237" s="23"/>
      <c r="H237" s="70">
        <f>H236/F236-1</f>
        <v>0.46938775510204089</v>
      </c>
      <c r="I237" s="70">
        <f>I236/H236-1</f>
        <v>-1.388888888888884E-2</v>
      </c>
      <c r="J237" s="70">
        <f>J236/I236-1</f>
        <v>5.6338028169014009E-2</v>
      </c>
      <c r="K237" s="70">
        <f>K236/J236-1</f>
        <v>-0.47407407407407409</v>
      </c>
      <c r="L237" s="23"/>
      <c r="M237" s="70">
        <f>M236/K236-1</f>
        <v>0.85915492957746475</v>
      </c>
      <c r="N237" s="70">
        <f>N236/M236-1</f>
        <v>2.1212121212121238E-2</v>
      </c>
      <c r="O237" s="70">
        <f>O236/N236-1</f>
        <v>7.8635014836795358E-2</v>
      </c>
      <c r="P237" s="70">
        <f>P236/O236-1</f>
        <v>-7.5653370013755161E-2</v>
      </c>
      <c r="Q237" s="23"/>
      <c r="R237" s="70">
        <f>R236/P236-1</f>
        <v>-0.44494047619047616</v>
      </c>
      <c r="S237" s="70">
        <f>S236/R236-1</f>
        <v>0.84450402144772108</v>
      </c>
      <c r="T237" s="70">
        <f>T236/S236-1</f>
        <v>5.5232558139534982E-2</v>
      </c>
      <c r="U237" s="70">
        <f>U236/T236-1</f>
        <v>-0.21212121212121215</v>
      </c>
      <c r="V237" s="23"/>
      <c r="W237" s="70">
        <f>W236/U236-1</f>
        <v>0.25349650349650354</v>
      </c>
      <c r="X237" s="70">
        <f>X236/W236-1</f>
        <v>-0.14225941422594146</v>
      </c>
      <c r="Y237" s="70">
        <f>Y236/X236-1</f>
        <v>-1.7886178861788671E-2</v>
      </c>
      <c r="Z237" s="70">
        <f>Z236/Y236-1</f>
        <v>0.2466887417218544</v>
      </c>
      <c r="AA237" s="23"/>
      <c r="AB237" s="70">
        <f>AB236/Z236-1</f>
        <v>-6.7729083665338696E-2</v>
      </c>
      <c r="AC237" s="70">
        <f>AC236/AB236-1</f>
        <v>-3.4188034188034178E-2</v>
      </c>
      <c r="AD237" s="70">
        <f>AD236/AC236-1</f>
        <v>-1.4749262536873142E-2</v>
      </c>
      <c r="AE237" s="70">
        <f>AE236/AD236-1</f>
        <v>-5.239520958083832E-2</v>
      </c>
      <c r="AF237" s="23"/>
      <c r="AG237" s="70">
        <f>AG236/AE236-1</f>
        <v>6.1611374407583019E-2</v>
      </c>
      <c r="AH237" s="70">
        <f>AH236/AG236-1</f>
        <v>-4.3154761904761862E-2</v>
      </c>
      <c r="AI237" s="70">
        <f>AI236/AH236-1</f>
        <v>5.1321928460342114E-2</v>
      </c>
      <c r="AJ237" s="70">
        <f>AJ236/AI236-1</f>
        <v>1.4792899408284654E-3</v>
      </c>
      <c r="AK237" s="23"/>
      <c r="AL237" s="70">
        <f>AL236/AJ236-1</f>
        <v>6.794682422452003E-2</v>
      </c>
      <c r="AM237" s="70">
        <f>AM236/AL236-1</f>
        <v>0.16459197786998625</v>
      </c>
      <c r="AN237" s="70">
        <f>AN236/AM236-1</f>
        <v>-0.17339667458432306</v>
      </c>
      <c r="AO237" s="70">
        <f>AO236/AN236-1</f>
        <v>-0.12068965517241381</v>
      </c>
      <c r="AP237" s="23"/>
      <c r="AQ237" s="70">
        <f>AQ236/AO236-1</f>
        <v>0.17483660130718959</v>
      </c>
      <c r="AR237" s="70">
        <f>AR236/AQ236-1</f>
        <v>8.3449235048678183E-3</v>
      </c>
      <c r="AS237" s="70">
        <f>AS236/AR236-1</f>
        <v>-2.4827586206896513E-2</v>
      </c>
      <c r="AT237" s="70">
        <f>AT236/AS236-1</f>
        <v>-9.1937765205091893E-2</v>
      </c>
      <c r="AU237" s="23"/>
      <c r="AV237" s="70">
        <f>AV236/AT236-1</f>
        <v>7.9439252336448662E-2</v>
      </c>
      <c r="AW237" s="70">
        <f>AW236/AV236-1</f>
        <v>-2.8860028860028808E-2</v>
      </c>
      <c r="AX237" s="70">
        <f>AX236/AW236-1</f>
        <v>7.429420505200568E-3</v>
      </c>
      <c r="AY237" s="70">
        <f>AY236/AX236-1</f>
        <v>-3.3923303834808238E-2</v>
      </c>
      <c r="AZ237" s="23"/>
      <c r="BA237" s="70">
        <v>3.3587786259541952E-2</v>
      </c>
      <c r="BB237" s="70">
        <v>-0.11669128508124071</v>
      </c>
      <c r="BC237" s="70">
        <v>0.11872909698996659</v>
      </c>
      <c r="BD237" s="70">
        <v>-0.8056801195814649</v>
      </c>
      <c r="BE237" s="23"/>
      <c r="BF237" s="70">
        <v>4.6769230769230772</v>
      </c>
      <c r="BG237" s="70">
        <v>0.46205962059620598</v>
      </c>
      <c r="BH237" s="70">
        <v>-0.38368860055607046</v>
      </c>
      <c r="BI237" s="70">
        <v>-0.2165413533834587</v>
      </c>
      <c r="BJ237" s="23"/>
      <c r="BK237" s="70">
        <v>0.24952015355086377</v>
      </c>
    </row>
    <row r="238" spans="1:63" ht="9.75" customHeight="1">
      <c r="A238" s="69" t="s">
        <v>8</v>
      </c>
      <c r="B238" s="23"/>
      <c r="C238" s="71"/>
      <c r="D238" s="71"/>
      <c r="E238" s="71"/>
      <c r="F238" s="71"/>
      <c r="G238" s="23">
        <f t="shared" ref="G238:AY238" si="361">G236/B236-1</f>
        <v>2.9646017699115124E-2</v>
      </c>
      <c r="H238" s="71">
        <f t="shared" si="361"/>
        <v>9.6446700507614169E-2</v>
      </c>
      <c r="I238" s="71">
        <f t="shared" si="361"/>
        <v>-2.1439509954058189E-2</v>
      </c>
      <c r="J238" s="71">
        <f t="shared" si="361"/>
        <v>5.1401869158878455E-2</v>
      </c>
      <c r="K238" s="71">
        <f t="shared" si="361"/>
        <v>-0.19501133786848068</v>
      </c>
      <c r="L238" s="23">
        <f t="shared" si="361"/>
        <v>-4.2973785990545466E-3</v>
      </c>
      <c r="M238" s="71">
        <f t="shared" si="361"/>
        <v>1.8518518518518601E-2</v>
      </c>
      <c r="N238" s="71">
        <f t="shared" si="361"/>
        <v>5.4773082942096929E-2</v>
      </c>
      <c r="O238" s="71">
        <f t="shared" si="361"/>
        <v>7.7037037037037015E-2</v>
      </c>
      <c r="P238" s="71">
        <f t="shared" si="361"/>
        <v>0.89295774647887316</v>
      </c>
      <c r="Q238" s="23">
        <f t="shared" si="361"/>
        <v>0.17954251186879588</v>
      </c>
      <c r="R238" s="71">
        <f t="shared" si="361"/>
        <v>-0.43484848484848482</v>
      </c>
      <c r="S238" s="71">
        <f t="shared" si="361"/>
        <v>2.0771513353115667E-2</v>
      </c>
      <c r="T238" s="71">
        <f t="shared" si="361"/>
        <v>-1.3755158184318717E-3</v>
      </c>
      <c r="U238" s="71">
        <f t="shared" si="361"/>
        <v>-0.14880952380952384</v>
      </c>
      <c r="V238" s="23">
        <f t="shared" si="361"/>
        <v>-0.13684595682400291</v>
      </c>
      <c r="W238" s="71">
        <f t="shared" si="361"/>
        <v>0.92225201072386054</v>
      </c>
      <c r="X238" s="71">
        <f t="shared" si="361"/>
        <v>-0.10610465116279066</v>
      </c>
      <c r="Y238" s="71">
        <f t="shared" si="361"/>
        <v>-0.16804407713498626</v>
      </c>
      <c r="Z238" s="71">
        <f t="shared" si="361"/>
        <v>0.31643356643356646</v>
      </c>
      <c r="AA238" s="23">
        <f t="shared" si="361"/>
        <v>0.1398897838066977</v>
      </c>
      <c r="AB238" s="71">
        <f t="shared" si="361"/>
        <v>-2.0920502092050208E-2</v>
      </c>
      <c r="AC238" s="71">
        <f t="shared" si="361"/>
        <v>0.10243902439024399</v>
      </c>
      <c r="AD238" s="71">
        <f t="shared" si="361"/>
        <v>0.10596026490066235</v>
      </c>
      <c r="AE238" s="71">
        <f t="shared" si="361"/>
        <v>-0.15936254980079678</v>
      </c>
      <c r="AF238" s="23">
        <f t="shared" si="361"/>
        <v>-2.9750836742283848E-3</v>
      </c>
      <c r="AG238" s="71">
        <f t="shared" si="361"/>
        <v>-4.2735042735042694E-2</v>
      </c>
      <c r="AH238" s="71">
        <f t="shared" si="361"/>
        <v>-5.1622418879056053E-2</v>
      </c>
      <c r="AI238" s="71">
        <f t="shared" si="361"/>
        <v>1.1976047904191711E-2</v>
      </c>
      <c r="AJ238" s="71">
        <f t="shared" si="361"/>
        <v>6.9510268562401167E-2</v>
      </c>
      <c r="AK238" s="23">
        <f t="shared" si="361"/>
        <v>-4.8489369638194946E-3</v>
      </c>
      <c r="AL238" s="71">
        <f t="shared" si="361"/>
        <v>7.5892857142857206E-2</v>
      </c>
      <c r="AM238" s="71">
        <f t="shared" si="361"/>
        <v>0.30948678071539648</v>
      </c>
      <c r="AN238" s="71">
        <f t="shared" si="361"/>
        <v>2.9585798816567976E-2</v>
      </c>
      <c r="AO238" s="71">
        <f t="shared" si="361"/>
        <v>-9.6011816838995623E-2</v>
      </c>
      <c r="AP238" s="23">
        <f t="shared" si="361"/>
        <v>7.6836581709145424E-2</v>
      </c>
      <c r="AQ238" s="71">
        <f t="shared" si="361"/>
        <v>-5.5325034578146415E-3</v>
      </c>
      <c r="AR238" s="71">
        <f t="shared" si="361"/>
        <v>-0.13895486935866985</v>
      </c>
      <c r="AS238" s="71">
        <f t="shared" si="361"/>
        <v>1.5804597701149392E-2</v>
      </c>
      <c r="AT238" s="71">
        <f t="shared" si="361"/>
        <v>4.9019607843137303E-2</v>
      </c>
      <c r="AU238" s="23">
        <f t="shared" si="361"/>
        <v>-2.7845457709711141E-2</v>
      </c>
      <c r="AV238" s="71">
        <f t="shared" si="361"/>
        <v>-3.6161335187760768E-2</v>
      </c>
      <c r="AW238" s="71">
        <f t="shared" si="361"/>
        <v>-7.1724137931034493E-2</v>
      </c>
      <c r="AX238" s="71">
        <f t="shared" si="361"/>
        <v>-4.1018387553040991E-2</v>
      </c>
      <c r="AY238" s="71">
        <f t="shared" si="361"/>
        <v>2.024922118380057E-2</v>
      </c>
      <c r="AZ238" s="23">
        <v>-3.365556749015397E-2</v>
      </c>
      <c r="BA238" s="71">
        <v>-2.3088023088023046E-2</v>
      </c>
      <c r="BB238" s="71">
        <v>-0.11144130757800896</v>
      </c>
      <c r="BC238" s="71">
        <v>-1.3274336283185861E-2</v>
      </c>
      <c r="BD238" s="71">
        <v>-0.80152671755725191</v>
      </c>
      <c r="BE238" s="23">
        <v>-0.23156724712856613</v>
      </c>
      <c r="BF238" s="71">
        <v>9.0103397341211311E-2</v>
      </c>
      <c r="BG238" s="71">
        <v>0.80434782608695654</v>
      </c>
      <c r="BH238" s="71">
        <v>-5.9790732436472149E-3</v>
      </c>
      <c r="BI238" s="71">
        <v>3.0076923076923077</v>
      </c>
      <c r="BJ238" s="23">
        <v>0.44792671166827391</v>
      </c>
      <c r="BK238" s="71">
        <v>-0.11788617886178865</v>
      </c>
    </row>
    <row r="239" spans="1:63" ht="22.5" customHeight="1">
      <c r="A239" s="87" t="s">
        <v>260</v>
      </c>
      <c r="B239" s="36">
        <f>B236+B222</f>
        <v>2299</v>
      </c>
      <c r="C239" s="78" t="s">
        <v>48</v>
      </c>
      <c r="D239" s="78" t="s">
        <v>48</v>
      </c>
      <c r="E239" s="78" t="s">
        <v>48</v>
      </c>
      <c r="F239" s="78" t="s">
        <v>48</v>
      </c>
      <c r="G239" s="36">
        <f>G236+G222</f>
        <v>2423</v>
      </c>
      <c r="H239" s="220">
        <f>H236+H222</f>
        <v>628</v>
      </c>
      <c r="I239" s="220">
        <f>I236+I222</f>
        <v>643</v>
      </c>
      <c r="J239" s="220">
        <f>J236+J222</f>
        <v>637</v>
      </c>
      <c r="K239" s="220">
        <f>L239-J239-I239-H239</f>
        <v>611</v>
      </c>
      <c r="L239" s="36">
        <f>L236+L222</f>
        <v>2519</v>
      </c>
      <c r="M239" s="220">
        <f>M236+M222</f>
        <v>635</v>
      </c>
      <c r="N239" s="220">
        <f>N236+N222</f>
        <v>661</v>
      </c>
      <c r="O239" s="220">
        <f>O236+O222</f>
        <v>668</v>
      </c>
      <c r="P239" s="220">
        <f>Q239-O239-N239-M239</f>
        <v>611</v>
      </c>
      <c r="Q239" s="36">
        <f>Q236+Q222</f>
        <v>2575</v>
      </c>
      <c r="R239" s="220">
        <f>R236+R222</f>
        <v>623</v>
      </c>
      <c r="S239" s="220">
        <f>S236+S222</f>
        <v>626</v>
      </c>
      <c r="T239" s="220">
        <f>T236+T222</f>
        <v>620</v>
      </c>
      <c r="U239" s="220">
        <f>V239-T239-S239-R239</f>
        <v>629</v>
      </c>
      <c r="V239" s="36">
        <f>V236+V222</f>
        <v>2498</v>
      </c>
      <c r="W239" s="220">
        <f>W236+W222</f>
        <v>695</v>
      </c>
      <c r="X239" s="220">
        <f>X236+X222</f>
        <v>631</v>
      </c>
      <c r="Y239" s="220">
        <f>Y236+Y222</f>
        <v>597</v>
      </c>
      <c r="Z239" s="220">
        <f>AA239-Y239-X239-W239</f>
        <v>638</v>
      </c>
      <c r="AA239" s="36">
        <f>AA236+AA222</f>
        <v>2561</v>
      </c>
      <c r="AB239" s="220">
        <f>AB236+AB222</f>
        <v>629</v>
      </c>
      <c r="AC239" s="220">
        <f>AC236+AC222</f>
        <v>661</v>
      </c>
      <c r="AD239" s="220">
        <f>AD236+AD222</f>
        <v>660</v>
      </c>
      <c r="AE239" s="220">
        <f>AF239-AD239-AC239-AB239</f>
        <v>653</v>
      </c>
      <c r="AF239" s="36">
        <f>AF236+AF222</f>
        <v>2603</v>
      </c>
      <c r="AG239" s="220">
        <f>AG236+AG222</f>
        <v>664</v>
      </c>
      <c r="AH239" s="220">
        <f>AH236+AH222</f>
        <v>657</v>
      </c>
      <c r="AI239" s="220">
        <f>AI236+AI222</f>
        <v>651</v>
      </c>
      <c r="AJ239" s="220">
        <f>AK239-AI239-AH239-AG239</f>
        <v>673</v>
      </c>
      <c r="AK239" s="36">
        <f>AK236+AK222</f>
        <v>2645</v>
      </c>
      <c r="AL239" s="220">
        <f>AL236+AL222</f>
        <v>706</v>
      </c>
      <c r="AM239" s="220">
        <f>AM236+AM222</f>
        <v>703</v>
      </c>
      <c r="AN239" s="220">
        <f>AN236+AN222</f>
        <v>683</v>
      </c>
      <c r="AO239" s="220">
        <f>AP239-AN239-AM239-AL239</f>
        <v>682</v>
      </c>
      <c r="AP239" s="36">
        <f>AP236+AP222</f>
        <v>2774</v>
      </c>
      <c r="AQ239" s="220">
        <f>AQ236+AQ222</f>
        <v>710</v>
      </c>
      <c r="AR239" s="220">
        <f>AR236+AR222</f>
        <v>713</v>
      </c>
      <c r="AS239" s="220">
        <f>AS236+AS222</f>
        <v>681</v>
      </c>
      <c r="AT239" s="220">
        <f>AU239-AS239-AR239-AQ239</f>
        <v>676</v>
      </c>
      <c r="AU239" s="36">
        <f>AU236+AU222</f>
        <v>2780</v>
      </c>
      <c r="AV239" s="220">
        <f>AV236+AV222</f>
        <v>689</v>
      </c>
      <c r="AW239" s="220">
        <f>AW236+AW222</f>
        <v>672</v>
      </c>
      <c r="AX239" s="220">
        <f>AX236+AX222</f>
        <v>654</v>
      </c>
      <c r="AY239" s="220">
        <f>AZ239-AX239-AW239-AV239</f>
        <v>661</v>
      </c>
      <c r="AZ239" s="36">
        <v>2676</v>
      </c>
      <c r="BA239" s="220">
        <v>695</v>
      </c>
      <c r="BB239" s="220">
        <v>687</v>
      </c>
      <c r="BC239" s="220">
        <v>667</v>
      </c>
      <c r="BD239" s="220">
        <v>639</v>
      </c>
      <c r="BE239" s="36">
        <v>2688</v>
      </c>
      <c r="BF239" s="220">
        <v>669</v>
      </c>
      <c r="BG239" s="220">
        <v>656</v>
      </c>
      <c r="BH239" s="220">
        <v>657</v>
      </c>
      <c r="BI239" s="220">
        <v>615</v>
      </c>
      <c r="BJ239" s="36">
        <v>2597</v>
      </c>
      <c r="BK239" s="220">
        <v>647</v>
      </c>
    </row>
    <row r="240" spans="1:63" ht="9.75" customHeight="1">
      <c r="A240" s="69" t="s">
        <v>7</v>
      </c>
      <c r="B240" s="23"/>
      <c r="C240" s="70"/>
      <c r="D240" s="70"/>
      <c r="E240" s="70"/>
      <c r="F240" s="70"/>
      <c r="G240" s="23"/>
      <c r="H240" s="70"/>
      <c r="I240" s="70">
        <f>I239/H239-1</f>
        <v>2.3885350318471277E-2</v>
      </c>
      <c r="J240" s="70">
        <f>J239/I239-1</f>
        <v>-9.3312597200622127E-3</v>
      </c>
      <c r="K240" s="70">
        <f>K239/J239-1</f>
        <v>-4.081632653061229E-2</v>
      </c>
      <c r="L240" s="23"/>
      <c r="M240" s="70">
        <f>M239/K239-1</f>
        <v>3.9279869067103013E-2</v>
      </c>
      <c r="N240" s="70">
        <f>N239/M239-1</f>
        <v>4.0944881889763751E-2</v>
      </c>
      <c r="O240" s="70">
        <f>O239/N239-1</f>
        <v>1.0590015128593144E-2</v>
      </c>
      <c r="P240" s="70">
        <f>P239/O239-1</f>
        <v>-8.5329341317365248E-2</v>
      </c>
      <c r="Q240" s="23"/>
      <c r="R240" s="70">
        <f>R239/P239-1</f>
        <v>1.9639934533551617E-2</v>
      </c>
      <c r="S240" s="70">
        <f>S239/R239-1</f>
        <v>4.8154093097914075E-3</v>
      </c>
      <c r="T240" s="70">
        <f>T239/S239-1</f>
        <v>-9.5846645367412275E-3</v>
      </c>
      <c r="U240" s="70">
        <f>U239/T239-1</f>
        <v>1.4516129032257963E-2</v>
      </c>
      <c r="V240" s="23"/>
      <c r="W240" s="70">
        <f>W239/U239-1</f>
        <v>0.10492845786963434</v>
      </c>
      <c r="X240" s="70">
        <f>X239/W239-1</f>
        <v>-9.2086330935251759E-2</v>
      </c>
      <c r="Y240" s="70">
        <f>Y239/X239-1</f>
        <v>-5.3882725832012701E-2</v>
      </c>
      <c r="Z240" s="70">
        <f>Z239/Y239-1</f>
        <v>6.8676716917922986E-2</v>
      </c>
      <c r="AA240" s="23"/>
      <c r="AB240" s="70">
        <f>AB239/Z239-1</f>
        <v>-1.4106583072100332E-2</v>
      </c>
      <c r="AC240" s="70">
        <f>AC239/AB239-1</f>
        <v>5.0874403815580393E-2</v>
      </c>
      <c r="AD240" s="70">
        <f>AD239/AC239-1</f>
        <v>-1.5128593040847349E-3</v>
      </c>
      <c r="AE240" s="70">
        <f>AE239/AD239-1</f>
        <v>-1.0606060606060619E-2</v>
      </c>
      <c r="AF240" s="23"/>
      <c r="AG240" s="70">
        <f>AG239/AE239-1</f>
        <v>1.6845329249617125E-2</v>
      </c>
      <c r="AH240" s="70">
        <f>AH239/AG239-1</f>
        <v>-1.0542168674698815E-2</v>
      </c>
      <c r="AI240" s="70">
        <f>AI239/AH239-1</f>
        <v>-9.1324200913242004E-3</v>
      </c>
      <c r="AJ240" s="70">
        <f>AJ239/AI239-1</f>
        <v>3.3794162826420893E-2</v>
      </c>
      <c r="AK240" s="23"/>
      <c r="AL240" s="70">
        <f>AL239/AJ239-1</f>
        <v>4.9034175334323971E-2</v>
      </c>
      <c r="AM240" s="70">
        <f>AM239/AL239-1</f>
        <v>-4.2492917847025691E-3</v>
      </c>
      <c r="AN240" s="70">
        <f>AN239/AM239-1</f>
        <v>-2.8449502133712667E-2</v>
      </c>
      <c r="AO240" s="70">
        <f>AO239/AN239-1</f>
        <v>-1.4641288433382416E-3</v>
      </c>
      <c r="AP240" s="23"/>
      <c r="AQ240" s="70">
        <f>AQ239/AO239-1</f>
        <v>4.1055718475073277E-2</v>
      </c>
      <c r="AR240" s="70">
        <f>AR239/AQ239-1</f>
        <v>4.2253521126760507E-3</v>
      </c>
      <c r="AS240" s="70">
        <f>AS239/AR239-1</f>
        <v>-4.4880785413744739E-2</v>
      </c>
      <c r="AT240" s="70">
        <f>AT239/AS239-1</f>
        <v>-7.342143906020504E-3</v>
      </c>
      <c r="AU240" s="23"/>
      <c r="AV240" s="70">
        <f>AV239/AT239-1</f>
        <v>1.9230769230769162E-2</v>
      </c>
      <c r="AW240" s="70">
        <f>AW239/AV239-1</f>
        <v>-2.4673439767779359E-2</v>
      </c>
      <c r="AX240" s="70">
        <f>AX239/AW239-1</f>
        <v>-2.6785714285714302E-2</v>
      </c>
      <c r="AY240" s="70">
        <f>AY239/AX239-1</f>
        <v>1.0703363914372988E-2</v>
      </c>
      <c r="AZ240" s="23"/>
      <c r="BA240" s="70">
        <v>5.1437216338880543E-2</v>
      </c>
      <c r="BB240" s="70">
        <v>-1.151079136690647E-2</v>
      </c>
      <c r="BC240" s="70">
        <v>-2.911208151382827E-2</v>
      </c>
      <c r="BD240" s="70">
        <v>-4.1979010494752611E-2</v>
      </c>
      <c r="BE240" s="23"/>
      <c r="BF240" s="70">
        <v>4.6948356807511749E-2</v>
      </c>
      <c r="BG240" s="70">
        <v>-1.9431988041853532E-2</v>
      </c>
      <c r="BH240" s="70">
        <v>1.5243902439023849E-3</v>
      </c>
      <c r="BI240" s="70">
        <v>-6.3926940639269403E-2</v>
      </c>
      <c r="BJ240" s="23"/>
      <c r="BK240" s="70">
        <v>5.2032520325203224E-2</v>
      </c>
    </row>
    <row r="241" spans="1:63" ht="9.75" customHeight="1">
      <c r="A241" s="69" t="s">
        <v>8</v>
      </c>
      <c r="B241" s="23"/>
      <c r="C241" s="71"/>
      <c r="D241" s="71"/>
      <c r="E241" s="71"/>
      <c r="F241" s="71"/>
      <c r="G241" s="23">
        <f t="shared" ref="G241" si="362">G239/B239-1</f>
        <v>5.3936494127881707E-2</v>
      </c>
      <c r="H241" s="71"/>
      <c r="I241" s="71"/>
      <c r="J241" s="71"/>
      <c r="K241" s="71"/>
      <c r="L241" s="23">
        <f t="shared" ref="L241" si="363">L239/G239-1</f>
        <v>3.962030540652095E-2</v>
      </c>
      <c r="M241" s="71">
        <f t="shared" ref="M241" si="364">M239/H239-1</f>
        <v>1.1146496815286566E-2</v>
      </c>
      <c r="N241" s="71">
        <f t="shared" ref="N241" si="365">N239/I239-1</f>
        <v>2.7993779160186527E-2</v>
      </c>
      <c r="O241" s="71">
        <f t="shared" ref="O241" si="366">O239/J239-1</f>
        <v>4.8665620094191508E-2</v>
      </c>
      <c r="P241" s="71">
        <f t="shared" ref="P241" si="367">P239/K239-1</f>
        <v>0</v>
      </c>
      <c r="Q241" s="23">
        <f t="shared" ref="Q241" si="368">Q239/L239-1</f>
        <v>2.2231044065105232E-2</v>
      </c>
      <c r="R241" s="71">
        <f t="shared" ref="R241" si="369">R239/M239-1</f>
        <v>-1.8897637795275646E-2</v>
      </c>
      <c r="S241" s="71">
        <f t="shared" ref="S241" si="370">S239/N239-1</f>
        <v>-5.2950075642965166E-2</v>
      </c>
      <c r="T241" s="71">
        <f t="shared" ref="T241" si="371">T239/O239-1</f>
        <v>-7.1856287425149712E-2</v>
      </c>
      <c r="U241" s="71">
        <f t="shared" ref="U241" si="372">U239/P239-1</f>
        <v>2.9459901800327426E-2</v>
      </c>
      <c r="V241" s="23">
        <f t="shared" ref="V241" si="373">V239/Q239-1</f>
        <v>-2.9902912621359246E-2</v>
      </c>
      <c r="W241" s="71">
        <f t="shared" ref="W241" si="374">W239/R239-1</f>
        <v>0.115569823434992</v>
      </c>
      <c r="X241" s="71">
        <f t="shared" ref="X241" si="375">X239/S239-1</f>
        <v>7.9872204472843933E-3</v>
      </c>
      <c r="Y241" s="71">
        <f t="shared" ref="Y241" si="376">Y239/T239-1</f>
        <v>-3.7096774193548399E-2</v>
      </c>
      <c r="Z241" s="71">
        <f t="shared" ref="Z241" si="377">Z239/U239-1</f>
        <v>1.4308426073131875E-2</v>
      </c>
      <c r="AA241" s="23">
        <f t="shared" ref="AA241" si="378">AA239/V239-1</f>
        <v>2.5220176140912764E-2</v>
      </c>
      <c r="AB241" s="71">
        <f t="shared" ref="AB241" si="379">AB239/W239-1</f>
        <v>-9.4964028776978404E-2</v>
      </c>
      <c r="AC241" s="71">
        <f t="shared" ref="AC241" si="380">AC239/X239-1</f>
        <v>4.7543581616481756E-2</v>
      </c>
      <c r="AD241" s="71">
        <f t="shared" ref="AD241" si="381">AD239/Y239-1</f>
        <v>0.10552763819095468</v>
      </c>
      <c r="AE241" s="71">
        <f t="shared" ref="AE241" si="382">AE239/Z239-1</f>
        <v>2.3510971786833812E-2</v>
      </c>
      <c r="AF241" s="23">
        <f t="shared" ref="AF241" si="383">AF239/AA239-1</f>
        <v>1.6399843811011339E-2</v>
      </c>
      <c r="AG241" s="71">
        <f t="shared" ref="AG241" si="384">AG239/AB239-1</f>
        <v>5.5643879173290944E-2</v>
      </c>
      <c r="AH241" s="71">
        <f t="shared" ref="AH241" si="385">AH239/AC239-1</f>
        <v>-6.0514372163388286E-3</v>
      </c>
      <c r="AI241" s="71">
        <f t="shared" ref="AI241" si="386">AI239/AD239-1</f>
        <v>-1.3636363636363669E-2</v>
      </c>
      <c r="AJ241" s="71">
        <f t="shared" ref="AJ241" si="387">AJ239/AE239-1</f>
        <v>3.0627871362940207E-2</v>
      </c>
      <c r="AK241" s="23">
        <f t="shared" ref="AK241" si="388">AK239/AF239-1</f>
        <v>1.6135228582405015E-2</v>
      </c>
      <c r="AL241" s="71">
        <f t="shared" ref="AL241" si="389">AL239/AG239-1</f>
        <v>6.3253012048192669E-2</v>
      </c>
      <c r="AM241" s="71">
        <f t="shared" ref="AM241" si="390">AM239/AH239-1</f>
        <v>7.0015220700152314E-2</v>
      </c>
      <c r="AN241" s="71">
        <f t="shared" ref="AN241" si="391">AN239/AI239-1</f>
        <v>4.9155145929339561E-2</v>
      </c>
      <c r="AO241" s="71">
        <f t="shared" ref="AO241" si="392">AO239/AJ239-1</f>
        <v>1.3372956909361022E-2</v>
      </c>
      <c r="AP241" s="23">
        <f t="shared" ref="AP241" si="393">AP239/AK239-1</f>
        <v>4.8771266540642788E-2</v>
      </c>
      <c r="AQ241" s="71">
        <f t="shared" ref="AQ241" si="394">AQ239/AL239-1</f>
        <v>5.6657223796034994E-3</v>
      </c>
      <c r="AR241" s="71">
        <f t="shared" ref="AR241" si="395">AR239/AM239-1</f>
        <v>1.4224751066856278E-2</v>
      </c>
      <c r="AS241" s="71">
        <f t="shared" ref="AS241" si="396">AS239/AN239-1</f>
        <v>-2.9282576866763721E-3</v>
      </c>
      <c r="AT241" s="71">
        <f t="shared" ref="AT241" si="397">AT239/AO239-1</f>
        <v>-8.7976539589442737E-3</v>
      </c>
      <c r="AU241" s="23">
        <f t="shared" ref="AU241" si="398">AU239/AP239-1</f>
        <v>2.1629416005768398E-3</v>
      </c>
      <c r="AV241" s="71">
        <f t="shared" ref="AV241" si="399">AV239/AQ239-1</f>
        <v>-2.9577464788732355E-2</v>
      </c>
      <c r="AW241" s="71">
        <f t="shared" ref="AW241" si="400">AW239/AR239-1</f>
        <v>-5.7503506311360475E-2</v>
      </c>
      <c r="AX241" s="71">
        <f t="shared" ref="AX241" si="401">AX239/AS239-1</f>
        <v>-3.9647577092510988E-2</v>
      </c>
      <c r="AY241" s="71">
        <f t="shared" ref="AY241" si="402">AY239/AT239-1</f>
        <v>-2.2189349112425982E-2</v>
      </c>
      <c r="AZ241" s="23">
        <v>-3.7410071942446055E-2</v>
      </c>
      <c r="BA241" s="71">
        <v>8.7082728592162706E-3</v>
      </c>
      <c r="BB241" s="71">
        <v>2.2321428571428603E-2</v>
      </c>
      <c r="BC241" s="71">
        <v>1.9877675840978659E-2</v>
      </c>
      <c r="BD241" s="71">
        <v>-3.3282904689863835E-2</v>
      </c>
      <c r="BE241" s="23">
        <v>4.484304932735439E-3</v>
      </c>
      <c r="BF241" s="71">
        <v>-3.7410071942446055E-2</v>
      </c>
      <c r="BG241" s="71">
        <v>-4.5123726346433801E-2</v>
      </c>
      <c r="BH241" s="71">
        <v>-1.4992503748125885E-2</v>
      </c>
      <c r="BI241" s="71">
        <v>-3.7558685446009377E-2</v>
      </c>
      <c r="BJ241" s="23">
        <v>-3.385416666666663E-2</v>
      </c>
      <c r="BK241" s="71">
        <v>-3.2884902840059738E-2</v>
      </c>
    </row>
    <row r="242" spans="1:63" ht="11.25" hidden="1" customHeight="1">
      <c r="A242" s="67" t="s">
        <v>253</v>
      </c>
      <c r="B242" s="23"/>
      <c r="C242" s="71"/>
      <c r="D242" s="71"/>
      <c r="E242" s="71"/>
      <c r="F242" s="71"/>
      <c r="G242" s="23"/>
      <c r="H242" s="71"/>
      <c r="I242" s="71"/>
      <c r="J242" s="71"/>
      <c r="K242" s="71"/>
      <c r="L242" s="23"/>
      <c r="M242" s="71"/>
      <c r="N242" s="71"/>
      <c r="O242" s="71"/>
      <c r="P242" s="71"/>
      <c r="Q242" s="23"/>
      <c r="R242" s="71"/>
      <c r="S242" s="71"/>
      <c r="T242" s="71"/>
      <c r="U242" s="71"/>
      <c r="V242" s="23"/>
      <c r="W242" s="71"/>
      <c r="X242" s="71"/>
      <c r="Y242" s="71"/>
      <c r="Z242" s="71"/>
      <c r="AA242" s="23"/>
      <c r="AB242" s="71"/>
      <c r="AC242" s="71"/>
      <c r="AD242" s="71"/>
      <c r="AE242" s="71"/>
      <c r="AF242" s="23"/>
      <c r="AG242" s="71"/>
      <c r="AH242" s="71"/>
      <c r="AI242" s="71"/>
      <c r="AJ242" s="71"/>
      <c r="AK242" s="23"/>
      <c r="AL242" s="71"/>
      <c r="AM242" s="71"/>
      <c r="AN242" s="71"/>
      <c r="AO242" s="71"/>
      <c r="AP242" s="23"/>
      <c r="AQ242" s="71"/>
      <c r="AR242" s="71"/>
      <c r="AS242" s="71"/>
      <c r="AT242" s="71"/>
      <c r="AU242" s="23"/>
      <c r="AV242" s="71"/>
      <c r="AW242" s="71"/>
      <c r="AX242" s="71"/>
      <c r="AY242" s="71"/>
      <c r="AZ242" s="23"/>
      <c r="BA242" s="75">
        <v>654</v>
      </c>
      <c r="BB242" s="75">
        <v>575</v>
      </c>
      <c r="BC242" s="75">
        <v>646</v>
      </c>
      <c r="BD242" s="182">
        <v>112</v>
      </c>
      <c r="BE242" s="36">
        <v>1987</v>
      </c>
      <c r="BF242" s="75">
        <v>715</v>
      </c>
      <c r="BG242" s="75">
        <v>1056</v>
      </c>
      <c r="BH242" s="75">
        <v>642</v>
      </c>
      <c r="BI242" s="182">
        <v>503</v>
      </c>
      <c r="BJ242" s="36">
        <v>2916</v>
      </c>
      <c r="BK242" s="75">
        <v>628</v>
      </c>
    </row>
    <row r="243" spans="1:63" ht="1.1499999999999999" hidden="1" customHeight="1">
      <c r="A243" s="69"/>
      <c r="B243" s="23"/>
      <c r="C243" s="71"/>
      <c r="D243" s="71"/>
      <c r="E243" s="71"/>
      <c r="F243" s="71"/>
      <c r="G243" s="23"/>
      <c r="H243" s="71"/>
      <c r="I243" s="71"/>
      <c r="J243" s="71"/>
      <c r="K243" s="71"/>
      <c r="L243" s="23"/>
      <c r="M243" s="71"/>
      <c r="N243" s="71"/>
      <c r="O243" s="71"/>
      <c r="P243" s="71"/>
      <c r="Q243" s="23"/>
      <c r="R243" s="71"/>
      <c r="S243" s="71"/>
      <c r="T243" s="71"/>
      <c r="U243" s="71"/>
      <c r="V243" s="23"/>
      <c r="W243" s="71"/>
      <c r="X243" s="71"/>
      <c r="Y243" s="71"/>
      <c r="Z243" s="71"/>
      <c r="AA243" s="23"/>
      <c r="AB243" s="71"/>
      <c r="AC243" s="71"/>
      <c r="AD243" s="71"/>
      <c r="AE243" s="71"/>
      <c r="AF243" s="23"/>
      <c r="AG243" s="71"/>
      <c r="AH243" s="71"/>
      <c r="AI243" s="71"/>
      <c r="AJ243" s="71"/>
      <c r="AK243" s="23"/>
      <c r="AL243" s="71"/>
      <c r="AM243" s="71"/>
      <c r="AN243" s="71"/>
      <c r="AO243" s="71"/>
      <c r="AP243" s="23"/>
      <c r="AQ243" s="71"/>
      <c r="AR243" s="71"/>
      <c r="AS243" s="71"/>
      <c r="AT243" s="71"/>
      <c r="AU243" s="23"/>
      <c r="AV243" s="71"/>
      <c r="AW243" s="71"/>
      <c r="AX243" s="71"/>
      <c r="AY243" s="71"/>
      <c r="AZ243" s="23"/>
      <c r="BA243" s="71"/>
      <c r="BB243" s="71"/>
      <c r="BC243" s="71"/>
      <c r="BD243" s="71"/>
      <c r="BE243" s="23"/>
      <c r="BF243" s="71"/>
      <c r="BG243" s="71"/>
      <c r="BH243" s="71"/>
      <c r="BI243" s="71"/>
      <c r="BJ243" s="23"/>
      <c r="BK243" s="71"/>
    </row>
    <row r="244" spans="1:63" ht="25.15" hidden="1" customHeight="1">
      <c r="A244" s="87" t="s">
        <v>252</v>
      </c>
      <c r="B244" s="36">
        <f>B236+B222</f>
        <v>2299</v>
      </c>
      <c r="C244" s="78" t="s">
        <v>48</v>
      </c>
      <c r="D244" s="78" t="s">
        <v>48</v>
      </c>
      <c r="E244" s="78" t="s">
        <v>48</v>
      </c>
      <c r="F244" s="78" t="s">
        <v>48</v>
      </c>
      <c r="G244" s="36">
        <f>G236+G222</f>
        <v>2423</v>
      </c>
      <c r="H244" s="143">
        <f>H236+H222</f>
        <v>628</v>
      </c>
      <c r="I244" s="143">
        <f>I236+I222</f>
        <v>643</v>
      </c>
      <c r="J244" s="143">
        <f>J236+J222</f>
        <v>637</v>
      </c>
      <c r="K244" s="143">
        <f>L244-J244-I244-H244</f>
        <v>611</v>
      </c>
      <c r="L244" s="36">
        <f>L236+L222</f>
        <v>2519</v>
      </c>
      <c r="M244" s="143">
        <f>M236+M222</f>
        <v>635</v>
      </c>
      <c r="N244" s="143">
        <f>N236+N222</f>
        <v>661</v>
      </c>
      <c r="O244" s="143">
        <f>O236+O222</f>
        <v>668</v>
      </c>
      <c r="P244" s="143">
        <f>Q244-O244-N244-M244</f>
        <v>611</v>
      </c>
      <c r="Q244" s="36">
        <f>Q236+Q222</f>
        <v>2575</v>
      </c>
      <c r="R244" s="143">
        <f>R236+R222</f>
        <v>623</v>
      </c>
      <c r="S244" s="143">
        <f>S236+S222</f>
        <v>626</v>
      </c>
      <c r="T244" s="143">
        <f>T236+T222</f>
        <v>620</v>
      </c>
      <c r="U244" s="143">
        <f>V244-T244-S244-R244</f>
        <v>629</v>
      </c>
      <c r="V244" s="36">
        <f>V236+V222</f>
        <v>2498</v>
      </c>
      <c r="W244" s="143">
        <f>W236+W222</f>
        <v>695</v>
      </c>
      <c r="X244" s="143">
        <f>X236+X222</f>
        <v>631</v>
      </c>
      <c r="Y244" s="143">
        <f>Y236+Y222</f>
        <v>597</v>
      </c>
      <c r="Z244" s="143">
        <f>AA244-Y244-X244-W244</f>
        <v>638</v>
      </c>
      <c r="AA244" s="36">
        <f>AA236+AA222</f>
        <v>2561</v>
      </c>
      <c r="AB244" s="143">
        <f>AB236+AB222</f>
        <v>629</v>
      </c>
      <c r="AC244" s="143">
        <f>AC236+AC222</f>
        <v>661</v>
      </c>
      <c r="AD244" s="143">
        <f>AD236+AD222</f>
        <v>660</v>
      </c>
      <c r="AE244" s="143">
        <f>AF244-AD244-AC244-AB244</f>
        <v>653</v>
      </c>
      <c r="AF244" s="36">
        <f>AF236+AF222</f>
        <v>2603</v>
      </c>
      <c r="AG244" s="143">
        <f>AG236+AG222</f>
        <v>664</v>
      </c>
      <c r="AH244" s="143">
        <f>AH236+AH222</f>
        <v>657</v>
      </c>
      <c r="AI244" s="143">
        <f>AI236+AI222</f>
        <v>651</v>
      </c>
      <c r="AJ244" s="143">
        <f>AK244-AI244-AH244-AG244</f>
        <v>673</v>
      </c>
      <c r="AK244" s="36">
        <f>AK236+AK222</f>
        <v>2645</v>
      </c>
      <c r="AL244" s="143">
        <f>AL236+AL222</f>
        <v>706</v>
      </c>
      <c r="AM244" s="143">
        <f>AM236+AM222</f>
        <v>703</v>
      </c>
      <c r="AN244" s="143">
        <f>AN236+AN222</f>
        <v>683</v>
      </c>
      <c r="AO244" s="143">
        <f>AP244-AN244-AM244-AL244</f>
        <v>682</v>
      </c>
      <c r="AP244" s="36">
        <f>AP236+AP222</f>
        <v>2774</v>
      </c>
      <c r="AQ244" s="143">
        <f>AQ236+AQ222</f>
        <v>710</v>
      </c>
      <c r="AR244" s="143">
        <f>AR236+AR222</f>
        <v>713</v>
      </c>
      <c r="AS244" s="143">
        <f>AS236+AS222</f>
        <v>681</v>
      </c>
      <c r="AT244" s="143">
        <f>AU244-AS244-AR244-AQ244</f>
        <v>676</v>
      </c>
      <c r="AU244" s="36">
        <f>AU236+AU222</f>
        <v>2780</v>
      </c>
      <c r="AV244" s="143">
        <f>AV236+AV222</f>
        <v>689</v>
      </c>
      <c r="AW244" s="143">
        <f>AW236+AW222</f>
        <v>672</v>
      </c>
      <c r="AX244" s="143">
        <f>AX236+AX222</f>
        <v>654</v>
      </c>
      <c r="AY244" s="143">
        <f>AZ244-AX244-AW244-AV244</f>
        <v>661</v>
      </c>
      <c r="AZ244" s="36">
        <v>2676</v>
      </c>
      <c r="BA244" s="143">
        <v>672</v>
      </c>
      <c r="BB244" s="143">
        <v>664</v>
      </c>
      <c r="BC244" s="143">
        <v>644</v>
      </c>
      <c r="BD244" s="143">
        <v>621</v>
      </c>
      <c r="BE244" s="36">
        <v>2601</v>
      </c>
      <c r="BF244" s="143"/>
      <c r="BG244" s="143"/>
      <c r="BH244" s="143"/>
      <c r="BI244" s="143">
        <v>2510</v>
      </c>
      <c r="BJ244" s="36">
        <v>2510</v>
      </c>
      <c r="BK244" s="143"/>
    </row>
    <row r="245" spans="1:63" ht="11.25" hidden="1" customHeight="1">
      <c r="A245" s="69" t="s">
        <v>7</v>
      </c>
      <c r="B245" s="23"/>
      <c r="C245" s="70"/>
      <c r="D245" s="70"/>
      <c r="E245" s="70"/>
      <c r="F245" s="70"/>
      <c r="G245" s="23"/>
      <c r="H245" s="70"/>
      <c r="I245" s="70">
        <f>I244/H244-1</f>
        <v>2.3885350318471277E-2</v>
      </c>
      <c r="J245" s="70">
        <f>J244/I244-1</f>
        <v>-9.3312597200622127E-3</v>
      </c>
      <c r="K245" s="70">
        <f>K244/J244-1</f>
        <v>-4.081632653061229E-2</v>
      </c>
      <c r="L245" s="23"/>
      <c r="M245" s="70">
        <f>M244/K244-1</f>
        <v>3.9279869067103013E-2</v>
      </c>
      <c r="N245" s="70">
        <f>N244/M244-1</f>
        <v>4.0944881889763751E-2</v>
      </c>
      <c r="O245" s="70">
        <f>O244/N244-1</f>
        <v>1.0590015128593144E-2</v>
      </c>
      <c r="P245" s="70">
        <f>P244/O244-1</f>
        <v>-8.5329341317365248E-2</v>
      </c>
      <c r="Q245" s="23"/>
      <c r="R245" s="70">
        <f>R244/P244-1</f>
        <v>1.9639934533551617E-2</v>
      </c>
      <c r="S245" s="70">
        <f>S244/R244-1</f>
        <v>4.8154093097914075E-3</v>
      </c>
      <c r="T245" s="70">
        <f>T244/S244-1</f>
        <v>-9.5846645367412275E-3</v>
      </c>
      <c r="U245" s="70">
        <f>U244/T244-1</f>
        <v>1.4516129032257963E-2</v>
      </c>
      <c r="V245" s="23"/>
      <c r="W245" s="70">
        <f>W244/U244-1</f>
        <v>0.10492845786963434</v>
      </c>
      <c r="X245" s="70">
        <f>X244/W244-1</f>
        <v>-9.2086330935251759E-2</v>
      </c>
      <c r="Y245" s="70">
        <f>Y244/X244-1</f>
        <v>-5.3882725832012701E-2</v>
      </c>
      <c r="Z245" s="70">
        <f>Z244/Y244-1</f>
        <v>6.8676716917922986E-2</v>
      </c>
      <c r="AA245" s="23"/>
      <c r="AB245" s="70">
        <f>AB244/Z244-1</f>
        <v>-1.4106583072100332E-2</v>
      </c>
      <c r="AC245" s="70">
        <f>AC244/AB244-1</f>
        <v>5.0874403815580393E-2</v>
      </c>
      <c r="AD245" s="70">
        <f>AD244/AC244-1</f>
        <v>-1.5128593040847349E-3</v>
      </c>
      <c r="AE245" s="70">
        <f>AE244/AD244-1</f>
        <v>-1.0606060606060619E-2</v>
      </c>
      <c r="AF245" s="23"/>
      <c r="AG245" s="70">
        <f>AG244/AE244-1</f>
        <v>1.6845329249617125E-2</v>
      </c>
      <c r="AH245" s="70">
        <f>AH244/AG244-1</f>
        <v>-1.0542168674698815E-2</v>
      </c>
      <c r="AI245" s="70">
        <f>AI244/AH244-1</f>
        <v>-9.1324200913242004E-3</v>
      </c>
      <c r="AJ245" s="70">
        <f>AJ244/AI244-1</f>
        <v>3.3794162826420893E-2</v>
      </c>
      <c r="AK245" s="23"/>
      <c r="AL245" s="70">
        <f>AL244/AJ244-1</f>
        <v>4.9034175334323971E-2</v>
      </c>
      <c r="AM245" s="70">
        <f>AM244/AL244-1</f>
        <v>-4.2492917847025691E-3</v>
      </c>
      <c r="AN245" s="70">
        <f>AN244/AM244-1</f>
        <v>-2.8449502133712667E-2</v>
      </c>
      <c r="AO245" s="70">
        <f>AO244/AN244-1</f>
        <v>-1.4641288433382416E-3</v>
      </c>
      <c r="AP245" s="23"/>
      <c r="AQ245" s="70">
        <f>AQ244/AO244-1</f>
        <v>4.1055718475073277E-2</v>
      </c>
      <c r="AR245" s="70">
        <f>AR244/AQ244-1</f>
        <v>4.2253521126760507E-3</v>
      </c>
      <c r="AS245" s="70">
        <f>AS244/AR244-1</f>
        <v>-4.4880785413744739E-2</v>
      </c>
      <c r="AT245" s="70">
        <f>AT244/AS244-1</f>
        <v>-7.342143906020504E-3</v>
      </c>
      <c r="AU245" s="23"/>
      <c r="AV245" s="70">
        <f>AV244/AT244-1</f>
        <v>1.9230769230769162E-2</v>
      </c>
      <c r="AW245" s="70">
        <f>AW244/AV244-1</f>
        <v>-2.4673439767779359E-2</v>
      </c>
      <c r="AX245" s="70">
        <f>AX244/AW244-1</f>
        <v>-2.6785714285714302E-2</v>
      </c>
      <c r="AY245" s="70">
        <f>AY244/AX244-1</f>
        <v>1.0703363914372988E-2</v>
      </c>
      <c r="AZ245" s="23"/>
      <c r="BA245" s="70">
        <v>1.6641452344931862E-2</v>
      </c>
      <c r="BB245" s="70">
        <v>-1.1904761904761862E-2</v>
      </c>
      <c r="BC245" s="70">
        <v>-3.0120481927710885E-2</v>
      </c>
      <c r="BD245" s="70">
        <v>-3.5714285714285698E-2</v>
      </c>
      <c r="BE245" s="23"/>
      <c r="BF245" s="70"/>
      <c r="BG245" s="70"/>
      <c r="BH245" s="70"/>
      <c r="BI245" s="70" t="e">
        <v>#DIV/0!</v>
      </c>
      <c r="BJ245" s="23"/>
      <c r="BK245" s="70"/>
    </row>
    <row r="246" spans="1:63" ht="10.5" hidden="1" customHeight="1">
      <c r="A246" s="69" t="s">
        <v>8</v>
      </c>
      <c r="B246" s="23"/>
      <c r="C246" s="71"/>
      <c r="D246" s="71"/>
      <c r="E246" s="71"/>
      <c r="F246" s="71"/>
      <c r="G246" s="23">
        <f t="shared" ref="G246" si="403">G244/B244-1</f>
        <v>5.3936494127881707E-2</v>
      </c>
      <c r="H246" s="71"/>
      <c r="I246" s="71"/>
      <c r="J246" s="71"/>
      <c r="K246" s="71"/>
      <c r="L246" s="23">
        <f t="shared" ref="L246" si="404">L244/G244-1</f>
        <v>3.962030540652095E-2</v>
      </c>
      <c r="M246" s="71">
        <f t="shared" ref="M246" si="405">M244/H244-1</f>
        <v>1.1146496815286566E-2</v>
      </c>
      <c r="N246" s="71">
        <f t="shared" ref="N246" si="406">N244/I244-1</f>
        <v>2.7993779160186527E-2</v>
      </c>
      <c r="O246" s="71">
        <f t="shared" ref="O246" si="407">O244/J244-1</f>
        <v>4.8665620094191508E-2</v>
      </c>
      <c r="P246" s="71">
        <f t="shared" ref="P246" si="408">P244/K244-1</f>
        <v>0</v>
      </c>
      <c r="Q246" s="23">
        <f t="shared" ref="Q246" si="409">Q244/L244-1</f>
        <v>2.2231044065105232E-2</v>
      </c>
      <c r="R246" s="71">
        <f t="shared" ref="R246" si="410">R244/M244-1</f>
        <v>-1.8897637795275646E-2</v>
      </c>
      <c r="S246" s="71">
        <f t="shared" ref="S246" si="411">S244/N244-1</f>
        <v>-5.2950075642965166E-2</v>
      </c>
      <c r="T246" s="71">
        <f t="shared" ref="T246" si="412">T244/O244-1</f>
        <v>-7.1856287425149712E-2</v>
      </c>
      <c r="U246" s="71">
        <f t="shared" ref="U246" si="413">U244/P244-1</f>
        <v>2.9459901800327426E-2</v>
      </c>
      <c r="V246" s="23">
        <f t="shared" ref="V246" si="414">V244/Q244-1</f>
        <v>-2.9902912621359246E-2</v>
      </c>
      <c r="W246" s="71">
        <f t="shared" ref="W246" si="415">W244/R244-1</f>
        <v>0.115569823434992</v>
      </c>
      <c r="X246" s="71">
        <f t="shared" ref="X246" si="416">X244/S244-1</f>
        <v>7.9872204472843933E-3</v>
      </c>
      <c r="Y246" s="71">
        <f t="shared" ref="Y246" si="417">Y244/T244-1</f>
        <v>-3.7096774193548399E-2</v>
      </c>
      <c r="Z246" s="71">
        <f t="shared" ref="Z246" si="418">Z244/U244-1</f>
        <v>1.4308426073131875E-2</v>
      </c>
      <c r="AA246" s="23">
        <f t="shared" ref="AA246" si="419">AA244/V244-1</f>
        <v>2.5220176140912764E-2</v>
      </c>
      <c r="AB246" s="71">
        <f t="shared" ref="AB246" si="420">AB244/W244-1</f>
        <v>-9.4964028776978404E-2</v>
      </c>
      <c r="AC246" s="71">
        <f t="shared" ref="AC246" si="421">AC244/X244-1</f>
        <v>4.7543581616481756E-2</v>
      </c>
      <c r="AD246" s="71">
        <f t="shared" ref="AD246" si="422">AD244/Y244-1</f>
        <v>0.10552763819095468</v>
      </c>
      <c r="AE246" s="71">
        <f t="shared" ref="AE246" si="423">AE244/Z244-1</f>
        <v>2.3510971786833812E-2</v>
      </c>
      <c r="AF246" s="23">
        <f t="shared" ref="AF246" si="424">AF244/AA244-1</f>
        <v>1.6399843811011339E-2</v>
      </c>
      <c r="AG246" s="71">
        <f t="shared" ref="AG246" si="425">AG244/AB244-1</f>
        <v>5.5643879173290944E-2</v>
      </c>
      <c r="AH246" s="71">
        <f t="shared" ref="AH246" si="426">AH244/AC244-1</f>
        <v>-6.0514372163388286E-3</v>
      </c>
      <c r="AI246" s="71">
        <f t="shared" ref="AI246" si="427">AI244/AD244-1</f>
        <v>-1.3636363636363669E-2</v>
      </c>
      <c r="AJ246" s="71">
        <f t="shared" ref="AJ246" si="428">AJ244/AE244-1</f>
        <v>3.0627871362940207E-2</v>
      </c>
      <c r="AK246" s="23">
        <f t="shared" ref="AK246" si="429">AK244/AF244-1</f>
        <v>1.6135228582405015E-2</v>
      </c>
      <c r="AL246" s="71">
        <f t="shared" ref="AL246" si="430">AL244/AG244-1</f>
        <v>6.3253012048192669E-2</v>
      </c>
      <c r="AM246" s="71">
        <f t="shared" ref="AM246" si="431">AM244/AH244-1</f>
        <v>7.0015220700152314E-2</v>
      </c>
      <c r="AN246" s="71">
        <f t="shared" ref="AN246" si="432">AN244/AI244-1</f>
        <v>4.9155145929339561E-2</v>
      </c>
      <c r="AO246" s="71">
        <f t="shared" ref="AO246" si="433">AO244/AJ244-1</f>
        <v>1.3372956909361022E-2</v>
      </c>
      <c r="AP246" s="23">
        <f t="shared" ref="AP246" si="434">AP244/AK244-1</f>
        <v>4.8771266540642788E-2</v>
      </c>
      <c r="AQ246" s="71">
        <f t="shared" ref="AQ246" si="435">AQ244/AL244-1</f>
        <v>5.6657223796034994E-3</v>
      </c>
      <c r="AR246" s="71">
        <f t="shared" ref="AR246" si="436">AR244/AM244-1</f>
        <v>1.4224751066856278E-2</v>
      </c>
      <c r="AS246" s="71">
        <f t="shared" ref="AS246" si="437">AS244/AN244-1</f>
        <v>-2.9282576866763721E-3</v>
      </c>
      <c r="AT246" s="71">
        <f t="shared" ref="AT246" si="438">AT244/AO244-1</f>
        <v>-8.7976539589442737E-3</v>
      </c>
      <c r="AU246" s="23">
        <f t="shared" ref="AU246" si="439">AU244/AP244-1</f>
        <v>2.1629416005768398E-3</v>
      </c>
      <c r="AV246" s="71">
        <f t="shared" ref="AV246:AX246" si="440">AV244/AQ244-1</f>
        <v>-2.9577464788732355E-2</v>
      </c>
      <c r="AW246" s="71">
        <f t="shared" si="440"/>
        <v>-5.7503506311360475E-2</v>
      </c>
      <c r="AX246" s="71">
        <f t="shared" si="440"/>
        <v>-3.9647577092510988E-2</v>
      </c>
      <c r="AY246" s="71">
        <f t="shared" ref="AY246" si="441">AY244/AT244-1</f>
        <v>-2.2189349112425982E-2</v>
      </c>
      <c r="AZ246" s="23">
        <v>-3.7410071942446055E-2</v>
      </c>
      <c r="BA246" s="71">
        <v>-2.4673439767779359E-2</v>
      </c>
      <c r="BB246" s="71">
        <v>-1.1904761904761862E-2</v>
      </c>
      <c r="BC246" s="71">
        <v>-1.5290519877675823E-2</v>
      </c>
      <c r="BD246" s="71">
        <v>-6.0514372163388841E-2</v>
      </c>
      <c r="BE246" s="23">
        <v>-2.8026905829596438E-2</v>
      </c>
      <c r="BF246" s="71"/>
      <c r="BG246" s="71"/>
      <c r="BH246" s="71"/>
      <c r="BI246" s="71">
        <v>3.0418679549114334</v>
      </c>
      <c r="BJ246" s="23">
        <v>-3.4986543637062661E-2</v>
      </c>
      <c r="BK246" s="71"/>
    </row>
    <row r="247" spans="1:63" ht="11.25" customHeight="1">
      <c r="A247" s="39" t="s">
        <v>72</v>
      </c>
      <c r="B247" s="40"/>
      <c r="C247" s="48"/>
      <c r="D247" s="48"/>
      <c r="E247" s="48"/>
      <c r="F247" s="48"/>
      <c r="G247" s="40"/>
      <c r="H247" s="48"/>
      <c r="I247" s="48"/>
      <c r="J247" s="48"/>
      <c r="K247" s="48"/>
      <c r="L247" s="40"/>
      <c r="M247" s="48"/>
      <c r="N247" s="48"/>
      <c r="O247" s="48"/>
      <c r="P247" s="48"/>
      <c r="Q247" s="40"/>
      <c r="R247" s="48"/>
      <c r="S247" s="48"/>
      <c r="T247" s="48"/>
      <c r="U247" s="48"/>
      <c r="V247" s="40"/>
      <c r="W247" s="48"/>
      <c r="X247" s="48"/>
      <c r="Y247" s="48"/>
      <c r="Z247" s="48"/>
      <c r="AA247" s="40"/>
      <c r="AB247" s="48"/>
      <c r="AC247" s="48"/>
      <c r="AD247" s="48"/>
      <c r="AE247" s="48"/>
      <c r="AF247" s="40"/>
      <c r="AG247" s="48"/>
      <c r="AH247" s="48"/>
      <c r="AI247" s="48"/>
      <c r="AJ247" s="48"/>
      <c r="AK247" s="40"/>
      <c r="AL247" s="48"/>
      <c r="AM247" s="48"/>
      <c r="AN247" s="48"/>
      <c r="AO247" s="48"/>
      <c r="AP247" s="40"/>
      <c r="AQ247" s="48"/>
      <c r="AR247" s="48"/>
      <c r="AS247" s="48"/>
      <c r="AT247" s="48"/>
      <c r="AU247" s="40"/>
      <c r="AV247" s="48"/>
      <c r="AW247" s="48"/>
      <c r="AX247" s="48"/>
      <c r="AY247" s="48"/>
      <c r="AZ247" s="40"/>
      <c r="BA247" s="48"/>
      <c r="BB247" s="48"/>
      <c r="BC247" s="48"/>
      <c r="BD247" s="48"/>
      <c r="BE247" s="40"/>
      <c r="BF247" s="48"/>
      <c r="BG247" s="48"/>
      <c r="BH247" s="48"/>
      <c r="BI247" s="48"/>
      <c r="BJ247" s="40"/>
      <c r="BK247" s="48"/>
    </row>
    <row r="248" spans="1:63">
      <c r="A248" s="67" t="s">
        <v>12</v>
      </c>
      <c r="B248" s="63">
        <v>1379</v>
      </c>
      <c r="C248" s="78" t="s">
        <v>48</v>
      </c>
      <c r="D248" s="78" t="s">
        <v>48</v>
      </c>
      <c r="E248" s="78" t="s">
        <v>48</v>
      </c>
      <c r="F248" s="78" t="s">
        <v>48</v>
      </c>
      <c r="G248" s="63">
        <v>1691</v>
      </c>
      <c r="H248" s="68">
        <v>635</v>
      </c>
      <c r="I248" s="68">
        <v>408</v>
      </c>
      <c r="J248" s="68">
        <v>526</v>
      </c>
      <c r="K248" s="68">
        <f>L248-J248-I248-H248</f>
        <v>651</v>
      </c>
      <c r="L248" s="63">
        <v>2220</v>
      </c>
      <c r="M248" s="68">
        <v>393</v>
      </c>
      <c r="N248" s="68">
        <v>523</v>
      </c>
      <c r="O248" s="68">
        <v>684</v>
      </c>
      <c r="P248" s="68">
        <f>Q248-O248-N248-M248</f>
        <v>540</v>
      </c>
      <c r="Q248" s="63">
        <v>2140</v>
      </c>
      <c r="R248" s="68">
        <f>419</f>
        <v>419</v>
      </c>
      <c r="S248" s="68">
        <v>496</v>
      </c>
      <c r="T248" s="68">
        <v>641</v>
      </c>
      <c r="U248" s="68">
        <f>V248-T248-S248-R248</f>
        <v>549.93499999999995</v>
      </c>
      <c r="V248" s="63">
        <v>2105.9349999999999</v>
      </c>
      <c r="W248" s="68">
        <v>651</v>
      </c>
      <c r="X248" s="68">
        <v>376</v>
      </c>
      <c r="Y248" s="68">
        <v>470</v>
      </c>
      <c r="Z248" s="68">
        <f>AA248-Y248-X248-W248</f>
        <v>512</v>
      </c>
      <c r="AA248" s="63">
        <v>2009</v>
      </c>
      <c r="AB248" s="68">
        <v>561</v>
      </c>
      <c r="AC248" s="68">
        <v>556</v>
      </c>
      <c r="AD248" s="68">
        <v>631</v>
      </c>
      <c r="AE248" s="68">
        <f>AF248-AD248-AC248-AB248</f>
        <v>526</v>
      </c>
      <c r="AF248" s="63">
        <v>2274</v>
      </c>
      <c r="AG248" s="68">
        <v>616</v>
      </c>
      <c r="AH248" s="68">
        <v>545</v>
      </c>
      <c r="AI248" s="68">
        <v>599</v>
      </c>
      <c r="AJ248" s="68">
        <f>AK248-AI248-AH248-AG248</f>
        <v>499</v>
      </c>
      <c r="AK248" s="63">
        <v>2259</v>
      </c>
      <c r="AL248" s="68">
        <v>548</v>
      </c>
      <c r="AM248" s="68">
        <v>456</v>
      </c>
      <c r="AN248" s="68">
        <v>686</v>
      </c>
      <c r="AO248" s="68">
        <f>AP248-AN248-AM248-AL248</f>
        <v>668</v>
      </c>
      <c r="AP248" s="63">
        <v>2358</v>
      </c>
      <c r="AQ248" s="68">
        <v>539</v>
      </c>
      <c r="AR248" s="68">
        <v>517</v>
      </c>
      <c r="AS248" s="68">
        <v>526</v>
      </c>
      <c r="AT248" s="68">
        <f>AU248-AS248-AR248-AQ248</f>
        <v>482</v>
      </c>
      <c r="AU248" s="63">
        <v>2064</v>
      </c>
      <c r="AV248" s="68">
        <v>600</v>
      </c>
      <c r="AW248" s="68">
        <v>465</v>
      </c>
      <c r="AX248" s="68">
        <v>573</v>
      </c>
      <c r="AY248" s="68">
        <f>AZ248-AX248-AW248-AV248</f>
        <v>587</v>
      </c>
      <c r="AZ248" s="63">
        <v>2225</v>
      </c>
      <c r="BA248" s="68">
        <v>516</v>
      </c>
      <c r="BB248" s="68">
        <v>507</v>
      </c>
      <c r="BC248" s="68">
        <v>583</v>
      </c>
      <c r="BD248" s="68">
        <v>600</v>
      </c>
      <c r="BE248" s="63">
        <v>2206</v>
      </c>
      <c r="BF248" s="68">
        <v>471</v>
      </c>
      <c r="BG248" s="68">
        <v>416</v>
      </c>
      <c r="BH248" s="68">
        <v>484</v>
      </c>
      <c r="BI248" s="68">
        <v>476</v>
      </c>
      <c r="BJ248" s="63">
        <v>1847</v>
      </c>
      <c r="BK248" s="68">
        <v>611</v>
      </c>
    </row>
    <row r="249" spans="1:63" ht="10.9" customHeight="1">
      <c r="A249" s="69" t="s">
        <v>7</v>
      </c>
      <c r="B249" s="23"/>
      <c r="C249" s="70"/>
      <c r="D249" s="70"/>
      <c r="E249" s="70"/>
      <c r="F249" s="70"/>
      <c r="G249" s="23"/>
      <c r="H249" s="70"/>
      <c r="I249" s="70">
        <f>I248/H248-1</f>
        <v>-0.35748031496062993</v>
      </c>
      <c r="J249" s="70">
        <f>J248/I248-1</f>
        <v>0.28921568627450989</v>
      </c>
      <c r="K249" s="71">
        <f>K248/J248-1</f>
        <v>0.23764258555133089</v>
      </c>
      <c r="L249" s="23"/>
      <c r="M249" s="70">
        <f>M248/K248-1</f>
        <v>-0.39631336405529949</v>
      </c>
      <c r="N249" s="70">
        <f>N248/M248-1</f>
        <v>0.33078880407124678</v>
      </c>
      <c r="O249" s="70">
        <f>O248/N248-1</f>
        <v>0.30783938814531542</v>
      </c>
      <c r="P249" s="70">
        <f>P248/O248-1</f>
        <v>-0.21052631578947367</v>
      </c>
      <c r="Q249" s="23"/>
      <c r="R249" s="70">
        <f>R248/P248-1</f>
        <v>-0.22407407407407409</v>
      </c>
      <c r="S249" s="70">
        <f>S248/R248-1</f>
        <v>0.18377088305489253</v>
      </c>
      <c r="T249" s="70">
        <f>T248/S248-1</f>
        <v>0.29233870967741926</v>
      </c>
      <c r="U249" s="70">
        <f>U248/T248-1</f>
        <v>-0.14206708268330737</v>
      </c>
      <c r="V249" s="23"/>
      <c r="W249" s="70">
        <f>W248/U248-1</f>
        <v>0.18377626446761908</v>
      </c>
      <c r="X249" s="70">
        <f>X248/W248-1</f>
        <v>-0.42242703533026116</v>
      </c>
      <c r="Y249" s="70">
        <f>Y248/X248-1</f>
        <v>0.25</v>
      </c>
      <c r="Z249" s="70">
        <f>Z248/Y248-1</f>
        <v>8.9361702127659592E-2</v>
      </c>
      <c r="AA249" s="23"/>
      <c r="AB249" s="70">
        <f>AB248/Z248-1</f>
        <v>9.5703125E-2</v>
      </c>
      <c r="AC249" s="70">
        <f>AC248/AB248-1</f>
        <v>-8.9126559714794995E-3</v>
      </c>
      <c r="AD249" s="70">
        <f>AD248/AC248-1</f>
        <v>0.1348920863309353</v>
      </c>
      <c r="AE249" s="70">
        <f>AE248/AD248-1</f>
        <v>-0.16640253565768626</v>
      </c>
      <c r="AF249" s="23"/>
      <c r="AG249" s="70">
        <f>AG248/AE248-1</f>
        <v>0.17110266159695819</v>
      </c>
      <c r="AH249" s="70">
        <f>AH248/AG248-1</f>
        <v>-0.11525974025974028</v>
      </c>
      <c r="AI249" s="70">
        <f>AI248/AH248-1</f>
        <v>9.9082568807339344E-2</v>
      </c>
      <c r="AJ249" s="70">
        <f>AJ248/AI248-1</f>
        <v>-0.1669449081803005</v>
      </c>
      <c r="AK249" s="23"/>
      <c r="AL249" s="70">
        <f>AL248/AJ248-1</f>
        <v>9.8196392785571129E-2</v>
      </c>
      <c r="AM249" s="70">
        <f>AM248/AL248-1</f>
        <v>-0.16788321167883213</v>
      </c>
      <c r="AN249" s="70">
        <f>AN248/AM248-1</f>
        <v>0.5043859649122806</v>
      </c>
      <c r="AO249" s="70">
        <f>AO248/AN248-1</f>
        <v>-2.6239067055393583E-2</v>
      </c>
      <c r="AP249" s="23"/>
      <c r="AQ249" s="70">
        <f>AQ248/AO248-1</f>
        <v>-0.19311377245508987</v>
      </c>
      <c r="AR249" s="70">
        <f>AR248/AQ248-1</f>
        <v>-4.081632653061229E-2</v>
      </c>
      <c r="AS249" s="70">
        <f>AS248/AR248-1</f>
        <v>1.740812379110257E-2</v>
      </c>
      <c r="AT249" s="70">
        <f>AT248/AS248-1</f>
        <v>-8.365019011406849E-2</v>
      </c>
      <c r="AU249" s="23"/>
      <c r="AV249" s="70">
        <f>AV248/AT248-1</f>
        <v>0.24481327800829877</v>
      </c>
      <c r="AW249" s="70">
        <f>AW248/AV248-1</f>
        <v>-0.22499999999999998</v>
      </c>
      <c r="AX249" s="70">
        <f>AX248/AW248-1</f>
        <v>0.23225806451612896</v>
      </c>
      <c r="AY249" s="70">
        <f>AY248/AX248-1</f>
        <v>2.4432809773123898E-2</v>
      </c>
      <c r="AZ249" s="23"/>
      <c r="BA249" s="70">
        <v>-0.12095400340715501</v>
      </c>
      <c r="BB249" s="70">
        <v>-1.744186046511631E-2</v>
      </c>
      <c r="BC249" s="70">
        <v>0.14990138067061154</v>
      </c>
      <c r="BD249" s="70">
        <v>2.9159519725557415E-2</v>
      </c>
      <c r="BE249" s="23"/>
      <c r="BF249" s="70">
        <v>-0.21499999999999997</v>
      </c>
      <c r="BG249" s="70">
        <v>-0.11677282377919318</v>
      </c>
      <c r="BH249" s="70">
        <v>0.16346153846153855</v>
      </c>
      <c r="BI249" s="70">
        <v>-1.6528925619834656E-2</v>
      </c>
      <c r="BJ249" s="23"/>
      <c r="BK249" s="70">
        <v>0.28361344537815136</v>
      </c>
    </row>
    <row r="250" spans="1:63" ht="11.45" customHeight="1">
      <c r="A250" s="69" t="s">
        <v>8</v>
      </c>
      <c r="B250" s="23"/>
      <c r="C250" s="71"/>
      <c r="D250" s="71"/>
      <c r="E250" s="71"/>
      <c r="F250" s="71"/>
      <c r="G250" s="23">
        <f>G248/B248-1</f>
        <v>0.22625090645395218</v>
      </c>
      <c r="H250" s="71"/>
      <c r="I250" s="71"/>
      <c r="J250" s="71"/>
      <c r="L250" s="23">
        <f t="shared" ref="L250:R250" si="442">L248/G248-1</f>
        <v>0.31283264340626848</v>
      </c>
      <c r="M250" s="71">
        <f t="shared" si="442"/>
        <v>-0.38110236220472438</v>
      </c>
      <c r="N250" s="71">
        <f t="shared" si="442"/>
        <v>0.28186274509803932</v>
      </c>
      <c r="O250" s="71">
        <f t="shared" si="442"/>
        <v>0.30038022813688214</v>
      </c>
      <c r="P250" s="71">
        <f t="shared" si="442"/>
        <v>-0.17050691244239635</v>
      </c>
      <c r="Q250" s="23">
        <f t="shared" si="442"/>
        <v>-3.6036036036036001E-2</v>
      </c>
      <c r="R250" s="71">
        <f t="shared" si="442"/>
        <v>6.61577608142494E-2</v>
      </c>
      <c r="S250" s="71">
        <f t="shared" ref="S250:Y250" si="443">S248/N248-1</f>
        <v>-5.1625239005736123E-2</v>
      </c>
      <c r="T250" s="71">
        <f t="shared" si="443"/>
        <v>-6.2865497076023402E-2</v>
      </c>
      <c r="U250" s="71">
        <f t="shared" si="443"/>
        <v>1.8398148148148108E-2</v>
      </c>
      <c r="V250" s="23">
        <f t="shared" si="443"/>
        <v>-1.591822429906542E-2</v>
      </c>
      <c r="W250" s="71">
        <f t="shared" si="443"/>
        <v>0.55369928400954649</v>
      </c>
      <c r="X250" s="71">
        <f t="shared" si="443"/>
        <v>-0.24193548387096775</v>
      </c>
      <c r="Y250" s="71">
        <f t="shared" si="443"/>
        <v>-0.26677067082683303</v>
      </c>
      <c r="Z250" s="71">
        <f t="shared" ref="Z250:AI250" si="444">Z248/U248-1</f>
        <v>-6.8980879558493191E-2</v>
      </c>
      <c r="AA250" s="23">
        <f t="shared" si="444"/>
        <v>-4.6029435856282386E-2</v>
      </c>
      <c r="AB250" s="71">
        <f t="shared" si="444"/>
        <v>-0.13824884792626724</v>
      </c>
      <c r="AC250" s="71">
        <f t="shared" si="444"/>
        <v>0.47872340425531923</v>
      </c>
      <c r="AD250" s="71">
        <f t="shared" si="444"/>
        <v>0.34255319148936181</v>
      </c>
      <c r="AE250" s="71">
        <f t="shared" si="444"/>
        <v>2.734375E-2</v>
      </c>
      <c r="AF250" s="23">
        <f t="shared" si="444"/>
        <v>0.13190642110502737</v>
      </c>
      <c r="AG250" s="71">
        <f t="shared" si="444"/>
        <v>9.8039215686274606E-2</v>
      </c>
      <c r="AH250" s="71">
        <f t="shared" si="444"/>
        <v>-1.9784172661870492E-2</v>
      </c>
      <c r="AI250" s="71">
        <f t="shared" si="444"/>
        <v>-5.0713153724247229E-2</v>
      </c>
      <c r="AJ250" s="71">
        <f t="shared" ref="AJ250:AS250" si="445">AJ248/AE248-1</f>
        <v>-5.1330798479087503E-2</v>
      </c>
      <c r="AK250" s="23">
        <f t="shared" si="445"/>
        <v>-6.5963060686016206E-3</v>
      </c>
      <c r="AL250" s="71">
        <f t="shared" si="445"/>
        <v>-0.11038961038961037</v>
      </c>
      <c r="AM250" s="71">
        <f t="shared" si="445"/>
        <v>-0.16330275229357794</v>
      </c>
      <c r="AN250" s="71">
        <f t="shared" si="445"/>
        <v>0.14524207011686152</v>
      </c>
      <c r="AO250" s="71">
        <f t="shared" si="445"/>
        <v>0.33867735470941884</v>
      </c>
      <c r="AP250" s="23">
        <f t="shared" si="445"/>
        <v>4.3824701195219085E-2</v>
      </c>
      <c r="AQ250" s="71">
        <f t="shared" si="445"/>
        <v>-1.6423357664233529E-2</v>
      </c>
      <c r="AR250" s="71">
        <f t="shared" si="445"/>
        <v>0.13377192982456143</v>
      </c>
      <c r="AS250" s="71">
        <f t="shared" si="445"/>
        <v>-0.23323615160349853</v>
      </c>
      <c r="AT250" s="71">
        <f t="shared" ref="AT250" si="446">AT248/AO248-1</f>
        <v>-0.27844311377245512</v>
      </c>
      <c r="AU250" s="23">
        <f t="shared" ref="AU250:AX250" si="447">AU248/AP248-1</f>
        <v>-0.12468193384223913</v>
      </c>
      <c r="AV250" s="71">
        <f t="shared" si="447"/>
        <v>0.1131725417439704</v>
      </c>
      <c r="AW250" s="71">
        <f t="shared" si="447"/>
        <v>-0.10058027079303677</v>
      </c>
      <c r="AX250" s="71">
        <f t="shared" si="447"/>
        <v>8.9353612167300422E-2</v>
      </c>
      <c r="AY250" s="71">
        <f t="shared" ref="AY250" si="448">AY248/AT248-1</f>
        <v>0.21784232365145217</v>
      </c>
      <c r="AZ250" s="23">
        <v>7.8003875968992276E-2</v>
      </c>
      <c r="BA250" s="71">
        <v>-0.14000000000000001</v>
      </c>
      <c r="BB250" s="71">
        <v>9.0322580645161299E-2</v>
      </c>
      <c r="BC250" s="71">
        <v>1.7452006980802848E-2</v>
      </c>
      <c r="BD250" s="71">
        <v>2.2146507666098714E-2</v>
      </c>
      <c r="BE250" s="23">
        <v>-8.5393258426966767E-3</v>
      </c>
      <c r="BF250" s="71">
        <v>-8.7209302325581439E-2</v>
      </c>
      <c r="BG250" s="71">
        <v>-0.17948717948717952</v>
      </c>
      <c r="BH250" s="71">
        <v>-0.16981132075471694</v>
      </c>
      <c r="BI250" s="71">
        <v>-0.20666666666666667</v>
      </c>
      <c r="BJ250" s="23">
        <v>-0.16273798730734357</v>
      </c>
      <c r="BK250" s="71">
        <v>0.29723991507430991</v>
      </c>
    </row>
    <row r="251" spans="1:63" hidden="1">
      <c r="A251" s="67" t="s">
        <v>45</v>
      </c>
      <c r="B251" s="36">
        <v>513</v>
      </c>
      <c r="C251" s="68">
        <v>128</v>
      </c>
      <c r="D251" s="68">
        <v>139</v>
      </c>
      <c r="E251" s="68">
        <v>112</v>
      </c>
      <c r="F251" s="68">
        <f>G251-E251-D251-C251</f>
        <v>221</v>
      </c>
      <c r="G251" s="36">
        <f>554+46</f>
        <v>600</v>
      </c>
      <c r="H251" s="68">
        <v>210</v>
      </c>
      <c r="I251" s="68">
        <v>209</v>
      </c>
      <c r="J251" s="68">
        <v>191</v>
      </c>
      <c r="K251" s="68">
        <f>L251-J251-I251-H251</f>
        <v>234</v>
      </c>
      <c r="L251" s="36">
        <v>844</v>
      </c>
      <c r="M251" s="68">
        <v>228</v>
      </c>
      <c r="N251" s="68">
        <v>269</v>
      </c>
      <c r="O251" s="68">
        <v>250</v>
      </c>
      <c r="P251" s="68">
        <v>294</v>
      </c>
      <c r="Q251" s="36">
        <f>P251+O251+N251+M251</f>
        <v>1041</v>
      </c>
      <c r="R251" s="68">
        <v>340</v>
      </c>
      <c r="S251" s="68">
        <v>310</v>
      </c>
      <c r="T251" s="68">
        <v>243</v>
      </c>
      <c r="U251" s="68">
        <f>V251-T251-S251-R251</f>
        <v>281</v>
      </c>
      <c r="V251" s="36">
        <v>1174</v>
      </c>
      <c r="W251" s="68">
        <v>262</v>
      </c>
      <c r="X251" s="68">
        <v>239</v>
      </c>
      <c r="Y251" s="68">
        <v>238</v>
      </c>
      <c r="Z251" s="68">
        <v>206</v>
      </c>
      <c r="AA251" s="36">
        <f>Z251+Y251+X251+W251</f>
        <v>945</v>
      </c>
      <c r="AB251" s="68">
        <v>164</v>
      </c>
      <c r="AC251" s="68">
        <v>197</v>
      </c>
      <c r="AD251" s="68">
        <v>191</v>
      </c>
      <c r="AE251" s="68">
        <v>225</v>
      </c>
      <c r="AF251" s="36">
        <f>AE251+AD251+AC251+AB251</f>
        <v>777</v>
      </c>
      <c r="AG251" s="68">
        <v>215</v>
      </c>
      <c r="AH251" s="68">
        <v>215</v>
      </c>
      <c r="AI251" s="68">
        <v>198</v>
      </c>
      <c r="AJ251" s="68">
        <f>AK251-AI251-AH251-AG251</f>
        <v>207</v>
      </c>
      <c r="AK251" s="36">
        <v>835</v>
      </c>
      <c r="AL251" s="68">
        <v>228</v>
      </c>
      <c r="AM251" s="68">
        <v>203</v>
      </c>
      <c r="AN251" s="68">
        <v>208</v>
      </c>
      <c r="AO251" s="68">
        <v>198</v>
      </c>
      <c r="AP251" s="36">
        <f>AO251+AN251+AM251+AL251</f>
        <v>837</v>
      </c>
      <c r="AQ251" s="68">
        <v>222</v>
      </c>
      <c r="AR251" s="68">
        <v>203</v>
      </c>
      <c r="AS251" s="68">
        <v>204</v>
      </c>
      <c r="AT251" s="68"/>
      <c r="AU251" s="36"/>
      <c r="AV251" s="68"/>
      <c r="AW251" s="68"/>
      <c r="AX251" s="68"/>
      <c r="AY251" s="68"/>
      <c r="AZ251" s="36"/>
      <c r="BA251" s="68"/>
      <c r="BB251" s="68"/>
      <c r="BC251" s="68"/>
      <c r="BD251" s="68"/>
      <c r="BE251" s="36"/>
      <c r="BF251" s="68"/>
      <c r="BG251" s="68"/>
      <c r="BH251" s="68"/>
      <c r="BI251" s="68"/>
      <c r="BJ251" s="36"/>
      <c r="BK251" s="68"/>
    </row>
    <row r="252" spans="1:63" hidden="1">
      <c r="A252" s="69" t="s">
        <v>7</v>
      </c>
      <c r="B252" s="23"/>
      <c r="C252" s="70"/>
      <c r="D252" s="70">
        <f>D251/C251-1</f>
        <v>8.59375E-2</v>
      </c>
      <c r="E252" s="70">
        <f>E251/D251-1</f>
        <v>-0.19424460431654678</v>
      </c>
      <c r="F252" s="70">
        <f>F251/E251-1</f>
        <v>0.97321428571428581</v>
      </c>
      <c r="G252" s="23"/>
      <c r="H252" s="70">
        <f>H251/F251-1</f>
        <v>-4.9773755656108642E-2</v>
      </c>
      <c r="I252" s="70">
        <f>I251/H251-1</f>
        <v>-4.761904761904745E-3</v>
      </c>
      <c r="J252" s="70">
        <f>J251/I251-1</f>
        <v>-8.6124401913875603E-2</v>
      </c>
      <c r="K252" s="70">
        <f>K251/J251-1</f>
        <v>0.22513089005235609</v>
      </c>
      <c r="L252" s="23"/>
      <c r="M252" s="70">
        <f>M251/K251-1</f>
        <v>-2.5641025641025661E-2</v>
      </c>
      <c r="N252" s="70">
        <f>N251/M251-1</f>
        <v>0.17982456140350878</v>
      </c>
      <c r="O252" s="70">
        <f>O251/N251-1</f>
        <v>-7.0631970260223054E-2</v>
      </c>
      <c r="P252" s="70">
        <f>P251/O251-1</f>
        <v>0.17599999999999993</v>
      </c>
      <c r="Q252" s="23"/>
      <c r="R252" s="70">
        <f>R251/P251-1</f>
        <v>0.15646258503401356</v>
      </c>
      <c r="S252" s="70">
        <f>S251/R251-1</f>
        <v>-8.8235294117647078E-2</v>
      </c>
      <c r="T252" s="70">
        <f>T251/S251-1</f>
        <v>-0.21612903225806457</v>
      </c>
      <c r="U252" s="70">
        <f>U251/T251-1</f>
        <v>0.15637860082304522</v>
      </c>
      <c r="V252" s="23"/>
      <c r="W252" s="70">
        <f>W251/U251-1</f>
        <v>-6.7615658362989328E-2</v>
      </c>
      <c r="X252" s="70">
        <f>X251/W251-1</f>
        <v>-8.7786259541984712E-2</v>
      </c>
      <c r="Y252" s="70">
        <f>Y251/X251-1</f>
        <v>-4.1841004184099972E-3</v>
      </c>
      <c r="Z252" s="70">
        <f>Z251/Y251-1</f>
        <v>-0.13445378151260501</v>
      </c>
      <c r="AA252" s="23"/>
      <c r="AB252" s="70">
        <f>AB251/Z251-1</f>
        <v>-0.20388349514563109</v>
      </c>
      <c r="AC252" s="70">
        <f>AC251/AB251-1</f>
        <v>0.20121951219512191</v>
      </c>
      <c r="AD252" s="70">
        <f>AD251/AC251-1</f>
        <v>-3.0456852791878153E-2</v>
      </c>
      <c r="AE252" s="70">
        <f>AE251/AD251-1</f>
        <v>0.17801047120418856</v>
      </c>
      <c r="AF252" s="23"/>
      <c r="AG252" s="70">
        <f>AG251/AE251-1</f>
        <v>-4.4444444444444398E-2</v>
      </c>
      <c r="AH252" s="70">
        <f>AH251/AG251-1</f>
        <v>0</v>
      </c>
      <c r="AI252" s="70">
        <f>AI251/AH251-1</f>
        <v>-7.906976744186045E-2</v>
      </c>
      <c r="AJ252" s="70">
        <f>AJ251/AI251-1</f>
        <v>4.5454545454545414E-2</v>
      </c>
      <c r="AK252" s="23"/>
      <c r="AL252" s="70">
        <f>AL251/AJ251-1</f>
        <v>0.10144927536231885</v>
      </c>
      <c r="AM252" s="70">
        <f>AM251/AL251-1</f>
        <v>-0.10964912280701755</v>
      </c>
      <c r="AN252" s="70">
        <f>AN251/AM251-1</f>
        <v>2.4630541871921263E-2</v>
      </c>
      <c r="AO252" s="70">
        <f>AO251/AN251-1</f>
        <v>-4.8076923076923128E-2</v>
      </c>
      <c r="AP252" s="23"/>
      <c r="AQ252" s="70">
        <f>AQ251/AO251-1</f>
        <v>0.1212121212121211</v>
      </c>
      <c r="AR252" s="70">
        <f>AR251/AQ251-1</f>
        <v>-8.55855855855856E-2</v>
      </c>
      <c r="AS252" s="70">
        <f>AS251/AR251-1</f>
        <v>4.9261083743843415E-3</v>
      </c>
      <c r="AT252" s="70"/>
      <c r="AU252" s="23"/>
      <c r="AV252" s="70"/>
      <c r="AW252" s="70"/>
      <c r="AX252" s="70"/>
      <c r="AY252" s="70"/>
      <c r="AZ252" s="23"/>
      <c r="BA252" s="70"/>
      <c r="BB252" s="70"/>
      <c r="BC252" s="70"/>
      <c r="BD252" s="70"/>
      <c r="BE252" s="23"/>
      <c r="BF252" s="70"/>
      <c r="BG252" s="70"/>
      <c r="BH252" s="70"/>
      <c r="BI252" s="70"/>
      <c r="BJ252" s="23"/>
      <c r="BK252" s="70"/>
    </row>
    <row r="253" spans="1:63" hidden="1">
      <c r="A253" s="69" t="s">
        <v>8</v>
      </c>
      <c r="B253" s="23"/>
      <c r="C253" s="71"/>
      <c r="D253" s="71"/>
      <c r="E253" s="71"/>
      <c r="F253" s="71"/>
      <c r="G253" s="23">
        <f t="shared" ref="G253:N253" si="449">G251/B251-1</f>
        <v>0.16959064327485374</v>
      </c>
      <c r="H253" s="71">
        <f t="shared" si="449"/>
        <v>0.640625</v>
      </c>
      <c r="I253" s="71">
        <f t="shared" si="449"/>
        <v>0.50359712230215825</v>
      </c>
      <c r="J253" s="71">
        <f t="shared" si="449"/>
        <v>0.70535714285714279</v>
      </c>
      <c r="K253" s="71">
        <f t="shared" si="449"/>
        <v>5.8823529411764719E-2</v>
      </c>
      <c r="L253" s="23">
        <f t="shared" si="449"/>
        <v>0.40666666666666673</v>
      </c>
      <c r="M253" s="71">
        <f t="shared" si="449"/>
        <v>8.5714285714285632E-2</v>
      </c>
      <c r="N253" s="71">
        <f t="shared" si="449"/>
        <v>0.2870813397129186</v>
      </c>
      <c r="O253" s="71">
        <f t="shared" ref="O253:Y253" si="450">O251/J251-1</f>
        <v>0.30890052356020936</v>
      </c>
      <c r="P253" s="71">
        <f t="shared" si="450"/>
        <v>0.25641025641025639</v>
      </c>
      <c r="Q253" s="23">
        <f t="shared" si="450"/>
        <v>0.23341232227488162</v>
      </c>
      <c r="R253" s="71">
        <f t="shared" si="450"/>
        <v>0.49122807017543857</v>
      </c>
      <c r="S253" s="71">
        <f t="shared" si="450"/>
        <v>0.15241635687732336</v>
      </c>
      <c r="T253" s="71">
        <f t="shared" si="450"/>
        <v>-2.8000000000000025E-2</v>
      </c>
      <c r="U253" s="71">
        <f t="shared" si="450"/>
        <v>-4.4217687074829981E-2</v>
      </c>
      <c r="V253" s="23">
        <f t="shared" si="450"/>
        <v>0.12776176753121993</v>
      </c>
      <c r="W253" s="71">
        <f t="shared" si="450"/>
        <v>-0.22941176470588232</v>
      </c>
      <c r="X253" s="71">
        <f t="shared" si="450"/>
        <v>-0.2290322580645161</v>
      </c>
      <c r="Y253" s="71">
        <f t="shared" si="450"/>
        <v>-2.0576131687242816E-2</v>
      </c>
      <c r="Z253" s="71">
        <f t="shared" ref="Z253:AI253" si="451">Z251/U251-1</f>
        <v>-0.26690391459074736</v>
      </c>
      <c r="AA253" s="23">
        <f t="shared" si="451"/>
        <v>-0.19505962521294717</v>
      </c>
      <c r="AB253" s="71">
        <f t="shared" si="451"/>
        <v>-0.37404580152671751</v>
      </c>
      <c r="AC253" s="71">
        <f t="shared" si="451"/>
        <v>-0.17573221757322177</v>
      </c>
      <c r="AD253" s="71">
        <f t="shared" si="451"/>
        <v>-0.19747899159663862</v>
      </c>
      <c r="AE253" s="71">
        <f t="shared" si="451"/>
        <v>9.2233009708737823E-2</v>
      </c>
      <c r="AF253" s="23">
        <f t="shared" si="451"/>
        <v>-0.17777777777777781</v>
      </c>
      <c r="AG253" s="71">
        <f t="shared" si="451"/>
        <v>0.31097560975609762</v>
      </c>
      <c r="AH253" s="71">
        <f t="shared" si="451"/>
        <v>9.137055837563457E-2</v>
      </c>
      <c r="AI253" s="71">
        <f t="shared" si="451"/>
        <v>3.6649214659685958E-2</v>
      </c>
      <c r="AJ253" s="71">
        <f t="shared" ref="AJ253:AS253" si="452">AJ251/AE251-1</f>
        <v>-7.999999999999996E-2</v>
      </c>
      <c r="AK253" s="23">
        <f t="shared" si="452"/>
        <v>7.4646074646074645E-2</v>
      </c>
      <c r="AL253" s="71">
        <f t="shared" si="452"/>
        <v>6.0465116279069697E-2</v>
      </c>
      <c r="AM253" s="71">
        <f t="shared" si="452"/>
        <v>-5.5813953488372148E-2</v>
      </c>
      <c r="AN253" s="71">
        <f t="shared" si="452"/>
        <v>5.0505050505050608E-2</v>
      </c>
      <c r="AO253" s="71">
        <f t="shared" si="452"/>
        <v>-4.3478260869565188E-2</v>
      </c>
      <c r="AP253" s="23">
        <f t="shared" si="452"/>
        <v>2.3952095808383866E-3</v>
      </c>
      <c r="AQ253" s="71">
        <f t="shared" si="452"/>
        <v>-2.6315789473684181E-2</v>
      </c>
      <c r="AR253" s="71">
        <f t="shared" si="452"/>
        <v>0</v>
      </c>
      <c r="AS253" s="71">
        <f t="shared" si="452"/>
        <v>-1.9230769230769273E-2</v>
      </c>
      <c r="AT253" s="71"/>
      <c r="AU253" s="23"/>
      <c r="AV253" s="71"/>
      <c r="AW253" s="71"/>
      <c r="AX253" s="71"/>
      <c r="AY253" s="71"/>
      <c r="AZ253" s="23"/>
      <c r="BA253" s="71"/>
      <c r="BB253" s="71"/>
      <c r="BC253" s="71"/>
      <c r="BD253" s="71"/>
      <c r="BE253" s="23"/>
      <c r="BF253" s="71"/>
      <c r="BG253" s="71"/>
      <c r="BH253" s="71"/>
      <c r="BI253" s="71"/>
      <c r="BJ253" s="23"/>
      <c r="BK253" s="71"/>
    </row>
    <row r="254" spans="1:63" ht="11.25" customHeight="1">
      <c r="A254" s="67" t="s">
        <v>46</v>
      </c>
      <c r="B254" s="63">
        <f>93+412</f>
        <v>505</v>
      </c>
      <c r="C254" s="68">
        <v>158</v>
      </c>
      <c r="D254" s="68">
        <v>132</v>
      </c>
      <c r="E254" s="68">
        <v>156</v>
      </c>
      <c r="F254" s="68">
        <f>G254-E254-D254-C254</f>
        <v>170</v>
      </c>
      <c r="G254" s="63">
        <f>98+518</f>
        <v>616</v>
      </c>
      <c r="H254" s="68">
        <f>216+22</f>
        <v>238</v>
      </c>
      <c r="I254" s="68">
        <f>152+39</f>
        <v>191</v>
      </c>
      <c r="J254" s="68">
        <v>204</v>
      </c>
      <c r="K254" s="68">
        <f>L254-J254-I254-H254</f>
        <v>220</v>
      </c>
      <c r="L254" s="63">
        <f>133+720</f>
        <v>853</v>
      </c>
      <c r="M254" s="68">
        <f>33+205</f>
        <v>238</v>
      </c>
      <c r="N254" s="68">
        <f>215+32</f>
        <v>247</v>
      </c>
      <c r="O254" s="68">
        <f>40+205</f>
        <v>245</v>
      </c>
      <c r="P254" s="68">
        <f>Q254-O254-N254-M254</f>
        <v>302</v>
      </c>
      <c r="Q254" s="63">
        <f>156+876</f>
        <v>1032</v>
      </c>
      <c r="R254" s="68">
        <f>289+30</f>
        <v>319</v>
      </c>
      <c r="S254" s="68">
        <v>319</v>
      </c>
      <c r="T254" s="68">
        <f>41+227</f>
        <v>268</v>
      </c>
      <c r="U254" s="68">
        <f>V254-T254-S254-R254</f>
        <v>259</v>
      </c>
      <c r="V254" s="63">
        <f>167+998</f>
        <v>1165</v>
      </c>
      <c r="W254" s="68">
        <f>36+233</f>
        <v>269</v>
      </c>
      <c r="X254" s="68">
        <f>34+204</f>
        <v>238</v>
      </c>
      <c r="Y254" s="68">
        <f>33+216</f>
        <v>249</v>
      </c>
      <c r="Z254" s="68">
        <f>AA254-Y254-X254-W254</f>
        <v>202</v>
      </c>
      <c r="AA254" s="63">
        <f>136+822</f>
        <v>958</v>
      </c>
      <c r="AB254" s="68">
        <f>21+162</f>
        <v>183</v>
      </c>
      <c r="AC254" s="68">
        <f>20+166</f>
        <v>186</v>
      </c>
      <c r="AD254" s="68">
        <f>22+176</f>
        <v>198</v>
      </c>
      <c r="AE254" s="68">
        <f>AF254-AD254-AC254-AB254</f>
        <v>222</v>
      </c>
      <c r="AF254" s="63">
        <f>86+703</f>
        <v>789</v>
      </c>
      <c r="AG254" s="68">
        <v>210</v>
      </c>
      <c r="AH254" s="68">
        <f>20+187</f>
        <v>207</v>
      </c>
      <c r="AI254" s="68">
        <f>190+20</f>
        <v>210</v>
      </c>
      <c r="AJ254" s="68">
        <f>AK254-AI254-AH254-AG254</f>
        <v>195</v>
      </c>
      <c r="AK254" s="63">
        <f>82+740</f>
        <v>822</v>
      </c>
      <c r="AL254" s="68">
        <f>20+211</f>
        <v>231</v>
      </c>
      <c r="AM254" s="68">
        <f>17+174</f>
        <v>191</v>
      </c>
      <c r="AN254" s="68">
        <f>216+14</f>
        <v>230</v>
      </c>
      <c r="AO254" s="68">
        <f>AP254-AN254-AM254-AL254</f>
        <v>197</v>
      </c>
      <c r="AP254" s="63">
        <f>71+778</f>
        <v>849</v>
      </c>
      <c r="AQ254" s="68">
        <f>179+16</f>
        <v>195</v>
      </c>
      <c r="AR254" s="68">
        <v>227</v>
      </c>
      <c r="AS254" s="68">
        <f>18+189</f>
        <v>207</v>
      </c>
      <c r="AT254" s="68">
        <f>AU254-AS254-AR254-AQ254</f>
        <v>205</v>
      </c>
      <c r="AU254" s="63">
        <f>76+758</f>
        <v>834</v>
      </c>
      <c r="AV254" s="68">
        <f>26+184</f>
        <v>210</v>
      </c>
      <c r="AW254" s="68">
        <f>194+25</f>
        <v>219</v>
      </c>
      <c r="AX254" s="68">
        <f>27+143</f>
        <v>170</v>
      </c>
      <c r="AY254" s="68">
        <f>AZ254-AX254-AW254-AV254</f>
        <v>226</v>
      </c>
      <c r="AZ254" s="63">
        <v>825</v>
      </c>
      <c r="BA254" s="68">
        <v>205</v>
      </c>
      <c r="BB254" s="68">
        <v>313</v>
      </c>
      <c r="BC254" s="68">
        <v>233</v>
      </c>
      <c r="BD254" s="68">
        <v>225</v>
      </c>
      <c r="BE254" s="63">
        <v>976</v>
      </c>
      <c r="BF254" s="68">
        <v>210</v>
      </c>
      <c r="BG254" s="68">
        <v>333</v>
      </c>
      <c r="BH254" s="68">
        <v>145</v>
      </c>
      <c r="BI254" s="68">
        <v>193</v>
      </c>
      <c r="BJ254" s="63">
        <v>881</v>
      </c>
      <c r="BK254" s="68">
        <v>200</v>
      </c>
    </row>
    <row r="255" spans="1:63" ht="9" customHeight="1">
      <c r="A255" s="69" t="s">
        <v>7</v>
      </c>
      <c r="B255" s="23"/>
      <c r="C255" s="70"/>
      <c r="D255" s="70">
        <f>D254/C254-1</f>
        <v>-0.16455696202531644</v>
      </c>
      <c r="E255" s="70">
        <f>E254/D254-1</f>
        <v>0.18181818181818188</v>
      </c>
      <c r="F255" s="70">
        <f>F254/E254-1</f>
        <v>8.9743589743589647E-2</v>
      </c>
      <c r="G255" s="23"/>
      <c r="H255" s="70">
        <f>H254/F254-1</f>
        <v>0.39999999999999991</v>
      </c>
      <c r="I255" s="70">
        <f>I254/H254-1</f>
        <v>-0.19747899159663862</v>
      </c>
      <c r="J255" s="70">
        <f>J254/I254-1</f>
        <v>6.8062827225130906E-2</v>
      </c>
      <c r="K255" s="70">
        <f>K254/J254-1</f>
        <v>7.8431372549019551E-2</v>
      </c>
      <c r="L255" s="23"/>
      <c r="M255" s="70">
        <f>M254/K254-1</f>
        <v>8.181818181818179E-2</v>
      </c>
      <c r="N255" s="70">
        <f>N254/M254-1</f>
        <v>3.7815126050420256E-2</v>
      </c>
      <c r="O255" s="70">
        <f>O254/N254-1</f>
        <v>-8.0971659919027994E-3</v>
      </c>
      <c r="P255" s="70">
        <f>P254/O254-1</f>
        <v>0.2326530612244897</v>
      </c>
      <c r="Q255" s="23"/>
      <c r="R255" s="70">
        <f>R254/P254-1</f>
        <v>5.6291390728476776E-2</v>
      </c>
      <c r="S255" s="70">
        <f>S254/R254-1</f>
        <v>0</v>
      </c>
      <c r="T255" s="70">
        <f>T254/S254-1</f>
        <v>-0.15987460815047017</v>
      </c>
      <c r="U255" s="70">
        <f>U254/T254-1</f>
        <v>-3.3582089552238847E-2</v>
      </c>
      <c r="V255" s="23"/>
      <c r="W255" s="70">
        <f>W254/U254-1</f>
        <v>3.8610038610038533E-2</v>
      </c>
      <c r="X255" s="70">
        <f>X254/W254-1</f>
        <v>-0.11524163568773238</v>
      </c>
      <c r="Y255" s="70">
        <f>Y254/X254-1</f>
        <v>4.6218487394958041E-2</v>
      </c>
      <c r="Z255" s="70">
        <f>Z254/Y254-1</f>
        <v>-0.1887550200803213</v>
      </c>
      <c r="AA255" s="23"/>
      <c r="AB255" s="70">
        <f>AB254/Z254-1</f>
        <v>-9.4059405940594032E-2</v>
      </c>
      <c r="AC255" s="70">
        <f>AC254/AB254-1</f>
        <v>1.6393442622950838E-2</v>
      </c>
      <c r="AD255" s="70">
        <f>AD254/AC254-1</f>
        <v>6.4516129032258007E-2</v>
      </c>
      <c r="AE255" s="70">
        <f>AE254/AD254-1</f>
        <v>0.1212121212121211</v>
      </c>
      <c r="AF255" s="23"/>
      <c r="AG255" s="70">
        <f>AG254/AE254-1</f>
        <v>-5.4054054054054057E-2</v>
      </c>
      <c r="AH255" s="70">
        <f>AH254/AG254-1</f>
        <v>-1.4285714285714235E-2</v>
      </c>
      <c r="AI255" s="70">
        <f>AI254/AH254-1</f>
        <v>1.449275362318847E-2</v>
      </c>
      <c r="AJ255" s="70">
        <f>AJ254/AI254-1</f>
        <v>-7.1428571428571397E-2</v>
      </c>
      <c r="AK255" s="23"/>
      <c r="AL255" s="70">
        <f>AL254/AJ254-1</f>
        <v>0.18461538461538463</v>
      </c>
      <c r="AM255" s="70">
        <f>AM254/AL254-1</f>
        <v>-0.17316017316017318</v>
      </c>
      <c r="AN255" s="70">
        <f>AN254/AM254-1</f>
        <v>0.20418848167539272</v>
      </c>
      <c r="AO255" s="70">
        <f>AO254/AN254-1</f>
        <v>-0.14347826086956517</v>
      </c>
      <c r="AP255" s="23"/>
      <c r="AQ255" s="70">
        <f>AQ254/AO254-1</f>
        <v>-1.0152284263959421E-2</v>
      </c>
      <c r="AR255" s="70">
        <f>AR254/AQ254-1</f>
        <v>0.16410256410256419</v>
      </c>
      <c r="AS255" s="70">
        <f>AS254/AR254-1</f>
        <v>-8.8105726872246715E-2</v>
      </c>
      <c r="AT255" s="70">
        <f>AT254/AS254-1</f>
        <v>-9.6618357487923134E-3</v>
      </c>
      <c r="AU255" s="23"/>
      <c r="AV255" s="70">
        <f>AV254/AT254-1</f>
        <v>2.4390243902439046E-2</v>
      </c>
      <c r="AW255" s="70">
        <f>AW254/AV254-1</f>
        <v>4.2857142857142927E-2</v>
      </c>
      <c r="AX255" s="70">
        <f>AX254/AW254-1</f>
        <v>-0.22374429223744297</v>
      </c>
      <c r="AY255" s="70">
        <f>AY254/AX254-1</f>
        <v>0.32941176470588229</v>
      </c>
      <c r="AZ255" s="23"/>
      <c r="BA255" s="70">
        <v>-9.2920353982300918E-2</v>
      </c>
      <c r="BB255" s="70">
        <v>0.52682926829268295</v>
      </c>
      <c r="BC255" s="70">
        <v>-0.25559105431309903</v>
      </c>
      <c r="BD255" s="70">
        <v>-3.4334763948497882E-2</v>
      </c>
      <c r="BE255" s="23"/>
      <c r="BF255" s="70">
        <v>-6.6666666666666652E-2</v>
      </c>
      <c r="BG255" s="70">
        <v>0.58571428571428563</v>
      </c>
      <c r="BH255" s="70">
        <v>-0.5645645645645645</v>
      </c>
      <c r="BI255" s="70">
        <v>0.33103448275862069</v>
      </c>
      <c r="BJ255" s="23"/>
      <c r="BK255" s="70">
        <v>3.6269430051813378E-2</v>
      </c>
    </row>
    <row r="256" spans="1:63" ht="9.6" customHeight="1">
      <c r="A256" s="69" t="s">
        <v>8</v>
      </c>
      <c r="B256" s="23"/>
      <c r="C256" s="71"/>
      <c r="D256" s="71"/>
      <c r="E256" s="71"/>
      <c r="F256" s="71"/>
      <c r="G256" s="23">
        <f t="shared" ref="G256:N256" si="453">G254/B254-1</f>
        <v>0.21980198019801978</v>
      </c>
      <c r="H256" s="71">
        <f t="shared" si="453"/>
        <v>0.50632911392405067</v>
      </c>
      <c r="I256" s="71">
        <f t="shared" si="453"/>
        <v>0.44696969696969702</v>
      </c>
      <c r="J256" s="71">
        <f t="shared" si="453"/>
        <v>0.30769230769230771</v>
      </c>
      <c r="K256" s="71">
        <f t="shared" si="453"/>
        <v>0.29411764705882359</v>
      </c>
      <c r="L256" s="23">
        <f t="shared" si="453"/>
        <v>0.38474025974025983</v>
      </c>
      <c r="M256" s="71">
        <f t="shared" si="453"/>
        <v>0</v>
      </c>
      <c r="N256" s="71">
        <f t="shared" si="453"/>
        <v>0.293193717277487</v>
      </c>
      <c r="O256" s="71">
        <f t="shared" ref="O256:Y256" si="454">O254/J254-1</f>
        <v>0.2009803921568627</v>
      </c>
      <c r="P256" s="71">
        <f t="shared" si="454"/>
        <v>0.3727272727272728</v>
      </c>
      <c r="Q256" s="23">
        <f t="shared" si="454"/>
        <v>0.20984759671746778</v>
      </c>
      <c r="R256" s="71">
        <f t="shared" si="454"/>
        <v>0.34033613445378141</v>
      </c>
      <c r="S256" s="71">
        <f t="shared" si="454"/>
        <v>0.29149797570850211</v>
      </c>
      <c r="T256" s="71">
        <f t="shared" si="454"/>
        <v>9.3877551020408179E-2</v>
      </c>
      <c r="U256" s="71">
        <f t="shared" si="454"/>
        <v>-0.14238410596026485</v>
      </c>
      <c r="V256" s="23">
        <f t="shared" si="454"/>
        <v>0.12887596899224807</v>
      </c>
      <c r="W256" s="71">
        <f t="shared" si="454"/>
        <v>-0.15673981191222575</v>
      </c>
      <c r="X256" s="71">
        <f t="shared" si="454"/>
        <v>-0.25391849529780564</v>
      </c>
      <c r="Y256" s="71">
        <f t="shared" si="454"/>
        <v>-7.089552238805974E-2</v>
      </c>
      <c r="Z256" s="71">
        <f t="shared" ref="Z256:AI256" si="455">Z254/U254-1</f>
        <v>-0.22007722007722008</v>
      </c>
      <c r="AA256" s="23">
        <f t="shared" si="455"/>
        <v>-0.17768240343347641</v>
      </c>
      <c r="AB256" s="71">
        <f t="shared" si="455"/>
        <v>-0.3197026022304833</v>
      </c>
      <c r="AC256" s="71">
        <f t="shared" si="455"/>
        <v>-0.21848739495798319</v>
      </c>
      <c r="AD256" s="71">
        <f t="shared" si="455"/>
        <v>-0.20481927710843373</v>
      </c>
      <c r="AE256" s="71">
        <f t="shared" si="455"/>
        <v>9.9009900990099098E-2</v>
      </c>
      <c r="AF256" s="23">
        <f t="shared" si="455"/>
        <v>-0.17640918580375786</v>
      </c>
      <c r="AG256" s="71">
        <f t="shared" si="455"/>
        <v>0.14754098360655732</v>
      </c>
      <c r="AH256" s="71">
        <f t="shared" si="455"/>
        <v>0.11290322580645151</v>
      </c>
      <c r="AI256" s="71">
        <f t="shared" si="455"/>
        <v>6.0606060606060552E-2</v>
      </c>
      <c r="AJ256" s="71">
        <f t="shared" ref="AJ256:AS256" si="456">AJ254/AE254-1</f>
        <v>-0.1216216216216216</v>
      </c>
      <c r="AK256" s="23">
        <f t="shared" si="456"/>
        <v>4.1825095057034245E-2</v>
      </c>
      <c r="AL256" s="71">
        <f t="shared" si="456"/>
        <v>0.10000000000000009</v>
      </c>
      <c r="AM256" s="71">
        <f t="shared" si="456"/>
        <v>-7.7294685990338174E-2</v>
      </c>
      <c r="AN256" s="71">
        <f t="shared" si="456"/>
        <v>9.5238095238095344E-2</v>
      </c>
      <c r="AO256" s="71">
        <f t="shared" si="456"/>
        <v>1.025641025641022E-2</v>
      </c>
      <c r="AP256" s="23">
        <f t="shared" si="456"/>
        <v>3.2846715328467058E-2</v>
      </c>
      <c r="AQ256" s="71">
        <f t="shared" si="456"/>
        <v>-0.1558441558441559</v>
      </c>
      <c r="AR256" s="71">
        <f t="shared" si="456"/>
        <v>0.18848167539267013</v>
      </c>
      <c r="AS256" s="71">
        <f t="shared" si="456"/>
        <v>-9.9999999999999978E-2</v>
      </c>
      <c r="AT256" s="71">
        <f t="shared" ref="AT256" si="457">AT254/AO254-1</f>
        <v>4.0609137055837463E-2</v>
      </c>
      <c r="AU256" s="23">
        <f t="shared" ref="AU256:AX256" si="458">AU254/AP254-1</f>
        <v>-1.7667844522968212E-2</v>
      </c>
      <c r="AV256" s="71">
        <f t="shared" si="458"/>
        <v>7.6923076923076872E-2</v>
      </c>
      <c r="AW256" s="71">
        <f t="shared" si="458"/>
        <v>-3.524229074889873E-2</v>
      </c>
      <c r="AX256" s="71">
        <f t="shared" si="458"/>
        <v>-0.17874396135265702</v>
      </c>
      <c r="AY256" s="71">
        <f t="shared" ref="AY256" si="459">AY254/AT254-1</f>
        <v>0.10243902439024399</v>
      </c>
      <c r="AZ256" s="23">
        <v>-1.0791366906474864E-2</v>
      </c>
      <c r="BA256" s="71">
        <v>-2.3809523809523836E-2</v>
      </c>
      <c r="BB256" s="71">
        <v>0.42922374429223753</v>
      </c>
      <c r="BC256" s="71">
        <v>0.37058823529411766</v>
      </c>
      <c r="BD256" s="71">
        <v>-4.4247787610619538E-3</v>
      </c>
      <c r="BE256" s="23">
        <v>0.1830303030303031</v>
      </c>
      <c r="BF256" s="71">
        <v>2.4390243902439046E-2</v>
      </c>
      <c r="BG256" s="71">
        <v>6.3897763578274702E-2</v>
      </c>
      <c r="BH256" s="71">
        <v>-0.37768240343347637</v>
      </c>
      <c r="BI256" s="71">
        <v>-0.14222222222222225</v>
      </c>
      <c r="BJ256" s="23">
        <v>-9.7336065573770503E-2</v>
      </c>
      <c r="BK256" s="71">
        <v>-4.7619047619047672E-2</v>
      </c>
    </row>
    <row r="257" spans="1:63" ht="12" customHeight="1">
      <c r="A257" s="67" t="s">
        <v>227</v>
      </c>
      <c r="B257" s="63">
        <v>169</v>
      </c>
      <c r="C257" s="68">
        <f>C254-C258</f>
        <v>60</v>
      </c>
      <c r="D257" s="68">
        <f>D254-D258</f>
        <v>25</v>
      </c>
      <c r="E257" s="68">
        <v>12</v>
      </c>
      <c r="F257" s="68">
        <f>G257-C257-D257-E257</f>
        <v>47</v>
      </c>
      <c r="G257" s="63">
        <v>144</v>
      </c>
      <c r="H257" s="68">
        <v>49</v>
      </c>
      <c r="I257" s="68">
        <v>9</v>
      </c>
      <c r="J257" s="68">
        <v>19</v>
      </c>
      <c r="K257" s="68">
        <f>L257-H257-I257-J257</f>
        <v>9</v>
      </c>
      <c r="L257" s="63">
        <v>86</v>
      </c>
      <c r="M257" s="68">
        <v>15</v>
      </c>
      <c r="N257" s="68">
        <v>26</v>
      </c>
      <c r="O257" s="68">
        <v>48</v>
      </c>
      <c r="P257" s="68">
        <f>Q257-M257-N257-O257</f>
        <v>43</v>
      </c>
      <c r="Q257" s="63">
        <v>132</v>
      </c>
      <c r="R257" s="68">
        <v>72</v>
      </c>
      <c r="S257" s="68">
        <v>48</v>
      </c>
      <c r="T257" s="68">
        <v>68</v>
      </c>
      <c r="U257" s="68">
        <f>V257-R257-S257-T257</f>
        <v>40</v>
      </c>
      <c r="V257" s="63">
        <v>228</v>
      </c>
      <c r="W257" s="68">
        <v>46</v>
      </c>
      <c r="X257" s="68">
        <v>22</v>
      </c>
      <c r="Y257" s="68">
        <v>96</v>
      </c>
      <c r="Z257" s="68">
        <f>AA257-W257-X257-Y257</f>
        <v>136</v>
      </c>
      <c r="AA257" s="63">
        <v>300</v>
      </c>
      <c r="AB257" s="68">
        <v>42</v>
      </c>
      <c r="AC257" s="68">
        <v>124</v>
      </c>
      <c r="AD257" s="68">
        <v>48</v>
      </c>
      <c r="AE257" s="68">
        <f>AF257-AB257-AC257-AD257</f>
        <v>90</v>
      </c>
      <c r="AF257" s="63">
        <v>304</v>
      </c>
      <c r="AG257" s="68">
        <v>28</v>
      </c>
      <c r="AH257" s="68">
        <v>42</v>
      </c>
      <c r="AI257" s="68">
        <v>69</v>
      </c>
      <c r="AJ257" s="68">
        <f>AK257-AG257-AH257-AI257</f>
        <v>82</v>
      </c>
      <c r="AK257" s="63">
        <v>221</v>
      </c>
      <c r="AL257" s="68">
        <v>12</v>
      </c>
      <c r="AM257" s="68">
        <v>80</v>
      </c>
      <c r="AN257" s="68">
        <v>21</v>
      </c>
      <c r="AO257" s="68">
        <f>AP257-AL257-AM257-AN257</f>
        <v>33</v>
      </c>
      <c r="AP257" s="63">
        <v>146</v>
      </c>
      <c r="AQ257" s="68">
        <v>41</v>
      </c>
      <c r="AR257" s="68">
        <v>54</v>
      </c>
      <c r="AS257" s="68">
        <v>22</v>
      </c>
      <c r="AT257" s="68">
        <f>AU257-AQ257-AR257-AS257</f>
        <v>15</v>
      </c>
      <c r="AU257" s="63">
        <v>132</v>
      </c>
      <c r="AV257" s="68">
        <v>10</v>
      </c>
      <c r="AW257" s="68">
        <v>16</v>
      </c>
      <c r="AX257" s="68">
        <v>46</v>
      </c>
      <c r="AY257" s="68">
        <f>AZ257-AV257-AW257-AX257</f>
        <v>22</v>
      </c>
      <c r="AZ257" s="63">
        <v>94</v>
      </c>
      <c r="BA257" s="68">
        <v>7</v>
      </c>
      <c r="BB257" s="182">
        <v>-58</v>
      </c>
      <c r="BC257" s="68">
        <v>8</v>
      </c>
      <c r="BD257" s="68">
        <v>270</v>
      </c>
      <c r="BE257" s="63">
        <v>227</v>
      </c>
      <c r="BF257" s="68">
        <v>39</v>
      </c>
      <c r="BG257" s="68">
        <v>340</v>
      </c>
      <c r="BH257" s="68">
        <v>14</v>
      </c>
      <c r="BI257" s="68">
        <v>14</v>
      </c>
      <c r="BJ257" s="63">
        <v>407</v>
      </c>
      <c r="BK257" s="68">
        <v>7</v>
      </c>
    </row>
    <row r="258" spans="1:63" ht="13.15" customHeight="1">
      <c r="A258" s="67" t="s">
        <v>190</v>
      </c>
      <c r="B258" s="63">
        <f>B254-169</f>
        <v>336</v>
      </c>
      <c r="C258" s="68">
        <v>98</v>
      </c>
      <c r="D258" s="68">
        <v>107</v>
      </c>
      <c r="E258" s="68">
        <f>E254-12</f>
        <v>144</v>
      </c>
      <c r="F258" s="68">
        <f>G258-E258-D258-C258</f>
        <v>123</v>
      </c>
      <c r="G258" s="63">
        <f>G254-144</f>
        <v>472</v>
      </c>
      <c r="H258" s="68">
        <f>H254-49</f>
        <v>189</v>
      </c>
      <c r="I258" s="68">
        <f>I254-9</f>
        <v>182</v>
      </c>
      <c r="J258" s="68">
        <f>J254-19</f>
        <v>185</v>
      </c>
      <c r="K258" s="68">
        <f>L258-J258-I258-H258</f>
        <v>211</v>
      </c>
      <c r="L258" s="63">
        <f>L254-86</f>
        <v>767</v>
      </c>
      <c r="M258" s="68">
        <f>M254-15</f>
        <v>223</v>
      </c>
      <c r="N258" s="68">
        <f>N254-26</f>
        <v>221</v>
      </c>
      <c r="O258" s="68">
        <f>O254-48</f>
        <v>197</v>
      </c>
      <c r="P258" s="68">
        <f>Q258-O258-N258-M258</f>
        <v>259</v>
      </c>
      <c r="Q258" s="63">
        <f>Q254-132</f>
        <v>900</v>
      </c>
      <c r="R258" s="68">
        <f>R254-72</f>
        <v>247</v>
      </c>
      <c r="S258" s="68">
        <f>S254-48</f>
        <v>271</v>
      </c>
      <c r="T258" s="68">
        <f>T254-68</f>
        <v>200</v>
      </c>
      <c r="U258" s="68">
        <f>V258-T258-S258-R258</f>
        <v>219</v>
      </c>
      <c r="V258" s="63">
        <f>V254-228</f>
        <v>937</v>
      </c>
      <c r="W258" s="68">
        <f>W254-46</f>
        <v>223</v>
      </c>
      <c r="X258" s="68">
        <f>X254-22</f>
        <v>216</v>
      </c>
      <c r="Y258" s="68">
        <f>Y254-96</f>
        <v>153</v>
      </c>
      <c r="Z258" s="68">
        <f>AA258-Y258-X258-W258</f>
        <v>66</v>
      </c>
      <c r="AA258" s="63">
        <f>AA254-300</f>
        <v>658</v>
      </c>
      <c r="AB258" s="68">
        <f>AB254-42</f>
        <v>141</v>
      </c>
      <c r="AC258" s="68">
        <f>AC254-124</f>
        <v>62</v>
      </c>
      <c r="AD258" s="68">
        <f>AD254-48</f>
        <v>150</v>
      </c>
      <c r="AE258" s="68">
        <f>AF258-AD258-AC258-AB258</f>
        <v>132</v>
      </c>
      <c r="AF258" s="63">
        <f>AF254-304</f>
        <v>485</v>
      </c>
      <c r="AG258" s="68">
        <f>AG254-28</f>
        <v>182</v>
      </c>
      <c r="AH258" s="68">
        <f>AH254-42</f>
        <v>165</v>
      </c>
      <c r="AI258" s="68">
        <f>AI254-69</f>
        <v>141</v>
      </c>
      <c r="AJ258" s="68">
        <f>AK258-AI258-AH258-AG258</f>
        <v>113</v>
      </c>
      <c r="AK258" s="63">
        <f>AK254-221</f>
        <v>601</v>
      </c>
      <c r="AL258" s="68">
        <f>AL254-12</f>
        <v>219</v>
      </c>
      <c r="AM258" s="68">
        <f>AM254-80</f>
        <v>111</v>
      </c>
      <c r="AN258" s="68">
        <f>AN254-21</f>
        <v>209</v>
      </c>
      <c r="AO258" s="68">
        <f>AP258-AN258-AM258-AL258</f>
        <v>164</v>
      </c>
      <c r="AP258" s="63">
        <f>AP254-146</f>
        <v>703</v>
      </c>
      <c r="AQ258" s="68">
        <f>AQ254-41</f>
        <v>154</v>
      </c>
      <c r="AR258" s="68">
        <f>AR254-54</f>
        <v>173</v>
      </c>
      <c r="AS258" s="68">
        <f>AS254-22</f>
        <v>185</v>
      </c>
      <c r="AT258" s="68">
        <f>AU258-AS258-AR258-AQ258</f>
        <v>190</v>
      </c>
      <c r="AU258" s="63">
        <f>AU254-132</f>
        <v>702</v>
      </c>
      <c r="AV258" s="68">
        <f>AV254-10</f>
        <v>200</v>
      </c>
      <c r="AW258" s="68">
        <f>AW254-16</f>
        <v>203</v>
      </c>
      <c r="AX258" s="68">
        <f>AX254-46</f>
        <v>124</v>
      </c>
      <c r="AY258" s="68">
        <f>AZ258-AX258-AW258-AV258</f>
        <v>204</v>
      </c>
      <c r="AZ258" s="63">
        <v>731</v>
      </c>
      <c r="BA258" s="68">
        <v>198</v>
      </c>
      <c r="BB258" s="68">
        <v>371</v>
      </c>
      <c r="BC258" s="68">
        <v>225</v>
      </c>
      <c r="BD258" s="182">
        <v>-45</v>
      </c>
      <c r="BE258" s="63">
        <v>749</v>
      </c>
      <c r="BF258" s="68">
        <v>171</v>
      </c>
      <c r="BG258" s="182">
        <v>-7</v>
      </c>
      <c r="BH258" s="182">
        <v>131</v>
      </c>
      <c r="BI258" s="182">
        <v>179</v>
      </c>
      <c r="BJ258" s="63">
        <v>474</v>
      </c>
      <c r="BK258" s="68">
        <v>193</v>
      </c>
    </row>
    <row r="259" spans="1:63" ht="10.15" customHeight="1">
      <c r="A259" s="69" t="s">
        <v>7</v>
      </c>
      <c r="B259" s="23"/>
      <c r="C259" s="70"/>
      <c r="D259" s="70">
        <f>D258/C258-1</f>
        <v>9.1836734693877542E-2</v>
      </c>
      <c r="E259" s="70">
        <f>E258/D258-1</f>
        <v>0.34579439252336441</v>
      </c>
      <c r="F259" s="70">
        <f>F258/E258-1</f>
        <v>-0.14583333333333337</v>
      </c>
      <c r="G259" s="23"/>
      <c r="H259" s="70">
        <f>H258/F258-1</f>
        <v>0.53658536585365857</v>
      </c>
      <c r="I259" s="70">
        <f>I258/H258-1</f>
        <v>-3.703703703703709E-2</v>
      </c>
      <c r="J259" s="70">
        <f>J258/I258-1</f>
        <v>1.6483516483516425E-2</v>
      </c>
      <c r="K259" s="70">
        <f>K258/J258-1</f>
        <v>0.14054054054054044</v>
      </c>
      <c r="L259" s="23"/>
      <c r="M259" s="70">
        <f>M258/K258-1</f>
        <v>5.6872037914691864E-2</v>
      </c>
      <c r="N259" s="70">
        <f>N258/M258-1</f>
        <v>-8.9686098654708779E-3</v>
      </c>
      <c r="O259" s="70">
        <f>O258/N258-1</f>
        <v>-0.10859728506787325</v>
      </c>
      <c r="P259" s="70">
        <f>P258/O258-1</f>
        <v>0.31472081218274117</v>
      </c>
      <c r="Q259" s="23"/>
      <c r="R259" s="70">
        <f>R258/P258-1</f>
        <v>-4.633204633204635E-2</v>
      </c>
      <c r="S259" s="70">
        <f>S258/R258-1</f>
        <v>9.7165991902834037E-2</v>
      </c>
      <c r="T259" s="70">
        <f>T258/S258-1</f>
        <v>-0.26199261992619927</v>
      </c>
      <c r="U259" s="70">
        <f>U258/T258-1</f>
        <v>9.4999999999999973E-2</v>
      </c>
      <c r="V259" s="23"/>
      <c r="W259" s="70">
        <f>W258/U258-1</f>
        <v>1.8264840182648401E-2</v>
      </c>
      <c r="X259" s="70">
        <f>X258/W258-1</f>
        <v>-3.1390134529147962E-2</v>
      </c>
      <c r="Y259" s="70">
        <f>Y258/X258-1</f>
        <v>-0.29166666666666663</v>
      </c>
      <c r="Z259" s="70">
        <f>Z258/Y258-1</f>
        <v>-0.56862745098039214</v>
      </c>
      <c r="AA259" s="23"/>
      <c r="AB259" s="70">
        <f>AB258/Z258-1</f>
        <v>1.1363636363636362</v>
      </c>
      <c r="AC259" s="70">
        <f>AC258/AB258-1</f>
        <v>-0.56028368794326244</v>
      </c>
      <c r="AD259" s="70">
        <f>AD258/AC258-1</f>
        <v>1.4193548387096775</v>
      </c>
      <c r="AE259" s="70">
        <f>AE258/AD258-1</f>
        <v>-0.12</v>
      </c>
      <c r="AF259" s="23"/>
      <c r="AG259" s="70">
        <f>AG258/AE258-1</f>
        <v>0.3787878787878789</v>
      </c>
      <c r="AH259" s="70">
        <f>AH258/AG258-1</f>
        <v>-9.3406593406593408E-2</v>
      </c>
      <c r="AI259" s="70">
        <f>AI258/AH258-1</f>
        <v>-0.1454545454545455</v>
      </c>
      <c r="AJ259" s="70">
        <f>AJ258/AI258-1</f>
        <v>-0.1985815602836879</v>
      </c>
      <c r="AK259" s="23"/>
      <c r="AL259" s="70">
        <f>AL258/AJ258-1</f>
        <v>0.93805309734513265</v>
      </c>
      <c r="AM259" s="70">
        <f>AM258/AL258-1</f>
        <v>-0.49315068493150682</v>
      </c>
      <c r="AN259" s="70">
        <f>AN258/AM258-1</f>
        <v>0.88288288288288297</v>
      </c>
      <c r="AO259" s="70">
        <f>AO258/AN258-1</f>
        <v>-0.21531100478468901</v>
      </c>
      <c r="AP259" s="23"/>
      <c r="AQ259" s="70">
        <f>AQ258/AO258-1</f>
        <v>-6.0975609756097615E-2</v>
      </c>
      <c r="AR259" s="70">
        <f>AR258/AQ258-1</f>
        <v>0.12337662337662336</v>
      </c>
      <c r="AS259" s="70">
        <f>AS258/AR258-1</f>
        <v>6.9364161849710948E-2</v>
      </c>
      <c r="AT259" s="70">
        <f>AT258/AS258-1</f>
        <v>2.7027027027026973E-2</v>
      </c>
      <c r="AU259" s="23"/>
      <c r="AV259" s="70">
        <f>AV258/AT258-1</f>
        <v>5.2631578947368363E-2</v>
      </c>
      <c r="AW259" s="70">
        <f>AW258/AV258-1</f>
        <v>1.4999999999999902E-2</v>
      </c>
      <c r="AX259" s="70">
        <f>AX258/AW258-1</f>
        <v>-0.38916256157635465</v>
      </c>
      <c r="AY259" s="70">
        <f>AY258/AX258-1</f>
        <v>0.64516129032258074</v>
      </c>
      <c r="AZ259" s="23"/>
      <c r="BA259" s="70">
        <v>-2.9411764705882359E-2</v>
      </c>
      <c r="BB259" s="70">
        <v>0.8737373737373737</v>
      </c>
      <c r="BC259" s="70">
        <v>-0.39353099730458219</v>
      </c>
      <c r="BD259" s="83" t="s">
        <v>39</v>
      </c>
      <c r="BE259" s="23"/>
      <c r="BF259" s="83" t="s">
        <v>39</v>
      </c>
      <c r="BG259" s="70">
        <v>-1.0409356725146199</v>
      </c>
      <c r="BH259" s="70">
        <v>-19.714285714285715</v>
      </c>
      <c r="BI259" s="70">
        <v>0.36641221374045796</v>
      </c>
      <c r="BJ259" s="23"/>
      <c r="BK259" s="70">
        <v>7.8212290502793325E-2</v>
      </c>
    </row>
    <row r="260" spans="1:63" ht="11.1" customHeight="1">
      <c r="A260" s="69" t="s">
        <v>8</v>
      </c>
      <c r="B260" s="23"/>
      <c r="C260" s="71"/>
      <c r="D260" s="71"/>
      <c r="E260" s="71"/>
      <c r="F260" s="71"/>
      <c r="G260" s="23">
        <f t="shared" ref="G260:N260" si="460">G258/B258-1</f>
        <v>0.40476190476190466</v>
      </c>
      <c r="H260" s="71">
        <f t="shared" si="460"/>
        <v>0.9285714285714286</v>
      </c>
      <c r="I260" s="71">
        <f t="shared" si="460"/>
        <v>0.7009345794392523</v>
      </c>
      <c r="J260" s="71">
        <f t="shared" si="460"/>
        <v>0.28472222222222232</v>
      </c>
      <c r="K260" s="71">
        <f t="shared" si="460"/>
        <v>0.71544715447154461</v>
      </c>
      <c r="L260" s="23">
        <f t="shared" si="460"/>
        <v>0.625</v>
      </c>
      <c r="M260" s="71">
        <f t="shared" si="460"/>
        <v>0.17989417989418</v>
      </c>
      <c r="N260" s="71">
        <f t="shared" si="460"/>
        <v>0.21428571428571419</v>
      </c>
      <c r="O260" s="71">
        <f t="shared" ref="O260:Y260" si="461">O258/J258-1</f>
        <v>6.4864864864864868E-2</v>
      </c>
      <c r="P260" s="71">
        <f t="shared" si="461"/>
        <v>0.22748815165876768</v>
      </c>
      <c r="Q260" s="23">
        <f t="shared" si="461"/>
        <v>0.17340286831812257</v>
      </c>
      <c r="R260" s="71">
        <f t="shared" si="461"/>
        <v>0.10762331838565031</v>
      </c>
      <c r="S260" s="71">
        <f t="shared" si="461"/>
        <v>0.2262443438914028</v>
      </c>
      <c r="T260" s="71">
        <f t="shared" si="461"/>
        <v>1.5228426395939021E-2</v>
      </c>
      <c r="U260" s="71">
        <f t="shared" si="461"/>
        <v>-0.15444015444015446</v>
      </c>
      <c r="V260" s="23">
        <f t="shared" si="461"/>
        <v>4.1111111111111098E-2</v>
      </c>
      <c r="W260" s="71">
        <f t="shared" si="461"/>
        <v>-9.7165991902834037E-2</v>
      </c>
      <c r="X260" s="71">
        <f t="shared" si="461"/>
        <v>-0.20295202952029523</v>
      </c>
      <c r="Y260" s="71">
        <f t="shared" si="461"/>
        <v>-0.23499999999999999</v>
      </c>
      <c r="Z260" s="71">
        <f t="shared" ref="Z260:AI260" si="462">Z258/U258-1</f>
        <v>-0.69863013698630139</v>
      </c>
      <c r="AA260" s="23">
        <f t="shared" si="462"/>
        <v>-0.29775880469583782</v>
      </c>
      <c r="AB260" s="71">
        <f t="shared" si="462"/>
        <v>-0.36771300448430488</v>
      </c>
      <c r="AC260" s="71">
        <f t="shared" si="462"/>
        <v>-0.71296296296296302</v>
      </c>
      <c r="AD260" s="71">
        <f t="shared" si="462"/>
        <v>-1.9607843137254943E-2</v>
      </c>
      <c r="AE260" s="71">
        <f t="shared" si="462"/>
        <v>1</v>
      </c>
      <c r="AF260" s="23">
        <f t="shared" si="462"/>
        <v>-0.26291793313069911</v>
      </c>
      <c r="AG260" s="71">
        <f t="shared" si="462"/>
        <v>0.29078014184397172</v>
      </c>
      <c r="AH260" s="71">
        <f t="shared" si="462"/>
        <v>1.661290322580645</v>
      </c>
      <c r="AI260" s="71">
        <f t="shared" si="462"/>
        <v>-6.0000000000000053E-2</v>
      </c>
      <c r="AJ260" s="71">
        <f t="shared" ref="AJ260:AS260" si="463">AJ258/AE258-1</f>
        <v>-0.14393939393939392</v>
      </c>
      <c r="AK260" s="23">
        <f t="shared" si="463"/>
        <v>0.2391752577319588</v>
      </c>
      <c r="AL260" s="71">
        <f t="shared" si="463"/>
        <v>0.20329670329670324</v>
      </c>
      <c r="AM260" s="71">
        <f t="shared" si="463"/>
        <v>-0.32727272727272727</v>
      </c>
      <c r="AN260" s="71">
        <f t="shared" si="463"/>
        <v>0.48226950354609932</v>
      </c>
      <c r="AO260" s="71">
        <f t="shared" si="463"/>
        <v>0.45132743362831862</v>
      </c>
      <c r="AP260" s="23">
        <f t="shared" si="463"/>
        <v>0.16971713810316147</v>
      </c>
      <c r="AQ260" s="71">
        <f t="shared" si="463"/>
        <v>-0.29680365296803657</v>
      </c>
      <c r="AR260" s="71">
        <f t="shared" si="463"/>
        <v>0.55855855855855863</v>
      </c>
      <c r="AS260" s="71">
        <f t="shared" si="463"/>
        <v>-0.11483253588516751</v>
      </c>
      <c r="AT260" s="71">
        <f t="shared" ref="AT260" si="464">AT258/AO258-1</f>
        <v>0.15853658536585358</v>
      </c>
      <c r="AU260" s="23">
        <f t="shared" ref="AU260:AX260" si="465">AU258/AP258-1</f>
        <v>-1.4224751066855834E-3</v>
      </c>
      <c r="AV260" s="71">
        <f t="shared" si="465"/>
        <v>0.29870129870129869</v>
      </c>
      <c r="AW260" s="71">
        <f t="shared" si="465"/>
        <v>0.17341040462427748</v>
      </c>
      <c r="AX260" s="71">
        <f t="shared" si="465"/>
        <v>-0.32972972972972969</v>
      </c>
      <c r="AY260" s="71">
        <f t="shared" ref="AY260" si="466">AY258/AT258-1</f>
        <v>7.3684210526315796E-2</v>
      </c>
      <c r="AZ260" s="23">
        <v>4.1310541310541238E-2</v>
      </c>
      <c r="BA260" s="71">
        <v>-1.0000000000000009E-2</v>
      </c>
      <c r="BB260" s="71">
        <v>0.82758620689655182</v>
      </c>
      <c r="BC260" s="71">
        <v>0.81451612903225801</v>
      </c>
      <c r="BD260" s="83" t="s">
        <v>39</v>
      </c>
      <c r="BE260" s="23">
        <v>2.4623803009576006E-2</v>
      </c>
      <c r="BF260" s="71">
        <v>-0.13636363636363635</v>
      </c>
      <c r="BG260" s="71">
        <v>-1.0188679245283019</v>
      </c>
      <c r="BH260" s="71">
        <v>-0.4177777777777778</v>
      </c>
      <c r="BI260" s="83" t="s">
        <v>39</v>
      </c>
      <c r="BJ260" s="23">
        <v>-0.36715620827770357</v>
      </c>
      <c r="BK260" s="71">
        <v>0.12865497076023402</v>
      </c>
    </row>
    <row r="261" spans="1:63" ht="11.1" customHeight="1">
      <c r="A261" s="67" t="s">
        <v>241</v>
      </c>
      <c r="B261" s="23"/>
      <c r="C261" s="71"/>
      <c r="D261" s="71"/>
      <c r="E261" s="71"/>
      <c r="F261" s="71"/>
      <c r="G261" s="23"/>
      <c r="H261" s="71"/>
      <c r="I261" s="71"/>
      <c r="J261" s="71"/>
      <c r="K261" s="71"/>
      <c r="L261" s="23"/>
      <c r="M261" s="71"/>
      <c r="N261" s="71"/>
      <c r="O261" s="71"/>
      <c r="P261" s="71"/>
      <c r="Q261" s="23"/>
      <c r="R261" s="71"/>
      <c r="S261" s="71"/>
      <c r="T261" s="71"/>
      <c r="U261" s="71"/>
      <c r="V261" s="23"/>
      <c r="W261" s="71"/>
      <c r="X261" s="71"/>
      <c r="Y261" s="71"/>
      <c r="Z261" s="71"/>
      <c r="AA261" s="23"/>
      <c r="AB261" s="71"/>
      <c r="AC261" s="71"/>
      <c r="AD261" s="71"/>
      <c r="AE261" s="71"/>
      <c r="AF261" s="23"/>
      <c r="AG261" s="71"/>
      <c r="AH261" s="71"/>
      <c r="AI261" s="71"/>
      <c r="AJ261" s="71"/>
      <c r="AK261" s="23"/>
      <c r="AL261" s="71"/>
      <c r="AM261" s="71"/>
      <c r="AN261" s="71"/>
      <c r="AO261" s="71"/>
      <c r="AP261" s="23"/>
      <c r="AQ261" s="71"/>
      <c r="AR261" s="71"/>
      <c r="AS261" s="71"/>
      <c r="AT261" s="71"/>
      <c r="AU261" s="23"/>
      <c r="AV261" s="71"/>
      <c r="AW261" s="71"/>
      <c r="AX261" s="71"/>
      <c r="AY261" s="71"/>
      <c r="AZ261" s="23"/>
      <c r="BA261" s="68">
        <v>33</v>
      </c>
      <c r="BB261" s="68">
        <v>29</v>
      </c>
      <c r="BC261" s="68">
        <v>28</v>
      </c>
      <c r="BD261" s="68">
        <v>9</v>
      </c>
      <c r="BE261" s="63">
        <v>99</v>
      </c>
      <c r="BF261" s="68">
        <v>34</v>
      </c>
      <c r="BG261" s="68">
        <v>27</v>
      </c>
      <c r="BH261" s="68">
        <v>25</v>
      </c>
      <c r="BI261" s="68">
        <v>28</v>
      </c>
      <c r="BJ261" s="63">
        <v>114</v>
      </c>
      <c r="BK261" s="68">
        <v>32</v>
      </c>
    </row>
    <row r="262" spans="1:63" ht="13.9" customHeight="1">
      <c r="A262" s="67" t="s">
        <v>13</v>
      </c>
      <c r="B262" s="63">
        <f>B248-B258</f>
        <v>1043</v>
      </c>
      <c r="C262" s="78" t="s">
        <v>48</v>
      </c>
      <c r="D262" s="78" t="s">
        <v>48</v>
      </c>
      <c r="E262" s="78" t="s">
        <v>48</v>
      </c>
      <c r="F262" s="78" t="s">
        <v>48</v>
      </c>
      <c r="G262" s="63">
        <f>G248-G258</f>
        <v>1219</v>
      </c>
      <c r="H262" s="68">
        <f>H248-H258</f>
        <v>446</v>
      </c>
      <c r="I262" s="68">
        <f>I248-I258</f>
        <v>226</v>
      </c>
      <c r="J262" s="68">
        <f>J248-J258</f>
        <v>341</v>
      </c>
      <c r="K262" s="68">
        <f>L262-J262-I262-H262</f>
        <v>440</v>
      </c>
      <c r="L262" s="63">
        <f>L248-L258</f>
        <v>1453</v>
      </c>
      <c r="M262" s="68">
        <f>M248-M258</f>
        <v>170</v>
      </c>
      <c r="N262" s="68">
        <f>N248-N258</f>
        <v>302</v>
      </c>
      <c r="O262" s="68">
        <f>O248-O258</f>
        <v>487</v>
      </c>
      <c r="P262" s="68">
        <f>Q262-O262-N262-M262</f>
        <v>281</v>
      </c>
      <c r="Q262" s="63">
        <f>Q248-Q258</f>
        <v>1240</v>
      </c>
      <c r="R262" s="68">
        <f>R248-R258+115</f>
        <v>287</v>
      </c>
      <c r="S262" s="68">
        <f>S248-S258</f>
        <v>225</v>
      </c>
      <c r="T262" s="68">
        <f>T248-T258</f>
        <v>441</v>
      </c>
      <c r="U262" s="68">
        <f>V262-T262-S262-R262</f>
        <v>215.93499999999995</v>
      </c>
      <c r="V262" s="63">
        <f>V248-V258</f>
        <v>1168.9349999999999</v>
      </c>
      <c r="W262" s="68">
        <f>W248-W258</f>
        <v>428</v>
      </c>
      <c r="X262" s="68">
        <f>X248-X258</f>
        <v>160</v>
      </c>
      <c r="Y262" s="68">
        <f>Y248-Y258</f>
        <v>317</v>
      </c>
      <c r="Z262" s="68">
        <f>AA262-Y262-X262-W262</f>
        <v>446</v>
      </c>
      <c r="AA262" s="63">
        <f>AA248-AA258</f>
        <v>1351</v>
      </c>
      <c r="AB262" s="68">
        <f>AB248-AB258</f>
        <v>420</v>
      </c>
      <c r="AC262" s="68">
        <f>AC248-AC258</f>
        <v>494</v>
      </c>
      <c r="AD262" s="68">
        <f>AD248-AD258</f>
        <v>481</v>
      </c>
      <c r="AE262" s="68">
        <f>AF262-AD262-AC262-AB262</f>
        <v>394</v>
      </c>
      <c r="AF262" s="63">
        <f>AF248-AF258</f>
        <v>1789</v>
      </c>
      <c r="AG262" s="68">
        <f>AG248-AG258</f>
        <v>434</v>
      </c>
      <c r="AH262" s="68">
        <f>AH248-AH258</f>
        <v>380</v>
      </c>
      <c r="AI262" s="68">
        <f>AI248-AI258</f>
        <v>458</v>
      </c>
      <c r="AJ262" s="68">
        <f>AK262-AI262-AH262-AG262</f>
        <v>386</v>
      </c>
      <c r="AK262" s="63">
        <f>AK248-AK258</f>
        <v>1658</v>
      </c>
      <c r="AL262" s="68">
        <f>AL248-AL258</f>
        <v>329</v>
      </c>
      <c r="AM262" s="68">
        <f>AM248-AM258</f>
        <v>345</v>
      </c>
      <c r="AN262" s="68">
        <f>AN248-AN258</f>
        <v>477</v>
      </c>
      <c r="AO262" s="68">
        <f>AP262-AN262-AM262-AL262</f>
        <v>504</v>
      </c>
      <c r="AP262" s="63">
        <f>AP248-AP258</f>
        <v>1655</v>
      </c>
      <c r="AQ262" s="68">
        <f>AQ248-AQ258</f>
        <v>385</v>
      </c>
      <c r="AR262" s="68">
        <f>AR248-AR258</f>
        <v>344</v>
      </c>
      <c r="AS262" s="68">
        <f>AS248-AS258</f>
        <v>341</v>
      </c>
      <c r="AT262" s="68">
        <f>AU262-AS262-AR262-AQ262</f>
        <v>292</v>
      </c>
      <c r="AU262" s="63">
        <f>AU248-AU258</f>
        <v>1362</v>
      </c>
      <c r="AV262" s="68">
        <f>AV248-AV258</f>
        <v>400</v>
      </c>
      <c r="AW262" s="68">
        <f>AW248-AW258</f>
        <v>262</v>
      </c>
      <c r="AX262" s="68">
        <f>AX248-AX258</f>
        <v>449</v>
      </c>
      <c r="AY262" s="68">
        <f>AZ262-AX262-AW262-AV262</f>
        <v>383</v>
      </c>
      <c r="AZ262" s="63">
        <v>1494</v>
      </c>
      <c r="BA262" s="68">
        <v>285</v>
      </c>
      <c r="BB262" s="68">
        <v>107</v>
      </c>
      <c r="BC262" s="68">
        <v>330</v>
      </c>
      <c r="BD262" s="68">
        <v>636</v>
      </c>
      <c r="BE262" s="63">
        <v>1358</v>
      </c>
      <c r="BF262" s="68">
        <v>266</v>
      </c>
      <c r="BG262" s="68">
        <v>396</v>
      </c>
      <c r="BH262" s="68">
        <v>328</v>
      </c>
      <c r="BI262" s="68">
        <v>269</v>
      </c>
      <c r="BJ262" s="63">
        <v>1259</v>
      </c>
      <c r="BK262" s="68">
        <v>386</v>
      </c>
    </row>
    <row r="263" spans="1:63" ht="10.15" customHeight="1">
      <c r="A263" s="69" t="s">
        <v>7</v>
      </c>
      <c r="B263" s="23"/>
      <c r="C263" s="70"/>
      <c r="D263" s="70"/>
      <c r="E263" s="70"/>
      <c r="F263" s="70"/>
      <c r="G263" s="23"/>
      <c r="H263" s="70"/>
      <c r="I263" s="70">
        <f>I262/H262-1</f>
        <v>-0.49327354260089684</v>
      </c>
      <c r="J263" s="70">
        <f>J262/I262-1</f>
        <v>0.50884955752212391</v>
      </c>
      <c r="K263" s="70">
        <f>K262/J262-1</f>
        <v>0.29032258064516125</v>
      </c>
      <c r="L263" s="23"/>
      <c r="M263" s="70">
        <f>M262/K262-1</f>
        <v>-0.61363636363636365</v>
      </c>
      <c r="N263" s="70">
        <f>N262/M262-1</f>
        <v>0.77647058823529402</v>
      </c>
      <c r="O263" s="70">
        <f>O262/N262-1</f>
        <v>0.61258278145695355</v>
      </c>
      <c r="P263" s="70">
        <f>P262/O262-1</f>
        <v>-0.4229979466119097</v>
      </c>
      <c r="Q263" s="23"/>
      <c r="R263" s="70">
        <f>R262/P262-1</f>
        <v>2.1352313167259718E-2</v>
      </c>
      <c r="S263" s="70">
        <f>S262/R262-1</f>
        <v>-0.21602787456445993</v>
      </c>
      <c r="T263" s="70">
        <f>T262/S262-1</f>
        <v>0.96</v>
      </c>
      <c r="U263" s="70">
        <f>U262/T262-1</f>
        <v>-0.5103514739229027</v>
      </c>
      <c r="V263" s="23"/>
      <c r="W263" s="70">
        <f>W262/U262-1</f>
        <v>0.98207794012087013</v>
      </c>
      <c r="X263" s="70">
        <f>X262/W262-1</f>
        <v>-0.62616822429906538</v>
      </c>
      <c r="Y263" s="70">
        <f>Y262/X262-1</f>
        <v>0.98124999999999996</v>
      </c>
      <c r="Z263" s="70">
        <f>Z262/Y262-1</f>
        <v>0.40694006309148256</v>
      </c>
      <c r="AA263" s="23"/>
      <c r="AB263" s="70">
        <f>AB262/Z262-1</f>
        <v>-5.8295964125560484E-2</v>
      </c>
      <c r="AC263" s="70">
        <f>AC262/AB262-1</f>
        <v>0.17619047619047623</v>
      </c>
      <c r="AD263" s="70">
        <f>AD262/AC262-1</f>
        <v>-2.6315789473684181E-2</v>
      </c>
      <c r="AE263" s="70">
        <f>AE262/AD262-1</f>
        <v>-0.18087318087318083</v>
      </c>
      <c r="AF263" s="23"/>
      <c r="AG263" s="70">
        <f>AG262/AE262-1</f>
        <v>0.10152284263959399</v>
      </c>
      <c r="AH263" s="70">
        <f>AH262/AG262-1</f>
        <v>-0.12442396313364057</v>
      </c>
      <c r="AI263" s="70">
        <f>AI262/AH262-1</f>
        <v>0.20526315789473681</v>
      </c>
      <c r="AJ263" s="70">
        <f>AJ262/AI262-1</f>
        <v>-0.15720524017467252</v>
      </c>
      <c r="AK263" s="23"/>
      <c r="AL263" s="70">
        <f>AL262/AJ262-1</f>
        <v>-0.14766839378238339</v>
      </c>
      <c r="AM263" s="70">
        <f>AM262/AL262-1</f>
        <v>4.8632218844984809E-2</v>
      </c>
      <c r="AN263" s="70">
        <f>AN262/AM262-1</f>
        <v>0.38260869565217392</v>
      </c>
      <c r="AO263" s="70">
        <f>AO262/AN262-1</f>
        <v>5.6603773584905648E-2</v>
      </c>
      <c r="AP263" s="23"/>
      <c r="AQ263" s="70">
        <f>AQ262/AO262-1</f>
        <v>-0.23611111111111116</v>
      </c>
      <c r="AR263" s="70">
        <f>AR262/AQ262-1</f>
        <v>-0.10649350649350653</v>
      </c>
      <c r="AS263" s="70">
        <f>AS262/AR262-1</f>
        <v>-8.720930232558155E-3</v>
      </c>
      <c r="AT263" s="70">
        <f>AT262/AS262-1</f>
        <v>-0.14369501466275658</v>
      </c>
      <c r="AU263" s="23"/>
      <c r="AV263" s="70">
        <f>AV262/AT262-1</f>
        <v>0.36986301369863006</v>
      </c>
      <c r="AW263" s="70">
        <f>AW262/AV262-1</f>
        <v>-0.34499999999999997</v>
      </c>
      <c r="AX263" s="70">
        <f>AX262/AW262-1</f>
        <v>0.71374045801526709</v>
      </c>
      <c r="AY263" s="70">
        <f>AY262/AX262-1</f>
        <v>-0.14699331848552344</v>
      </c>
      <c r="AZ263" s="23"/>
      <c r="BA263" s="70">
        <v>-0.25587467362924277</v>
      </c>
      <c r="BB263" s="70">
        <v>-0.62456140350877187</v>
      </c>
      <c r="BC263" s="70">
        <v>2.0841121495327104</v>
      </c>
      <c r="BD263" s="70">
        <v>0.92727272727272725</v>
      </c>
      <c r="BE263" s="23"/>
      <c r="BF263" s="70">
        <v>-0.58176100628930816</v>
      </c>
      <c r="BG263" s="70">
        <v>0.48872180451127822</v>
      </c>
      <c r="BH263" s="70">
        <v>-0.17171717171717171</v>
      </c>
      <c r="BI263" s="70">
        <v>-0.17987804878048785</v>
      </c>
      <c r="BJ263" s="23"/>
      <c r="BK263" s="70">
        <v>0.43494423791821557</v>
      </c>
    </row>
    <row r="264" spans="1:63" ht="9.6" customHeight="1">
      <c r="A264" s="69" t="s">
        <v>8</v>
      </c>
      <c r="B264" s="23"/>
      <c r="C264" s="71"/>
      <c r="D264" s="71"/>
      <c r="E264" s="71"/>
      <c r="F264" s="71"/>
      <c r="G264" s="23">
        <f>G262/B262-1</f>
        <v>0.16874400767018227</v>
      </c>
      <c r="H264" s="71"/>
      <c r="I264" s="71"/>
      <c r="J264" s="71"/>
      <c r="K264" s="71"/>
      <c r="L264" s="23">
        <f t="shared" ref="L264:R264" si="467">L262/G262-1</f>
        <v>0.19196062346185405</v>
      </c>
      <c r="M264" s="71">
        <f t="shared" si="467"/>
        <v>-0.6188340807174888</v>
      </c>
      <c r="N264" s="71">
        <f t="shared" si="467"/>
        <v>0.33628318584070804</v>
      </c>
      <c r="O264" s="71">
        <f t="shared" si="467"/>
        <v>0.42815249266862176</v>
      </c>
      <c r="P264" s="71">
        <f t="shared" si="467"/>
        <v>-0.36136363636363633</v>
      </c>
      <c r="Q264" s="23">
        <f t="shared" si="467"/>
        <v>-0.14659325533379219</v>
      </c>
      <c r="R264" s="71">
        <f t="shared" si="467"/>
        <v>0.68823529411764706</v>
      </c>
      <c r="S264" s="71">
        <f t="shared" ref="S264:Y264" si="468">S262/N262-1</f>
        <v>-0.25496688741721851</v>
      </c>
      <c r="T264" s="71">
        <f t="shared" si="468"/>
        <v>-9.4455852156057452E-2</v>
      </c>
      <c r="U264" s="71">
        <f t="shared" si="468"/>
        <v>-0.23154804270462648</v>
      </c>
      <c r="V264" s="23">
        <f t="shared" si="468"/>
        <v>-5.7310483870967821E-2</v>
      </c>
      <c r="W264" s="71">
        <f t="shared" si="468"/>
        <v>0.49128919860627174</v>
      </c>
      <c r="X264" s="71">
        <f t="shared" si="468"/>
        <v>-0.28888888888888886</v>
      </c>
      <c r="Y264" s="71">
        <f t="shared" si="468"/>
        <v>-0.28117913832199548</v>
      </c>
      <c r="Z264" s="71">
        <f t="shared" ref="Z264:AI264" si="469">Z262/U262-1</f>
        <v>1.0654363581633368</v>
      </c>
      <c r="AA264" s="23">
        <f t="shared" si="469"/>
        <v>0.15575288617416705</v>
      </c>
      <c r="AB264" s="71">
        <f t="shared" si="469"/>
        <v>-1.8691588785046731E-2</v>
      </c>
      <c r="AC264" s="71">
        <f t="shared" si="469"/>
        <v>2.0874999999999999</v>
      </c>
      <c r="AD264" s="71">
        <f t="shared" si="469"/>
        <v>0.51735015772870652</v>
      </c>
      <c r="AE264" s="71">
        <f t="shared" si="469"/>
        <v>-0.11659192825112108</v>
      </c>
      <c r="AF264" s="23">
        <f t="shared" si="469"/>
        <v>0.32420429311621013</v>
      </c>
      <c r="AG264" s="71">
        <f t="shared" si="469"/>
        <v>3.3333333333333437E-2</v>
      </c>
      <c r="AH264" s="71">
        <f t="shared" si="469"/>
        <v>-0.23076923076923073</v>
      </c>
      <c r="AI264" s="71">
        <f t="shared" si="469"/>
        <v>-4.7817047817047764E-2</v>
      </c>
      <c r="AJ264" s="71">
        <f t="shared" ref="AJ264:AS264" si="470">AJ262/AE262-1</f>
        <v>-2.0304568527918732E-2</v>
      </c>
      <c r="AK264" s="23">
        <f t="shared" si="470"/>
        <v>-7.3225265511458915E-2</v>
      </c>
      <c r="AL264" s="71">
        <f t="shared" si="470"/>
        <v>-0.24193548387096775</v>
      </c>
      <c r="AM264" s="71">
        <f t="shared" si="470"/>
        <v>-9.210526315789469E-2</v>
      </c>
      <c r="AN264" s="71">
        <f t="shared" si="470"/>
        <v>4.148471615720517E-2</v>
      </c>
      <c r="AO264" s="71">
        <f t="shared" si="470"/>
        <v>0.30569948186528495</v>
      </c>
      <c r="AP264" s="23">
        <f t="shared" si="470"/>
        <v>-1.8094089264173441E-3</v>
      </c>
      <c r="AQ264" s="71">
        <f t="shared" si="470"/>
        <v>0.17021276595744683</v>
      </c>
      <c r="AR264" s="71">
        <f t="shared" si="470"/>
        <v>-2.8985507246376274E-3</v>
      </c>
      <c r="AS264" s="71">
        <f t="shared" si="470"/>
        <v>-0.28511530398322849</v>
      </c>
      <c r="AT264" s="71">
        <f t="shared" ref="AT264" si="471">AT262/AO262-1</f>
        <v>-0.42063492063492058</v>
      </c>
      <c r="AU264" s="23">
        <f t="shared" ref="AU264:AX264" si="472">AU262/AP262-1</f>
        <v>-0.17703927492447125</v>
      </c>
      <c r="AV264" s="71">
        <f t="shared" si="472"/>
        <v>3.8961038961038863E-2</v>
      </c>
      <c r="AW264" s="71">
        <f t="shared" si="472"/>
        <v>-0.23837209302325579</v>
      </c>
      <c r="AX264" s="71">
        <f t="shared" si="472"/>
        <v>0.31671554252199408</v>
      </c>
      <c r="AY264" s="71">
        <f t="shared" ref="AY264" si="473">AY262/AT262-1</f>
        <v>0.31164383561643838</v>
      </c>
      <c r="AZ264" s="23">
        <v>9.6916299559471453E-2</v>
      </c>
      <c r="BA264" s="71">
        <v>-0.28749999999999998</v>
      </c>
      <c r="BB264" s="71">
        <v>-0.59160305343511443</v>
      </c>
      <c r="BC264" s="71">
        <v>-0.26503340757238303</v>
      </c>
      <c r="BD264" s="71">
        <v>0.66057441253263716</v>
      </c>
      <c r="BE264" s="23">
        <v>-9.1030789825970571E-2</v>
      </c>
      <c r="BF264" s="71">
        <v>-6.6666666666666652E-2</v>
      </c>
      <c r="BG264" s="71">
        <v>2.7009345794392523</v>
      </c>
      <c r="BH264" s="71">
        <v>-6.0606060606060996E-3</v>
      </c>
      <c r="BI264" s="71">
        <v>-0.57704402515723263</v>
      </c>
      <c r="BJ264" s="23">
        <v>-7.2901325478645029E-2</v>
      </c>
      <c r="BK264" s="71">
        <v>0.45112781954887216</v>
      </c>
    </row>
    <row r="265" spans="1:63" ht="10.5" customHeight="1">
      <c r="A265" s="49" t="s">
        <v>19</v>
      </c>
      <c r="B265" s="39"/>
      <c r="C265" s="51"/>
      <c r="D265" s="51"/>
      <c r="E265" s="51"/>
      <c r="F265" s="51"/>
      <c r="G265" s="39"/>
      <c r="H265" s="51"/>
      <c r="I265" s="51"/>
      <c r="J265" s="51"/>
      <c r="K265" s="51"/>
      <c r="L265" s="39"/>
      <c r="M265" s="51"/>
      <c r="N265" s="51"/>
      <c r="O265" s="51"/>
      <c r="P265" s="51"/>
      <c r="Q265" s="39"/>
      <c r="R265" s="51"/>
      <c r="S265" s="51"/>
      <c r="T265" s="51"/>
      <c r="U265" s="51"/>
      <c r="V265" s="39"/>
      <c r="W265" s="51"/>
      <c r="X265" s="51"/>
      <c r="Y265" s="51"/>
      <c r="Z265" s="51"/>
      <c r="AA265" s="39"/>
      <c r="AB265" s="51"/>
      <c r="AC265" s="51"/>
      <c r="AD265" s="51"/>
      <c r="AE265" s="51"/>
      <c r="AF265" s="39"/>
      <c r="AG265" s="51"/>
      <c r="AH265" s="51"/>
      <c r="AI265" s="51"/>
      <c r="AJ265" s="51"/>
      <c r="AK265" s="39"/>
      <c r="AL265" s="51"/>
      <c r="AM265" s="51"/>
      <c r="AN265" s="51"/>
      <c r="AO265" s="51"/>
      <c r="AP265" s="39"/>
      <c r="AQ265" s="51"/>
      <c r="AR265" s="51"/>
      <c r="AS265" s="51"/>
      <c r="AT265" s="51"/>
      <c r="AU265" s="39"/>
      <c r="AV265" s="51"/>
      <c r="AW265" s="51"/>
      <c r="AX265" s="51"/>
      <c r="AY265" s="51"/>
      <c r="AZ265" s="39"/>
      <c r="BA265" s="51"/>
      <c r="BB265" s="51"/>
      <c r="BC265" s="51"/>
      <c r="BD265" s="51"/>
      <c r="BE265" s="39"/>
      <c r="BF265" s="51"/>
      <c r="BG265" s="51"/>
      <c r="BH265" s="51"/>
      <c r="BI265" s="51"/>
      <c r="BJ265" s="39"/>
      <c r="BK265" s="51"/>
    </row>
    <row r="266" spans="1:63" s="35" customFormat="1" ht="12" customHeight="1">
      <c r="A266" s="67" t="s">
        <v>28</v>
      </c>
      <c r="B266" s="54">
        <f>B223/B192</f>
        <v>0.26374725054989001</v>
      </c>
      <c r="C266" s="76">
        <f>C223/C192</f>
        <v>0.26491477272727271</v>
      </c>
      <c r="D266" s="76">
        <f t="shared" ref="D266:F266" si="474">D223/D192</f>
        <v>0.32644017725258495</v>
      </c>
      <c r="E266" s="76">
        <f t="shared" si="474"/>
        <v>0.30835734870317005</v>
      </c>
      <c r="F266" s="76">
        <f t="shared" si="474"/>
        <v>0.4157778209563282</v>
      </c>
      <c r="G266" s="54">
        <f>G223/G192</f>
        <v>0.31329716062819035</v>
      </c>
      <c r="H266" s="76">
        <f>H223/H192</f>
        <v>0.32956259426847662</v>
      </c>
      <c r="I266" s="76">
        <f t="shared" ref="I266:K266" si="475">I223/I192</f>
        <v>0.3292867981790592</v>
      </c>
      <c r="J266" s="76">
        <f t="shared" si="475"/>
        <v>0.36559940431868948</v>
      </c>
      <c r="K266" s="76">
        <f t="shared" si="475"/>
        <v>0.12234042553191489</v>
      </c>
      <c r="L266" s="54">
        <f>L223/L192</f>
        <v>0.28719592683386763</v>
      </c>
      <c r="M266" s="76">
        <f>M223/M192</f>
        <v>0.37576687116564417</v>
      </c>
      <c r="N266" s="76">
        <f t="shared" ref="N266:P266" si="476">N223/N192</f>
        <v>0.38485080336648814</v>
      </c>
      <c r="O266" s="76">
        <f t="shared" si="476"/>
        <v>0.42025699168556313</v>
      </c>
      <c r="P266" s="76">
        <f t="shared" si="476"/>
        <v>0.37170805116629047</v>
      </c>
      <c r="Q266" s="54">
        <f>Q223/Q192</f>
        <v>0.38818164544936345</v>
      </c>
      <c r="R266" s="76">
        <f>R223/R192</f>
        <v>0.17911714770797962</v>
      </c>
      <c r="S266" s="76">
        <f t="shared" ref="S266:U266" si="477">S223/S192</f>
        <v>0.44188034188034186</v>
      </c>
      <c r="T266" s="76">
        <f t="shared" si="477"/>
        <v>0.46037099494097805</v>
      </c>
      <c r="U266" s="76">
        <f t="shared" si="477"/>
        <v>0.35637342908438063</v>
      </c>
      <c r="V266" s="54">
        <f>V223/V192</f>
        <v>0.35950946643717729</v>
      </c>
      <c r="W266" s="76">
        <f>W223/W192</f>
        <v>0.44954128440366975</v>
      </c>
      <c r="X266" s="76">
        <f t="shared" ref="X266:Z266" si="478">X223/X192</f>
        <v>0.37639965546942289</v>
      </c>
      <c r="Y266" s="76">
        <f t="shared" si="478"/>
        <v>0.3646649260226284</v>
      </c>
      <c r="Z266" s="76">
        <f t="shared" si="478"/>
        <v>0.50312221231043708</v>
      </c>
      <c r="AA266" s="54">
        <f>AA223/AA192</f>
        <v>0.42311015118790496</v>
      </c>
      <c r="AB266" s="76">
        <f>AB223/AB192</f>
        <v>0.47387068201948629</v>
      </c>
      <c r="AC266" s="76">
        <f t="shared" ref="AC266:AE266" si="479">AC223/AC192</f>
        <v>0.45495093666369313</v>
      </c>
      <c r="AD266" s="76">
        <f t="shared" si="479"/>
        <v>0.43833185448092282</v>
      </c>
      <c r="AE266" s="76">
        <f t="shared" si="479"/>
        <v>0.41689373297002724</v>
      </c>
      <c r="AF266" s="54">
        <f>AF223/AF192</f>
        <v>0.44618133095131757</v>
      </c>
      <c r="AG266" s="76">
        <f>AG223/AG192</f>
        <v>0.46796657381615597</v>
      </c>
      <c r="AH266" s="76">
        <f t="shared" ref="AH266:AJ266" si="480">AH223/AH192</f>
        <v>0.43895619757688725</v>
      </c>
      <c r="AI266" s="76">
        <f t="shared" si="480"/>
        <v>0.46068455134135061</v>
      </c>
      <c r="AJ266" s="76">
        <f t="shared" si="480"/>
        <v>0.46685082872928174</v>
      </c>
      <c r="AK266" s="54">
        <f>AK223/AK192</f>
        <v>0.45865184155663657</v>
      </c>
      <c r="AL266" s="76">
        <f>AL223/AL192</f>
        <v>0.49146451033243488</v>
      </c>
      <c r="AM266" s="76">
        <f t="shared" ref="AM266:AO266" si="481">AM223/AM192</f>
        <v>0.59909502262443437</v>
      </c>
      <c r="AN266" s="76">
        <f t="shared" si="481"/>
        <v>0.46503178928247046</v>
      </c>
      <c r="AO266" s="76">
        <f t="shared" si="481"/>
        <v>0.39246323529411764</v>
      </c>
      <c r="AP266" s="54">
        <f>AP223/AP192</f>
        <v>0.48740639891082371</v>
      </c>
      <c r="AQ266" s="76">
        <f>AQ223/AQ192</f>
        <v>0.48201438848920863</v>
      </c>
      <c r="AR266" s="76">
        <f t="shared" ref="AR266:AT266" si="482">AR223/AR192</f>
        <v>0.49090909090909091</v>
      </c>
      <c r="AS266" s="76">
        <f t="shared" si="482"/>
        <v>0.47658402203856748</v>
      </c>
      <c r="AT266" s="76">
        <f t="shared" si="482"/>
        <v>0.44454713493530501</v>
      </c>
      <c r="AU266" s="54">
        <f>AU223/AU192</f>
        <v>0.47364818617385351</v>
      </c>
      <c r="AV266" s="76">
        <f>AV223/AV192</f>
        <v>0.47588126159554733</v>
      </c>
      <c r="AW266" s="76">
        <f t="shared" ref="AW266:AY266" si="483">AW223/AW192</f>
        <v>0.46880907372400754</v>
      </c>
      <c r="AX266" s="76">
        <f t="shared" si="483"/>
        <v>0.46371347785108391</v>
      </c>
      <c r="AY266" s="76">
        <f t="shared" si="483"/>
        <v>0.44890162368672398</v>
      </c>
      <c r="AZ266" s="54">
        <v>0.46442035815268612</v>
      </c>
      <c r="BA266" s="76">
        <v>0.444967074317968</v>
      </c>
      <c r="BB266" s="76">
        <v>0.36372180451127817</v>
      </c>
      <c r="BC266" s="76">
        <v>0.43240651965484178</v>
      </c>
      <c r="BD266" s="76">
        <v>-8.4795321637426896E-2</v>
      </c>
      <c r="BE266" s="54">
        <v>0.29170638703527169</v>
      </c>
      <c r="BF266" s="76">
        <v>0.50910834132310645</v>
      </c>
      <c r="BG266" s="76">
        <v>0.85784313725490191</v>
      </c>
      <c r="BH266" s="76">
        <v>0.42926829268292682</v>
      </c>
      <c r="BI266" s="76">
        <v>0.30050761421319799</v>
      </c>
      <c r="BJ266" s="54">
        <v>0.52590228332924138</v>
      </c>
      <c r="BK266" s="76">
        <v>0.43123772102161101</v>
      </c>
    </row>
    <row r="267" spans="1:63" s="35" customFormat="1" ht="12" customHeight="1">
      <c r="A267" s="67" t="s">
        <v>36</v>
      </c>
      <c r="B267" s="54">
        <f>B232/B192</f>
        <v>0.14737052589482103</v>
      </c>
      <c r="C267" s="76">
        <f>C232/C192</f>
        <v>0.17329545454545456</v>
      </c>
      <c r="D267" s="76">
        <f t="shared" ref="D267:F267" si="484">D232/D192</f>
        <v>0.21418020679468242</v>
      </c>
      <c r="E267" s="76">
        <f t="shared" si="484"/>
        <v>0.1952449567723343</v>
      </c>
      <c r="F267" s="76">
        <f t="shared" si="484"/>
        <v>0.25986113809770511</v>
      </c>
      <c r="G267" s="54">
        <f>G232/G192</f>
        <v>0.2017846119300209</v>
      </c>
      <c r="H267" s="76">
        <f>H232/H192</f>
        <v>0.25339366515837103</v>
      </c>
      <c r="I267" s="76">
        <f t="shared" ref="I267:K267" si="485">I232/I192</f>
        <v>0.23975720789074356</v>
      </c>
      <c r="J267" s="76">
        <f t="shared" si="485"/>
        <v>0.23752792256142963</v>
      </c>
      <c r="K267" s="76">
        <f t="shared" si="485"/>
        <v>0.10334346504559271</v>
      </c>
      <c r="L267" s="54">
        <f>L232/L192</f>
        <v>0.20874976428436734</v>
      </c>
      <c r="M267" s="76">
        <f>M232/M192</f>
        <v>0.27607361963190186</v>
      </c>
      <c r="N267" s="76">
        <f t="shared" ref="N267:P267" si="486">N232/N192</f>
        <v>0.26702371843917366</v>
      </c>
      <c r="O267" s="76">
        <f t="shared" si="486"/>
        <v>0.28495842781557068</v>
      </c>
      <c r="P267" s="76">
        <f t="shared" si="486"/>
        <v>0.25583145221971409</v>
      </c>
      <c r="Q267" s="54">
        <f>Q232/Q192</f>
        <v>0.2709481284438533</v>
      </c>
      <c r="R267" s="76">
        <f>R232/R192</f>
        <v>0.10441426146010187</v>
      </c>
      <c r="S267" s="76">
        <f t="shared" ref="S267:U267" si="487">S232/S192</f>
        <v>0.28205128205128205</v>
      </c>
      <c r="T267" s="76">
        <f t="shared" si="487"/>
        <v>0.26222596964586847</v>
      </c>
      <c r="U267" s="76">
        <f t="shared" si="487"/>
        <v>0.27737881508078993</v>
      </c>
      <c r="V267" s="54">
        <f>V232/V192</f>
        <v>0.23085197934595525</v>
      </c>
      <c r="W267" s="76">
        <f>W232/W192</f>
        <v>0.29024186822351961</v>
      </c>
      <c r="X267" s="76">
        <f t="shared" ref="X267:Z267" si="488">X232/X192</f>
        <v>0.22652885443583118</v>
      </c>
      <c r="Y267" s="76">
        <f t="shared" si="488"/>
        <v>0.21409921671018275</v>
      </c>
      <c r="Z267" s="76">
        <f t="shared" si="488"/>
        <v>0.33006244424620873</v>
      </c>
      <c r="AA267" s="54">
        <f>AA232/AA192</f>
        <v>0.26501079913606912</v>
      </c>
      <c r="AB267" s="76">
        <f>AB232/AB192</f>
        <v>0.26837909654561559</v>
      </c>
      <c r="AC267" s="76">
        <f t="shared" ref="AC267:AE267" si="489">AC232/AC192</f>
        <v>0.26048171275646742</v>
      </c>
      <c r="AD267" s="76">
        <f t="shared" si="489"/>
        <v>0.25554569653948533</v>
      </c>
      <c r="AE267" s="76">
        <f t="shared" si="489"/>
        <v>0.23887375113533152</v>
      </c>
      <c r="AF267" s="54">
        <f>AF232/AF192</f>
        <v>0.2559178204555605</v>
      </c>
      <c r="AG267" s="76">
        <f>AG232/AG192</f>
        <v>0.27390900649953576</v>
      </c>
      <c r="AH267" s="76">
        <f t="shared" ref="AH267:AJ267" si="490">AH232/AH192</f>
        <v>0.23392357875116496</v>
      </c>
      <c r="AI267" s="76">
        <f t="shared" si="490"/>
        <v>0.2432932469935245</v>
      </c>
      <c r="AJ267" s="76">
        <f t="shared" si="490"/>
        <v>0.26979742173112337</v>
      </c>
      <c r="AK267" s="54">
        <f>AK232/AK192</f>
        <v>0.25526986333101692</v>
      </c>
      <c r="AL267" s="76">
        <f>AL232/AL192</f>
        <v>0.31087151841868821</v>
      </c>
      <c r="AM267" s="76">
        <f t="shared" ref="AM267:AO267" si="491">AM232/AM192</f>
        <v>0.34570135746606334</v>
      </c>
      <c r="AN267" s="76">
        <f t="shared" si="491"/>
        <v>0.23251589464123523</v>
      </c>
      <c r="AO267" s="76">
        <f t="shared" si="491"/>
        <v>0.3125</v>
      </c>
      <c r="AP267" s="54">
        <f>AP232/AP192</f>
        <v>0.30043113228953938</v>
      </c>
      <c r="AQ267" s="76">
        <f>AQ232/AQ192</f>
        <v>0.29496402877697842</v>
      </c>
      <c r="AR267" s="76">
        <f t="shared" ref="AR267:AT267" si="492">AR232/AR192</f>
        <v>0.29636363636363638</v>
      </c>
      <c r="AS267" s="76">
        <f t="shared" si="492"/>
        <v>0.31496786042240588</v>
      </c>
      <c r="AT267" s="76">
        <f t="shared" si="492"/>
        <v>0.21719038817005545</v>
      </c>
      <c r="AU267" s="54">
        <f>AU232/AU192</f>
        <v>0.28108601414556239</v>
      </c>
      <c r="AV267" s="76">
        <f>AV232/AV192</f>
        <v>0.29591836734693877</v>
      </c>
      <c r="AW267" s="76">
        <f t="shared" ref="AW267:AY267" si="493">AW232/AW192</f>
        <v>0.29962192816635158</v>
      </c>
      <c r="AX267" s="76">
        <f t="shared" si="493"/>
        <v>0.26013195098963243</v>
      </c>
      <c r="AY267" s="76">
        <f t="shared" si="493"/>
        <v>0.24832855778414517</v>
      </c>
      <c r="AZ267" s="54">
        <v>0.27615457115928371</v>
      </c>
      <c r="BA267" s="76">
        <v>0.24741298212605833</v>
      </c>
      <c r="BB267" s="76">
        <v>0.18984962406015038</v>
      </c>
      <c r="BC267" s="76">
        <v>0.2464046021093001</v>
      </c>
      <c r="BD267" s="76">
        <v>-0.15107212475633527</v>
      </c>
      <c r="BE267" s="54">
        <v>0.13512869399428026</v>
      </c>
      <c r="BF267" s="76">
        <v>0.30776605944391178</v>
      </c>
      <c r="BG267" s="76">
        <v>0.55098039215686279</v>
      </c>
      <c r="BH267" s="76">
        <v>0.17073170731707318</v>
      </c>
      <c r="BI267" s="76">
        <v>0.13604060913705585</v>
      </c>
      <c r="BJ267" s="54">
        <v>0.29265897372943778</v>
      </c>
      <c r="BK267" s="76">
        <v>0.28978388998035365</v>
      </c>
    </row>
    <row r="268" spans="1:63" s="35" customFormat="1" ht="11.25" customHeight="1">
      <c r="A268" s="67" t="s">
        <v>10</v>
      </c>
      <c r="B268" s="54">
        <f>B236/B192</f>
        <v>0.45190961807638474</v>
      </c>
      <c r="C268" s="76">
        <f>C236/C192</f>
        <v>0.41974431818181818</v>
      </c>
      <c r="D268" s="76">
        <f t="shared" ref="D268:F268" si="494">D236/D192</f>
        <v>0.48227474150664695</v>
      </c>
      <c r="E268" s="76">
        <f t="shared" si="494"/>
        <v>0.46253602305475505</v>
      </c>
      <c r="F268" s="76">
        <f t="shared" si="494"/>
        <v>0.79033628897302033</v>
      </c>
      <c r="G268" s="54">
        <f>G236/G192</f>
        <v>0.49426609680121958</v>
      </c>
      <c r="H268" s="76">
        <f>H236/H192</f>
        <v>0.48868778280542985</v>
      </c>
      <c r="I268" s="76">
        <f t="shared" ref="I268:K268" si="495">I236/I192</f>
        <v>0.48482549317147194</v>
      </c>
      <c r="J268" s="76">
        <f t="shared" si="495"/>
        <v>0.50260610573343256</v>
      </c>
      <c r="K268" s="76">
        <f t="shared" si="495"/>
        <v>0.26975683890577506</v>
      </c>
      <c r="L268" s="54">
        <f>L236/L192</f>
        <v>0.43692249669998112</v>
      </c>
      <c r="M268" s="76">
        <f>M236/M192</f>
        <v>0.50613496932515334</v>
      </c>
      <c r="N268" s="76">
        <f t="shared" ref="N268:P268" si="496">N236/N192</f>
        <v>0.51568477429227233</v>
      </c>
      <c r="O268" s="76">
        <f t="shared" si="496"/>
        <v>0.54950869236583522</v>
      </c>
      <c r="P268" s="76">
        <f t="shared" si="496"/>
        <v>0.50564334085778784</v>
      </c>
      <c r="Q268" s="54">
        <f>Q236/Q192</f>
        <v>0.51928557856735702</v>
      </c>
      <c r="R268" s="76">
        <f>R236/R192</f>
        <v>0.31663837011884549</v>
      </c>
      <c r="S268" s="76">
        <f t="shared" ref="S268:U268" si="497">S236/S192</f>
        <v>0.58803418803418805</v>
      </c>
      <c r="T268" s="76">
        <f t="shared" si="497"/>
        <v>0.61214165261382802</v>
      </c>
      <c r="U268" s="76">
        <f t="shared" si="497"/>
        <v>0.51346499102333931</v>
      </c>
      <c r="V268" s="54">
        <f>V236/V192</f>
        <v>0.50753012048192769</v>
      </c>
      <c r="W268" s="76">
        <f>W236/W192</f>
        <v>0.59799833194328611</v>
      </c>
      <c r="X268" s="76">
        <f t="shared" ref="X268:Z268" si="498">X236/X192</f>
        <v>0.52971576227390182</v>
      </c>
      <c r="Y268" s="76">
        <f t="shared" si="498"/>
        <v>0.52567449956483903</v>
      </c>
      <c r="Z268" s="76">
        <f t="shared" si="498"/>
        <v>0.67172167707404107</v>
      </c>
      <c r="AA268" s="54">
        <f>AA236/AA192</f>
        <v>0.58077753779697627</v>
      </c>
      <c r="AB268" s="76">
        <f>AB236/AB192</f>
        <v>0.62178919397697074</v>
      </c>
      <c r="AC268" s="76">
        <f t="shared" ref="AC268:AE268" si="499">AC236/AC192</f>
        <v>0.60481712756467443</v>
      </c>
      <c r="AD268" s="76">
        <f t="shared" si="499"/>
        <v>0.59272404614019525</v>
      </c>
      <c r="AE268" s="76">
        <f t="shared" si="499"/>
        <v>0.57493188010899188</v>
      </c>
      <c r="AF268" s="54">
        <f>AF236/AF192</f>
        <v>0.5987047789191603</v>
      </c>
      <c r="AG268" s="76">
        <f>AG236/AG192</f>
        <v>0.62395543175487467</v>
      </c>
      <c r="AH268" s="76">
        <f t="shared" ref="AH268:AJ268" si="500">AH236/AH192</f>
        <v>0.59925442684063379</v>
      </c>
      <c r="AI268" s="76">
        <f t="shared" si="500"/>
        <v>0.62534690101757628</v>
      </c>
      <c r="AJ268" s="76">
        <f t="shared" si="500"/>
        <v>0.62338858195211788</v>
      </c>
      <c r="AK268" s="54">
        <f>AK236/AK192</f>
        <v>0.61802177438035677</v>
      </c>
      <c r="AL268" s="76">
        <f>AL236/AL192</f>
        <v>0.64959568733153639</v>
      </c>
      <c r="AM268" s="76">
        <f t="shared" ref="AM268:AO268" si="501">AM236/AM192</f>
        <v>0.7619909502262443</v>
      </c>
      <c r="AN268" s="76">
        <f t="shared" si="501"/>
        <v>0.63215258855585832</v>
      </c>
      <c r="AO268" s="76">
        <f t="shared" si="501"/>
        <v>0.5625</v>
      </c>
      <c r="AP268" s="54">
        <f>AP236/AP192</f>
        <v>0.65191740412979349</v>
      </c>
      <c r="AQ268" s="76">
        <f>AQ236/AQ192</f>
        <v>0.64658273381294962</v>
      </c>
      <c r="AR268" s="76">
        <f t="shared" ref="AR268:AT268" si="502">AR236/AR192</f>
        <v>0.65909090909090906</v>
      </c>
      <c r="AS268" s="76">
        <f t="shared" si="502"/>
        <v>0.64921946740128555</v>
      </c>
      <c r="AT268" s="76">
        <f t="shared" si="502"/>
        <v>0.59334565619223656</v>
      </c>
      <c r="AU268" s="54">
        <f>AU236/AU192</f>
        <v>0.63723477070499657</v>
      </c>
      <c r="AV268" s="76">
        <f>AV236/AV192</f>
        <v>0.6428571428571429</v>
      </c>
      <c r="AW268" s="76">
        <f t="shared" ref="AW268:AY268" si="503">AW236/AW192</f>
        <v>0.63610586011342152</v>
      </c>
      <c r="AX268" s="76">
        <f t="shared" si="503"/>
        <v>0.63901979264844488</v>
      </c>
      <c r="AY268" s="76">
        <f t="shared" si="503"/>
        <v>0.62559694364851959</v>
      </c>
      <c r="AZ268" s="54">
        <v>0.63595664467483504</v>
      </c>
      <c r="BA268" s="76">
        <v>0.63687676387582315</v>
      </c>
      <c r="BB268" s="76">
        <v>0.56203007518796988</v>
      </c>
      <c r="BC268" s="76">
        <v>0.64141898370086292</v>
      </c>
      <c r="BD268" s="76">
        <v>0.12670565302144249</v>
      </c>
      <c r="BE268" s="54">
        <v>0.49428026692087701</v>
      </c>
      <c r="BF268" s="76">
        <v>0.70757430488974116</v>
      </c>
      <c r="BG268" s="76">
        <v>1.057843137254902</v>
      </c>
      <c r="BH268" s="76">
        <v>0.64878048780487807</v>
      </c>
      <c r="BI268" s="76">
        <v>0.52893401015228425</v>
      </c>
      <c r="BJ268" s="54">
        <v>0.73729437760864225</v>
      </c>
      <c r="BK268" s="76">
        <v>0.63948919449901764</v>
      </c>
    </row>
    <row r="269" spans="1:63" s="35" customFormat="1" ht="11.25" customHeight="1">
      <c r="A269" s="67" t="s">
        <v>18</v>
      </c>
      <c r="B269" s="54">
        <f>B254/B192</f>
        <v>0.10097980403919216</v>
      </c>
      <c r="C269" s="76">
        <f>C254/C192</f>
        <v>0.11221590909090909</v>
      </c>
      <c r="D269" s="76">
        <f t="shared" ref="D269:F269" si="504">D254/D192</f>
        <v>9.7488921713441659E-2</v>
      </c>
      <c r="E269" s="76">
        <f t="shared" si="504"/>
        <v>0.11239193083573487</v>
      </c>
      <c r="F269" s="76">
        <f t="shared" si="504"/>
        <v>0.30466478259730945</v>
      </c>
      <c r="G269" s="54">
        <f>G254/G192</f>
        <v>0.1308413904725188</v>
      </c>
      <c r="H269" s="76">
        <f>H254/H192</f>
        <v>0.17948717948717949</v>
      </c>
      <c r="I269" s="76">
        <f t="shared" ref="I269:K269" si="505">I254/I192</f>
        <v>0.1449165402124431</v>
      </c>
      <c r="J269" s="76">
        <f t="shared" si="505"/>
        <v>0.15189873417721519</v>
      </c>
      <c r="K269" s="76">
        <f t="shared" si="505"/>
        <v>0.16717325227963525</v>
      </c>
      <c r="L269" s="54">
        <f>L254/L192</f>
        <v>0.16085234772770129</v>
      </c>
      <c r="M269" s="76">
        <f>M254/M192</f>
        <v>0.18251533742331288</v>
      </c>
      <c r="N269" s="76">
        <f t="shared" ref="N269:P269" si="506">N254/N192</f>
        <v>0.18898240244835501</v>
      </c>
      <c r="O269" s="76">
        <f t="shared" si="506"/>
        <v>0.18518518518518517</v>
      </c>
      <c r="P269" s="76">
        <f t="shared" si="506"/>
        <v>0.2272385252069225</v>
      </c>
      <c r="Q269" s="54">
        <f>Q254/Q192</f>
        <v>0.1960858825764773</v>
      </c>
      <c r="R269" s="76">
        <f>R254/R192</f>
        <v>0.27079796264855688</v>
      </c>
      <c r="S269" s="76">
        <f t="shared" ref="S269:U269" si="507">S254/S192</f>
        <v>0.27264957264957262</v>
      </c>
      <c r="T269" s="76">
        <f t="shared" si="507"/>
        <v>0.22596964586846544</v>
      </c>
      <c r="U269" s="76">
        <f t="shared" si="507"/>
        <v>0.2324955116696589</v>
      </c>
      <c r="V269" s="54">
        <f>V254/V192</f>
        <v>0.25064543889845092</v>
      </c>
      <c r="W269" s="76">
        <f>W254/W192</f>
        <v>0.22435362802335279</v>
      </c>
      <c r="X269" s="76">
        <f t="shared" ref="X269:Z269" si="508">X254/X192</f>
        <v>0.20499569336778639</v>
      </c>
      <c r="Y269" s="76">
        <f t="shared" si="508"/>
        <v>0.21671018276762402</v>
      </c>
      <c r="Z269" s="76">
        <f t="shared" si="508"/>
        <v>0.18019625334522749</v>
      </c>
      <c r="AA269" s="54">
        <f>AA254/AA192</f>
        <v>0.20691144708423326</v>
      </c>
      <c r="AB269" s="76">
        <f>AB254/AB192</f>
        <v>0.16209034543844109</v>
      </c>
      <c r="AC269" s="76">
        <f t="shared" ref="AC269:AE269" si="509">AC254/AC192</f>
        <v>0.16592328278322926</v>
      </c>
      <c r="AD269" s="76">
        <f t="shared" si="509"/>
        <v>0.17568766637089619</v>
      </c>
      <c r="AE269" s="76">
        <f t="shared" si="509"/>
        <v>0.20163487738419619</v>
      </c>
      <c r="AF269" s="54">
        <f>AF254/AF192</f>
        <v>0.17619472979008485</v>
      </c>
      <c r="AG269" s="76">
        <f>AG254/AG192</f>
        <v>0.19498607242339833</v>
      </c>
      <c r="AH269" s="76">
        <f t="shared" ref="AH269:AJ269" si="510">AH254/AH192</f>
        <v>0.19291705498602049</v>
      </c>
      <c r="AI269" s="76">
        <f t="shared" si="510"/>
        <v>0.19426456984273821</v>
      </c>
      <c r="AJ269" s="76">
        <f t="shared" si="510"/>
        <v>0.17955801104972377</v>
      </c>
      <c r="AK269" s="54">
        <f>AK254/AK192</f>
        <v>0.19041000694927032</v>
      </c>
      <c r="AL269" s="76">
        <f>AL254/AL192</f>
        <v>0.20754716981132076</v>
      </c>
      <c r="AM269" s="76">
        <f t="shared" ref="AM269:AO269" si="511">AM254/AM192</f>
        <v>0.17285067873303167</v>
      </c>
      <c r="AN269" s="76">
        <f t="shared" si="511"/>
        <v>0.20890099909173479</v>
      </c>
      <c r="AO269" s="76">
        <f t="shared" si="511"/>
        <v>0.18106617647058823</v>
      </c>
      <c r="AP269" s="54">
        <f>AP254/AP192</f>
        <v>0.19264805990469708</v>
      </c>
      <c r="AQ269" s="76">
        <f>AQ254/AQ192</f>
        <v>0.17535971223021582</v>
      </c>
      <c r="AR269" s="76">
        <f t="shared" ref="AR269:AT269" si="512">AR254/AR192</f>
        <v>0.20636363636363636</v>
      </c>
      <c r="AS269" s="76">
        <f t="shared" si="512"/>
        <v>0.19008264462809918</v>
      </c>
      <c r="AT269" s="76">
        <f t="shared" si="512"/>
        <v>0.18946395563770796</v>
      </c>
      <c r="AU269" s="54">
        <f>AU254/AU192</f>
        <v>0.19028062970568105</v>
      </c>
      <c r="AV269" s="76">
        <f>AV254/AV192</f>
        <v>0.19480519480519481</v>
      </c>
      <c r="AW269" s="76">
        <f t="shared" ref="AW269:AY269" si="513">AW254/AW192</f>
        <v>0.20699432892249528</v>
      </c>
      <c r="AX269" s="76">
        <f t="shared" si="513"/>
        <v>0.16022620169651272</v>
      </c>
      <c r="AY269" s="76">
        <f t="shared" si="513"/>
        <v>0.21585482330468003</v>
      </c>
      <c r="AZ269" s="54">
        <v>0.19439208294062205</v>
      </c>
      <c r="BA269" s="76">
        <v>0.19285042333019756</v>
      </c>
      <c r="BB269" s="76">
        <v>0.29417293233082709</v>
      </c>
      <c r="BC269" s="76">
        <v>0.2233940556088207</v>
      </c>
      <c r="BD269" s="76">
        <v>0.21929824561403508</v>
      </c>
      <c r="BE269" s="54">
        <v>0.23260247855100094</v>
      </c>
      <c r="BF269" s="76">
        <v>0.20134228187919462</v>
      </c>
      <c r="BG269" s="76">
        <v>0.32647058823529412</v>
      </c>
      <c r="BH269" s="76">
        <v>0.14146341463414633</v>
      </c>
      <c r="BI269" s="76">
        <v>0.19593908629441625</v>
      </c>
      <c r="BJ269" s="54">
        <v>0.21630247974465996</v>
      </c>
      <c r="BK269" s="76">
        <v>0.19646365422396855</v>
      </c>
    </row>
    <row r="270" spans="1:63" ht="5.45" customHeight="1">
      <c r="A270" s="43"/>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c r="BC270" s="44"/>
      <c r="BD270" s="44"/>
      <c r="BE270" s="44"/>
      <c r="BF270" s="44"/>
      <c r="BG270" s="44"/>
      <c r="BH270" s="44"/>
      <c r="BI270" s="44"/>
      <c r="BJ270" s="44"/>
      <c r="BK270" s="44"/>
    </row>
    <row r="271" spans="1:63" ht="17.25" customHeight="1">
      <c r="A271" s="34" t="s">
        <v>82</v>
      </c>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row>
    <row r="272" spans="1:63" ht="17.25" customHeight="1">
      <c r="A272" s="32"/>
      <c r="B272" s="21"/>
      <c r="C272" s="20"/>
      <c r="D272" s="20"/>
      <c r="E272" s="20"/>
      <c r="F272" s="20"/>
      <c r="G272" s="21"/>
      <c r="H272" s="20"/>
      <c r="I272" s="20"/>
      <c r="J272" s="20"/>
      <c r="K272" s="20"/>
      <c r="L272" s="21"/>
      <c r="M272" s="20"/>
      <c r="N272" s="20"/>
      <c r="O272" s="20"/>
      <c r="P272" s="20"/>
      <c r="Q272" s="21"/>
      <c r="R272" s="20"/>
      <c r="S272" s="20"/>
      <c r="T272" s="20"/>
      <c r="U272" s="20"/>
      <c r="V272" s="21"/>
      <c r="W272" s="20"/>
      <c r="X272" s="20"/>
      <c r="Y272" s="20"/>
      <c r="Z272" s="20"/>
      <c r="AA272" s="21"/>
      <c r="AB272" s="20"/>
      <c r="AC272" s="20"/>
      <c r="AD272" s="20"/>
      <c r="AE272" s="20"/>
      <c r="AF272" s="21"/>
      <c r="AG272" s="20"/>
      <c r="AH272" s="20"/>
      <c r="AI272" s="20"/>
      <c r="AJ272" s="20"/>
      <c r="AK272" s="21"/>
      <c r="AL272" s="20"/>
      <c r="AM272" s="20"/>
      <c r="AN272" s="20"/>
      <c r="AO272" s="20"/>
      <c r="AP272" s="21"/>
      <c r="AQ272" s="20"/>
      <c r="AR272" s="20"/>
      <c r="AS272" s="20"/>
      <c r="AT272" s="20"/>
      <c r="AU272" s="21"/>
      <c r="AV272" s="20"/>
      <c r="AW272" s="20"/>
      <c r="AX272" s="20"/>
      <c r="AY272" s="20"/>
      <c r="AZ272" s="21"/>
      <c r="BA272" s="20"/>
      <c r="BB272" s="20"/>
      <c r="BC272" s="20"/>
      <c r="BD272" s="20"/>
      <c r="BE272" s="21"/>
      <c r="BF272" s="20"/>
      <c r="BG272" s="20"/>
      <c r="BH272" s="20"/>
      <c r="BI272" s="20"/>
      <c r="BJ272" s="21"/>
      <c r="BK272" s="20"/>
    </row>
    <row r="273" spans="1:63" ht="17.25" customHeight="1">
      <c r="A273" s="39" t="s">
        <v>81</v>
      </c>
      <c r="B273" s="40"/>
      <c r="C273" s="41"/>
      <c r="D273" s="41"/>
      <c r="E273" s="41"/>
      <c r="F273" s="41"/>
      <c r="G273" s="40"/>
      <c r="H273" s="41"/>
      <c r="I273" s="41"/>
      <c r="J273" s="41"/>
      <c r="K273" s="41"/>
      <c r="L273" s="40"/>
      <c r="M273" s="41"/>
      <c r="N273" s="41"/>
      <c r="O273" s="41"/>
      <c r="P273" s="41"/>
      <c r="Q273" s="40"/>
      <c r="R273" s="41"/>
      <c r="S273" s="41"/>
      <c r="T273" s="41"/>
      <c r="U273" s="41"/>
      <c r="V273" s="40"/>
      <c r="W273" s="41"/>
      <c r="X273" s="41"/>
      <c r="Y273" s="41"/>
      <c r="Z273" s="41"/>
      <c r="AA273" s="40"/>
      <c r="AB273" s="41"/>
      <c r="AC273" s="41"/>
      <c r="AD273" s="41"/>
      <c r="AE273" s="41"/>
      <c r="AF273" s="40"/>
      <c r="AG273" s="41"/>
      <c r="AH273" s="41"/>
      <c r="AI273" s="41"/>
      <c r="AJ273" s="41"/>
      <c r="AK273" s="40"/>
      <c r="AL273" s="41"/>
      <c r="AM273" s="41"/>
      <c r="AN273" s="41"/>
      <c r="AO273" s="41"/>
      <c r="AP273" s="40"/>
      <c r="AQ273" s="41"/>
      <c r="AR273" s="41"/>
      <c r="AS273" s="41"/>
      <c r="AT273" s="41"/>
      <c r="AU273" s="40"/>
      <c r="AV273" s="41"/>
      <c r="AW273" s="41"/>
      <c r="AX273" s="41"/>
      <c r="AY273" s="41"/>
      <c r="AZ273" s="40"/>
      <c r="BA273" s="41"/>
      <c r="BB273" s="41"/>
      <c r="BC273" s="41"/>
      <c r="BD273" s="41"/>
      <c r="BE273" s="40"/>
      <c r="BF273" s="41"/>
      <c r="BG273" s="41"/>
      <c r="BH273" s="41"/>
      <c r="BI273" s="41"/>
      <c r="BJ273" s="40"/>
      <c r="BK273" s="41"/>
    </row>
    <row r="274" spans="1:63" ht="12.75" customHeight="1">
      <c r="A274" s="67" t="s">
        <v>281</v>
      </c>
      <c r="B274" s="36">
        <v>2121</v>
      </c>
      <c r="C274" s="78" t="s">
        <v>48</v>
      </c>
      <c r="D274" s="78" t="s">
        <v>48</v>
      </c>
      <c r="E274" s="78" t="s">
        <v>48</v>
      </c>
      <c r="F274" s="78" t="s">
        <v>48</v>
      </c>
      <c r="G274" s="36">
        <v>1873</v>
      </c>
      <c r="H274" s="78" t="s">
        <v>48</v>
      </c>
      <c r="I274" s="78" t="s">
        <v>48</v>
      </c>
      <c r="J274" s="78" t="s">
        <v>48</v>
      </c>
      <c r="K274" s="78" t="s">
        <v>48</v>
      </c>
      <c r="L274" s="36">
        <v>1690</v>
      </c>
      <c r="M274" s="78" t="s">
        <v>48</v>
      </c>
      <c r="N274" s="78" t="s">
        <v>48</v>
      </c>
      <c r="O274" s="78" t="s">
        <v>48</v>
      </c>
      <c r="P274" s="78" t="s">
        <v>48</v>
      </c>
      <c r="Q274" s="36">
        <v>1609</v>
      </c>
      <c r="R274" s="68">
        <v>271</v>
      </c>
      <c r="S274" s="68">
        <v>253</v>
      </c>
      <c r="T274" s="68">
        <v>282</v>
      </c>
      <c r="U274" s="68">
        <f>V274-R274-S274-T274</f>
        <v>268</v>
      </c>
      <c r="V274" s="36">
        <v>1074</v>
      </c>
      <c r="W274" s="68">
        <v>237</v>
      </c>
      <c r="X274" s="68">
        <v>263</v>
      </c>
      <c r="Y274" s="68">
        <v>278</v>
      </c>
      <c r="Z274" s="68">
        <f>AA274-W274-X274-Y274</f>
        <v>255</v>
      </c>
      <c r="AA274" s="36">
        <v>1033</v>
      </c>
      <c r="AB274" s="68">
        <f>AB280+AB283+AB286+AB277+AB289+AB292+AB295</f>
        <v>230</v>
      </c>
      <c r="AC274" s="68">
        <f>AC280+AC283+AC286+AC277+AC289+AC292+AC295</f>
        <v>218</v>
      </c>
      <c r="AD274" s="68">
        <f>AD280+AD283+AD286+AD277+AD289+AD292+AD295</f>
        <v>224</v>
      </c>
      <c r="AE274" s="68">
        <f>AF274-AB274-AC274-AD274</f>
        <v>223</v>
      </c>
      <c r="AF274" s="36">
        <f>AF280+AF283+AF286+AF277+AF289+AF292+AF295</f>
        <v>895</v>
      </c>
      <c r="AG274" s="68">
        <f>AG280+AG283+AG286+AG277+AG289+AG292+AG295</f>
        <v>190</v>
      </c>
      <c r="AH274" s="68">
        <f>AH280+AH283+AH286+AH277+AH289+AH292+AH295</f>
        <v>188</v>
      </c>
      <c r="AI274" s="68">
        <f>AI280+AI283+AI286+AI277+AI289+AI292+AI295</f>
        <v>203</v>
      </c>
      <c r="AJ274" s="68">
        <f>AK274-AG274-AH274-AI274</f>
        <v>196</v>
      </c>
      <c r="AK274" s="36">
        <f>AK280+AK283+AK286+AK277+AK289+AK292+AK295</f>
        <v>777</v>
      </c>
      <c r="AL274" s="68">
        <f>AL280+AL283+AL286+AL277+AL289+AL292+AL295</f>
        <v>180</v>
      </c>
      <c r="AM274" s="68">
        <f>AM280+AM283+AM286+AM277+AM289+AM292+AM295</f>
        <v>176</v>
      </c>
      <c r="AN274" s="68">
        <f>AN280+AN283+AN286+AN277+AN289+AN292+AN295</f>
        <v>186</v>
      </c>
      <c r="AO274" s="68">
        <f>AP274-AL274-AM274-AN274</f>
        <v>179</v>
      </c>
      <c r="AP274" s="36">
        <f>AP280+AP283+AP286+AP277+AP289+AP292+AP295</f>
        <v>721</v>
      </c>
      <c r="AQ274" s="68">
        <f>AQ280+AQ283+AQ286+AQ277+AQ289+AQ292+AQ295</f>
        <v>172</v>
      </c>
      <c r="AR274" s="68">
        <f>AR280+AR283+AR286+AR277+AR289+AR292+AR295</f>
        <v>170</v>
      </c>
      <c r="AS274" s="68">
        <f>AS280+AS283+AS286+AS277+AS289+AS292+AS295</f>
        <v>183</v>
      </c>
      <c r="AT274" s="68">
        <f>AU274-AQ274-AR274-AS274</f>
        <v>180</v>
      </c>
      <c r="AU274" s="36">
        <f>AU280+AU283+AU286+AU277+AU289+AU292+AU295</f>
        <v>705</v>
      </c>
      <c r="AV274" s="68">
        <f>AV280+AV283+AV286+AV277+AV289+AV292+AV295</f>
        <v>165</v>
      </c>
      <c r="AW274" s="68">
        <f>AW280+AW283+AW286+AW277+AW289+AW292+AW295</f>
        <v>166</v>
      </c>
      <c r="AX274" s="68">
        <f>AX280+AX283+AX286+AX277+AX289+AX292+AX295</f>
        <v>183</v>
      </c>
      <c r="AY274" s="68">
        <f>AZ274-AV274-AW274-AX274</f>
        <v>163</v>
      </c>
      <c r="AZ274" s="36">
        <v>677</v>
      </c>
      <c r="BA274" s="68">
        <v>140</v>
      </c>
      <c r="BB274" s="68">
        <v>145</v>
      </c>
      <c r="BC274" s="68">
        <v>143</v>
      </c>
      <c r="BD274" s="68">
        <v>168</v>
      </c>
      <c r="BE274" s="36">
        <v>596</v>
      </c>
      <c r="BF274" s="68">
        <v>141</v>
      </c>
      <c r="BG274" s="68">
        <v>133</v>
      </c>
      <c r="BH274" s="68">
        <v>144</v>
      </c>
      <c r="BI274" s="68">
        <v>147</v>
      </c>
      <c r="BJ274" s="36">
        <v>565</v>
      </c>
      <c r="BK274" s="68">
        <v>142</v>
      </c>
    </row>
    <row r="275" spans="1:63" ht="12.75" customHeight="1">
      <c r="A275" s="69" t="s">
        <v>7</v>
      </c>
      <c r="B275" s="23"/>
      <c r="C275" s="71"/>
      <c r="D275" s="71"/>
      <c r="E275" s="71"/>
      <c r="F275" s="71"/>
      <c r="G275" s="23"/>
      <c r="H275" s="71"/>
      <c r="I275" s="71"/>
      <c r="J275" s="71"/>
      <c r="K275" s="71"/>
      <c r="L275" s="23"/>
      <c r="M275" s="70"/>
      <c r="N275" s="70"/>
      <c r="O275" s="70"/>
      <c r="P275" s="70"/>
      <c r="Q275" s="23"/>
      <c r="R275" s="70"/>
      <c r="S275" s="70">
        <f>S274/R274-1</f>
        <v>-6.6420664206642055E-2</v>
      </c>
      <c r="T275" s="70">
        <f>T274/S274-1</f>
        <v>0.11462450592885376</v>
      </c>
      <c r="U275" s="70">
        <f>U274/T274-1</f>
        <v>-4.9645390070921946E-2</v>
      </c>
      <c r="V275" s="23"/>
      <c r="W275" s="70">
        <f>W274/U274-1</f>
        <v>-0.11567164179104472</v>
      </c>
      <c r="X275" s="70">
        <f>X274/W274-1</f>
        <v>0.10970464135021096</v>
      </c>
      <c r="Y275" s="70">
        <f>Y274/X274-1</f>
        <v>5.7034220532319324E-2</v>
      </c>
      <c r="Z275" s="70">
        <f>Z274/Y274-1</f>
        <v>-8.2733812949640329E-2</v>
      </c>
      <c r="AA275" s="23"/>
      <c r="AB275" s="70">
        <f>AB274/Z274-1</f>
        <v>-9.8039215686274495E-2</v>
      </c>
      <c r="AC275" s="70">
        <f>AC274/AB274-1</f>
        <v>-5.2173913043478293E-2</v>
      </c>
      <c r="AD275" s="70">
        <f>AD274/AC274-1</f>
        <v>2.7522935779816571E-2</v>
      </c>
      <c r="AE275" s="70">
        <f>AE274/AD274-1</f>
        <v>-4.4642857142856984E-3</v>
      </c>
      <c r="AF275" s="23"/>
      <c r="AG275" s="70">
        <f>AG274/AE274-1</f>
        <v>-0.14798206278026904</v>
      </c>
      <c r="AH275" s="70">
        <f>AH274/AG274-1</f>
        <v>-1.0526315789473717E-2</v>
      </c>
      <c r="AI275" s="70">
        <f>AI274/AH274-1</f>
        <v>7.9787234042553168E-2</v>
      </c>
      <c r="AJ275" s="70">
        <f>AJ274/AI274-1</f>
        <v>-3.4482758620689613E-2</v>
      </c>
      <c r="AK275" s="23"/>
      <c r="AL275" s="70">
        <f>AL274/AJ274-1</f>
        <v>-8.1632653061224469E-2</v>
      </c>
      <c r="AM275" s="70">
        <f>AM274/AL274-1</f>
        <v>-2.2222222222222254E-2</v>
      </c>
      <c r="AN275" s="70">
        <f>AN274/AM274-1</f>
        <v>5.6818181818181879E-2</v>
      </c>
      <c r="AO275" s="70">
        <f>AO274/AN274-1</f>
        <v>-3.7634408602150504E-2</v>
      </c>
      <c r="AP275" s="23"/>
      <c r="AQ275" s="70">
        <f>AQ274/AO274-1</f>
        <v>-3.9106145251396662E-2</v>
      </c>
      <c r="AR275" s="70">
        <f>AR274/AQ274-1</f>
        <v>-1.1627906976744207E-2</v>
      </c>
      <c r="AS275" s="70">
        <f>AS274/AR274-1</f>
        <v>7.6470588235294068E-2</v>
      </c>
      <c r="AT275" s="70">
        <f>AT274/AS274-1</f>
        <v>-1.6393442622950838E-2</v>
      </c>
      <c r="AU275" s="23"/>
      <c r="AV275" s="70">
        <f>AV274/AT274-1</f>
        <v>-8.333333333333337E-2</v>
      </c>
      <c r="AW275" s="70">
        <f>AW274/AV274-1</f>
        <v>6.0606060606060996E-3</v>
      </c>
      <c r="AX275" s="70">
        <f>AX274/AW274-1</f>
        <v>0.10240963855421681</v>
      </c>
      <c r="AY275" s="70">
        <f>AY274/AX274-1</f>
        <v>-0.10928961748633881</v>
      </c>
      <c r="AZ275" s="23"/>
      <c r="BA275" s="70">
        <v>-0.14110429447852757</v>
      </c>
      <c r="BB275" s="70">
        <v>3.5714285714285809E-2</v>
      </c>
      <c r="BC275" s="70">
        <v>-1.379310344827589E-2</v>
      </c>
      <c r="BD275" s="70">
        <v>0.17482517482517479</v>
      </c>
      <c r="BE275" s="23"/>
      <c r="BF275" s="70">
        <v>-0.1607142857142857</v>
      </c>
      <c r="BG275" s="70">
        <v>-5.673758865248224E-2</v>
      </c>
      <c r="BH275" s="70">
        <v>8.2706766917293173E-2</v>
      </c>
      <c r="BI275" s="70">
        <v>2.0833333333333259E-2</v>
      </c>
      <c r="BJ275" s="23"/>
      <c r="BK275" s="70">
        <v>-3.4013605442176909E-2</v>
      </c>
    </row>
    <row r="276" spans="1:63" ht="12.75" customHeight="1">
      <c r="A276" s="69" t="s">
        <v>8</v>
      </c>
      <c r="B276" s="23"/>
      <c r="C276" s="71"/>
      <c r="D276" s="71"/>
      <c r="E276" s="71"/>
      <c r="F276" s="71"/>
      <c r="G276" s="23">
        <f>G274/B274-1</f>
        <v>-0.11692597831211693</v>
      </c>
      <c r="H276" s="71"/>
      <c r="I276" s="71"/>
      <c r="J276" s="71"/>
      <c r="K276" s="71"/>
      <c r="L276" s="23">
        <f>L274/G274-1</f>
        <v>-9.7704217832354501E-2</v>
      </c>
      <c r="M276" s="71"/>
      <c r="N276" s="71"/>
      <c r="O276" s="71"/>
      <c r="P276" s="71"/>
      <c r="Q276" s="23">
        <f>Q274/L274-1</f>
        <v>-4.7928994082840237E-2</v>
      </c>
      <c r="R276" s="71"/>
      <c r="S276" s="71"/>
      <c r="T276" s="71"/>
      <c r="U276" s="71"/>
      <c r="V276" s="23">
        <f t="shared" ref="V276:AD276" si="514">V274/Q274-1</f>
        <v>-0.33250466128029832</v>
      </c>
      <c r="W276" s="71">
        <f t="shared" si="514"/>
        <v>-0.12546125461254609</v>
      </c>
      <c r="X276" s="71">
        <f t="shared" si="514"/>
        <v>3.9525691699604737E-2</v>
      </c>
      <c r="Y276" s="71">
        <f t="shared" si="514"/>
        <v>-1.4184397163120588E-2</v>
      </c>
      <c r="Z276" s="71">
        <f t="shared" si="514"/>
        <v>-4.8507462686567138E-2</v>
      </c>
      <c r="AA276" s="23">
        <f t="shared" si="514"/>
        <v>-3.8175046554934866E-2</v>
      </c>
      <c r="AB276" s="71">
        <f t="shared" si="514"/>
        <v>-2.9535864978902926E-2</v>
      </c>
      <c r="AC276" s="71">
        <f t="shared" si="514"/>
        <v>-0.17110266159695819</v>
      </c>
      <c r="AD276" s="71">
        <f t="shared" si="514"/>
        <v>-0.19424460431654678</v>
      </c>
      <c r="AE276" s="71">
        <f t="shared" ref="AE276:AN276" si="515">AE274/Z274-1</f>
        <v>-0.12549019607843137</v>
      </c>
      <c r="AF276" s="23">
        <f t="shared" si="515"/>
        <v>-0.13359148112294283</v>
      </c>
      <c r="AG276" s="71">
        <f t="shared" si="515"/>
        <v>-0.17391304347826086</v>
      </c>
      <c r="AH276" s="71">
        <f t="shared" si="515"/>
        <v>-0.13761467889908252</v>
      </c>
      <c r="AI276" s="71">
        <f t="shared" si="515"/>
        <v>-9.375E-2</v>
      </c>
      <c r="AJ276" s="71">
        <f t="shared" si="515"/>
        <v>-0.12107623318385652</v>
      </c>
      <c r="AK276" s="23">
        <f t="shared" si="515"/>
        <v>-0.13184357541899439</v>
      </c>
      <c r="AL276" s="71">
        <f t="shared" si="515"/>
        <v>-5.2631578947368474E-2</v>
      </c>
      <c r="AM276" s="71">
        <f t="shared" si="515"/>
        <v>-6.3829787234042534E-2</v>
      </c>
      <c r="AN276" s="71">
        <f t="shared" si="515"/>
        <v>-8.3743842364532028E-2</v>
      </c>
      <c r="AO276" s="71">
        <f>AO274/AJ274-1</f>
        <v>-8.6734693877551061E-2</v>
      </c>
      <c r="AP276" s="23">
        <f>AP274/AK274-1</f>
        <v>-7.2072072072072113E-2</v>
      </c>
      <c r="AQ276" s="71">
        <f t="shared" ref="AQ276:AS276" si="516">AQ274/AL274-1</f>
        <v>-4.4444444444444398E-2</v>
      </c>
      <c r="AR276" s="71">
        <f t="shared" si="516"/>
        <v>-3.4090909090909061E-2</v>
      </c>
      <c r="AS276" s="71">
        <f t="shared" si="516"/>
        <v>-1.6129032258064502E-2</v>
      </c>
      <c r="AT276" s="71">
        <f>AT274/AO274-1</f>
        <v>5.5865921787709993E-3</v>
      </c>
      <c r="AU276" s="23">
        <f>AU274/AP274-1</f>
        <v>-2.2191400832177521E-2</v>
      </c>
      <c r="AV276" s="71">
        <f t="shared" ref="AV276:AX276" si="517">AV274/AQ274-1</f>
        <v>-4.0697674418604612E-2</v>
      </c>
      <c r="AW276" s="71">
        <f t="shared" si="517"/>
        <v>-2.352941176470591E-2</v>
      </c>
      <c r="AX276" s="71">
        <f t="shared" si="517"/>
        <v>0</v>
      </c>
      <c r="AY276" s="71">
        <f>AY274/AT274-1</f>
        <v>-9.4444444444444442E-2</v>
      </c>
      <c r="AZ276" s="23">
        <v>-3.9716312056737535E-2</v>
      </c>
      <c r="BA276" s="71">
        <v>-0.15151515151515149</v>
      </c>
      <c r="BB276" s="71">
        <v>-0.12650602409638556</v>
      </c>
      <c r="BC276" s="71">
        <v>-0.21857923497267762</v>
      </c>
      <c r="BD276" s="71">
        <v>3.0674846625766916E-2</v>
      </c>
      <c r="BE276" s="23">
        <v>-0.11964549483013298</v>
      </c>
      <c r="BF276" s="71">
        <v>7.1428571428571175E-3</v>
      </c>
      <c r="BG276" s="71">
        <v>-8.2758620689655227E-2</v>
      </c>
      <c r="BH276" s="71">
        <v>6.9930069930070893E-3</v>
      </c>
      <c r="BI276" s="71">
        <v>-0.125</v>
      </c>
      <c r="BJ276" s="23">
        <v>-5.2013422818791955E-2</v>
      </c>
      <c r="BK276" s="71">
        <v>7.0921985815601829E-3</v>
      </c>
    </row>
    <row r="277" spans="1:63" ht="12.75" customHeight="1">
      <c r="A277" s="67" t="s">
        <v>85</v>
      </c>
      <c r="B277" s="119" t="s">
        <v>40</v>
      </c>
      <c r="C277" s="78" t="s">
        <v>48</v>
      </c>
      <c r="D277" s="78" t="s">
        <v>48</v>
      </c>
      <c r="E277" s="78" t="s">
        <v>48</v>
      </c>
      <c r="F277" s="78" t="s">
        <v>48</v>
      </c>
      <c r="G277" s="119" t="s">
        <v>40</v>
      </c>
      <c r="H277" s="78" t="s">
        <v>48</v>
      </c>
      <c r="I277" s="78" t="s">
        <v>48</v>
      </c>
      <c r="J277" s="78" t="s">
        <v>48</v>
      </c>
      <c r="K277" s="78" t="s">
        <v>48</v>
      </c>
      <c r="L277" s="36">
        <v>278</v>
      </c>
      <c r="M277" s="78" t="s">
        <v>48</v>
      </c>
      <c r="N277" s="78" t="s">
        <v>48</v>
      </c>
      <c r="O277" s="78" t="s">
        <v>48</v>
      </c>
      <c r="P277" s="78" t="s">
        <v>48</v>
      </c>
      <c r="Q277" s="36">
        <v>240</v>
      </c>
      <c r="R277" s="68">
        <v>62</v>
      </c>
      <c r="S277" s="68">
        <v>60</v>
      </c>
      <c r="T277" s="68">
        <v>63</v>
      </c>
      <c r="U277" s="68">
        <f>V277-R277-S277-T277</f>
        <v>62</v>
      </c>
      <c r="V277" s="36">
        <v>247</v>
      </c>
      <c r="W277" s="68">
        <v>63</v>
      </c>
      <c r="X277" s="68">
        <v>59</v>
      </c>
      <c r="Y277" s="68">
        <v>70</v>
      </c>
      <c r="Z277" s="68">
        <f>AA277-W277-X277-Y277</f>
        <v>53</v>
      </c>
      <c r="AA277" s="36">
        <v>245</v>
      </c>
      <c r="AB277" s="68">
        <v>59</v>
      </c>
      <c r="AC277" s="68">
        <v>55</v>
      </c>
      <c r="AD277" s="68">
        <v>61</v>
      </c>
      <c r="AE277" s="143">
        <f>AF277-AB277-AC277-AD277</f>
        <v>58</v>
      </c>
      <c r="AF277" s="36">
        <v>233</v>
      </c>
      <c r="AG277" s="68">
        <v>55</v>
      </c>
      <c r="AH277" s="68">
        <v>53</v>
      </c>
      <c r="AI277" s="68">
        <v>57</v>
      </c>
      <c r="AJ277" s="143">
        <f>AK277-AG277-AH277-AI277</f>
        <v>52</v>
      </c>
      <c r="AK277" s="36">
        <v>217</v>
      </c>
      <c r="AL277" s="68">
        <v>51</v>
      </c>
      <c r="AM277" s="68">
        <v>47</v>
      </c>
      <c r="AN277" s="68">
        <v>54</v>
      </c>
      <c r="AO277" s="143">
        <f>AP277-AL277-AM277-AN277</f>
        <v>50</v>
      </c>
      <c r="AP277" s="36">
        <v>202</v>
      </c>
      <c r="AQ277" s="68">
        <v>49</v>
      </c>
      <c r="AR277" s="68">
        <v>46</v>
      </c>
      <c r="AS277" s="68">
        <v>49</v>
      </c>
      <c r="AT277" s="143">
        <f>AU277-AQ277-AR277-AS277</f>
        <v>45</v>
      </c>
      <c r="AU277" s="36">
        <v>189</v>
      </c>
      <c r="AV277" s="68">
        <v>47</v>
      </c>
      <c r="AW277" s="68">
        <v>45</v>
      </c>
      <c r="AX277" s="68">
        <v>49</v>
      </c>
      <c r="AY277" s="143">
        <f>AZ277-AV277-AW277-AX277</f>
        <v>44</v>
      </c>
      <c r="AZ277" s="36">
        <v>185</v>
      </c>
      <c r="BA277" s="68">
        <v>34</v>
      </c>
      <c r="BB277" s="68">
        <v>31</v>
      </c>
      <c r="BC277" s="68">
        <v>38</v>
      </c>
      <c r="BD277" s="143">
        <v>40</v>
      </c>
      <c r="BE277" s="36">
        <v>143</v>
      </c>
      <c r="BF277" s="68">
        <v>33</v>
      </c>
      <c r="BG277" s="68">
        <v>30</v>
      </c>
      <c r="BH277" s="68">
        <v>35</v>
      </c>
      <c r="BI277" s="143">
        <v>34</v>
      </c>
      <c r="BJ277" s="36">
        <v>132</v>
      </c>
      <c r="BK277" s="68">
        <v>30</v>
      </c>
    </row>
    <row r="278" spans="1:63" ht="12.75" customHeight="1">
      <c r="A278" s="69" t="s">
        <v>7</v>
      </c>
      <c r="B278" s="23"/>
      <c r="C278" s="70"/>
      <c r="D278" s="70"/>
      <c r="E278" s="70"/>
      <c r="F278" s="70"/>
      <c r="G278" s="23"/>
      <c r="H278" s="70"/>
      <c r="I278" s="70"/>
      <c r="J278" s="70"/>
      <c r="K278" s="70"/>
      <c r="L278" s="23"/>
      <c r="M278" s="70"/>
      <c r="N278" s="70"/>
      <c r="O278" s="70"/>
      <c r="P278" s="70"/>
      <c r="Q278" s="23"/>
      <c r="R278" s="70"/>
      <c r="S278" s="70">
        <f>S277/R277-1</f>
        <v>-3.2258064516129004E-2</v>
      </c>
      <c r="T278" s="70">
        <f>T277/S277-1</f>
        <v>5.0000000000000044E-2</v>
      </c>
      <c r="U278" s="70">
        <f>U277/T277-1</f>
        <v>-1.5873015873015928E-2</v>
      </c>
      <c r="V278" s="23"/>
      <c r="W278" s="70">
        <f>W277/U277-1</f>
        <v>1.6129032258064502E-2</v>
      </c>
      <c r="X278" s="70">
        <f>X277/W277-1</f>
        <v>-6.3492063492063489E-2</v>
      </c>
      <c r="Y278" s="70">
        <f>Y277/X277-1</f>
        <v>0.18644067796610164</v>
      </c>
      <c r="Z278" s="70">
        <f>Z277/Y277-1</f>
        <v>-0.24285714285714288</v>
      </c>
      <c r="AA278" s="23"/>
      <c r="AB278" s="70">
        <f>AB277/Z277-1</f>
        <v>0.1132075471698113</v>
      </c>
      <c r="AC278" s="70">
        <f>AC277/AB277-1</f>
        <v>-6.7796610169491567E-2</v>
      </c>
      <c r="AD278" s="70">
        <f>AD277/AC277-1</f>
        <v>0.10909090909090913</v>
      </c>
      <c r="AE278" s="70">
        <f>AE277/AD277-1</f>
        <v>-4.9180327868852514E-2</v>
      </c>
      <c r="AF278" s="23"/>
      <c r="AG278" s="70">
        <f>AG277/AE277-1</f>
        <v>-5.1724137931034475E-2</v>
      </c>
      <c r="AH278" s="70">
        <f>AH277/AG277-1</f>
        <v>-3.6363636363636376E-2</v>
      </c>
      <c r="AI278" s="70">
        <f>AI277/AH277-1</f>
        <v>7.547169811320753E-2</v>
      </c>
      <c r="AJ278" s="70">
        <f>AJ277/AI277-1</f>
        <v>-8.7719298245614086E-2</v>
      </c>
      <c r="AK278" s="23"/>
      <c r="AL278" s="70">
        <f>AL277/AJ277-1</f>
        <v>-1.9230769230769273E-2</v>
      </c>
      <c r="AM278" s="70">
        <f>AM277/AL277-1</f>
        <v>-7.8431372549019662E-2</v>
      </c>
      <c r="AN278" s="70">
        <f>AN277/AM277-1</f>
        <v>0.14893617021276606</v>
      </c>
      <c r="AO278" s="70">
        <f>AO277/AN277-1</f>
        <v>-7.407407407407407E-2</v>
      </c>
      <c r="AP278" s="23"/>
      <c r="AQ278" s="70">
        <f>AQ277/AO277-1</f>
        <v>-2.0000000000000018E-2</v>
      </c>
      <c r="AR278" s="70">
        <f>AR277/AQ277-1</f>
        <v>-6.1224489795918324E-2</v>
      </c>
      <c r="AS278" s="70">
        <f>AS277/AR277-1</f>
        <v>6.5217391304347894E-2</v>
      </c>
      <c r="AT278" s="70">
        <f>AT277/AS277-1</f>
        <v>-8.1632653061224469E-2</v>
      </c>
      <c r="AU278" s="23"/>
      <c r="AV278" s="70">
        <f>AV277/AT277-1</f>
        <v>4.4444444444444509E-2</v>
      </c>
      <c r="AW278" s="70">
        <f>AW277/AV277-1</f>
        <v>-4.2553191489361653E-2</v>
      </c>
      <c r="AX278" s="70">
        <f>AX277/AW277-1</f>
        <v>8.8888888888888795E-2</v>
      </c>
      <c r="AY278" s="70">
        <f>AY277/AX277-1</f>
        <v>-0.10204081632653061</v>
      </c>
      <c r="AZ278" s="23"/>
      <c r="BA278" s="70">
        <v>-0.22727272727272729</v>
      </c>
      <c r="BB278" s="70">
        <v>-8.8235294117647078E-2</v>
      </c>
      <c r="BC278" s="70">
        <v>0.22580645161290325</v>
      </c>
      <c r="BD278" s="70">
        <v>5.2631578947368363E-2</v>
      </c>
      <c r="BE278" s="23"/>
      <c r="BF278" s="70">
        <v>-0.17500000000000004</v>
      </c>
      <c r="BG278" s="70">
        <v>-9.0909090909090939E-2</v>
      </c>
      <c r="BH278" s="70">
        <v>0.16666666666666674</v>
      </c>
      <c r="BI278" s="70">
        <v>-2.8571428571428581E-2</v>
      </c>
      <c r="BJ278" s="23"/>
      <c r="BK278" s="70">
        <v>-0.11764705882352944</v>
      </c>
    </row>
    <row r="279" spans="1:63" ht="12.75" customHeight="1">
      <c r="A279" s="69" t="s">
        <v>8</v>
      </c>
      <c r="B279" s="23"/>
      <c r="C279" s="71"/>
      <c r="D279" s="71"/>
      <c r="E279" s="71"/>
      <c r="F279" s="71"/>
      <c r="G279" s="23"/>
      <c r="H279" s="71"/>
      <c r="I279" s="71"/>
      <c r="J279" s="71"/>
      <c r="K279" s="71"/>
      <c r="L279" s="23"/>
      <c r="M279" s="71"/>
      <c r="N279" s="71"/>
      <c r="O279" s="71"/>
      <c r="P279" s="71"/>
      <c r="Q279" s="23">
        <f>Q277/L277-1</f>
        <v>-0.13669064748201443</v>
      </c>
      <c r="R279" s="71"/>
      <c r="S279" s="71"/>
      <c r="T279" s="71"/>
      <c r="U279" s="71"/>
      <c r="V279" s="23">
        <f t="shared" ref="V279:AD279" si="518">V277/Q277-1</f>
        <v>2.9166666666666563E-2</v>
      </c>
      <c r="W279" s="71">
        <f t="shared" si="518"/>
        <v>1.6129032258064502E-2</v>
      </c>
      <c r="X279" s="71">
        <f t="shared" si="518"/>
        <v>-1.6666666666666718E-2</v>
      </c>
      <c r="Y279" s="71">
        <f t="shared" si="518"/>
        <v>0.11111111111111116</v>
      </c>
      <c r="Z279" s="71">
        <f t="shared" si="518"/>
        <v>-0.14516129032258063</v>
      </c>
      <c r="AA279" s="23">
        <f t="shared" si="518"/>
        <v>-8.0971659919027994E-3</v>
      </c>
      <c r="AB279" s="71">
        <f t="shared" si="518"/>
        <v>-6.3492063492063489E-2</v>
      </c>
      <c r="AC279" s="71">
        <f t="shared" si="518"/>
        <v>-6.7796610169491567E-2</v>
      </c>
      <c r="AD279" s="71">
        <f t="shared" si="518"/>
        <v>-0.12857142857142856</v>
      </c>
      <c r="AE279" s="71">
        <f t="shared" ref="AE279:AN279" si="519">AE277/Z277-1</f>
        <v>9.4339622641509413E-2</v>
      </c>
      <c r="AF279" s="23">
        <f t="shared" si="519"/>
        <v>-4.8979591836734726E-2</v>
      </c>
      <c r="AG279" s="71">
        <f t="shared" si="519"/>
        <v>-6.7796610169491567E-2</v>
      </c>
      <c r="AH279" s="71">
        <f t="shared" si="519"/>
        <v>-3.6363636363636376E-2</v>
      </c>
      <c r="AI279" s="71">
        <f t="shared" si="519"/>
        <v>-6.557377049180324E-2</v>
      </c>
      <c r="AJ279" s="71">
        <f t="shared" si="519"/>
        <v>-0.10344827586206895</v>
      </c>
      <c r="AK279" s="23">
        <f t="shared" si="519"/>
        <v>-6.8669527896995763E-2</v>
      </c>
      <c r="AL279" s="71">
        <f t="shared" si="519"/>
        <v>-7.2727272727272751E-2</v>
      </c>
      <c r="AM279" s="71">
        <f t="shared" si="519"/>
        <v>-0.1132075471698113</v>
      </c>
      <c r="AN279" s="71">
        <f t="shared" si="519"/>
        <v>-5.2631578947368474E-2</v>
      </c>
      <c r="AO279" s="71">
        <f>AO277/AJ277-1</f>
        <v>-3.8461538461538436E-2</v>
      </c>
      <c r="AP279" s="23">
        <f>AP277/AK277-1</f>
        <v>-6.9124423963133674E-2</v>
      </c>
      <c r="AQ279" s="71">
        <f t="shared" ref="AQ279:AS279" si="520">AQ277/AL277-1</f>
        <v>-3.9215686274509776E-2</v>
      </c>
      <c r="AR279" s="71">
        <f t="shared" si="520"/>
        <v>-2.1276595744680882E-2</v>
      </c>
      <c r="AS279" s="71">
        <f t="shared" si="520"/>
        <v>-9.259259259259256E-2</v>
      </c>
      <c r="AT279" s="71">
        <f>AT277/AO277-1</f>
        <v>-9.9999999999999978E-2</v>
      </c>
      <c r="AU279" s="23">
        <f>AU277/AP277-1</f>
        <v>-6.4356435643564303E-2</v>
      </c>
      <c r="AV279" s="71">
        <f t="shared" ref="AV279:AX279" si="521">AV277/AQ277-1</f>
        <v>-4.081632653061229E-2</v>
      </c>
      <c r="AW279" s="71">
        <f t="shared" si="521"/>
        <v>-2.1739130434782594E-2</v>
      </c>
      <c r="AX279" s="71">
        <f t="shared" si="521"/>
        <v>0</v>
      </c>
      <c r="AY279" s="71">
        <f>AY277/AT277-1</f>
        <v>-2.2222222222222254E-2</v>
      </c>
      <c r="AZ279" s="23">
        <v>-2.1164021164021163E-2</v>
      </c>
      <c r="BA279" s="71">
        <v>-0.27659574468085102</v>
      </c>
      <c r="BB279" s="71">
        <v>-0.31111111111111112</v>
      </c>
      <c r="BC279" s="71">
        <v>-0.22448979591836737</v>
      </c>
      <c r="BD279" s="71">
        <v>-9.0909090909090939E-2</v>
      </c>
      <c r="BE279" s="23">
        <v>-0.22702702702702704</v>
      </c>
      <c r="BF279" s="71">
        <v>-2.9411764705882359E-2</v>
      </c>
      <c r="BG279" s="71">
        <v>-3.2258064516129004E-2</v>
      </c>
      <c r="BH279" s="71">
        <v>-7.8947368421052655E-2</v>
      </c>
      <c r="BI279" s="71">
        <v>-0.15000000000000002</v>
      </c>
      <c r="BJ279" s="23">
        <v>-7.6923076923076872E-2</v>
      </c>
      <c r="BK279" s="71">
        <v>-9.0909090909090939E-2</v>
      </c>
    </row>
    <row r="280" spans="1:63" ht="12.75" customHeight="1">
      <c r="A280" s="67" t="s">
        <v>83</v>
      </c>
      <c r="B280" s="119" t="s">
        <v>40</v>
      </c>
      <c r="C280" s="78" t="s">
        <v>48</v>
      </c>
      <c r="D280" s="78" t="s">
        <v>48</v>
      </c>
      <c r="E280" s="78" t="s">
        <v>48</v>
      </c>
      <c r="F280" s="78" t="s">
        <v>48</v>
      </c>
      <c r="G280" s="119" t="s">
        <v>40</v>
      </c>
      <c r="H280" s="78" t="s">
        <v>48</v>
      </c>
      <c r="I280" s="78" t="s">
        <v>48</v>
      </c>
      <c r="J280" s="78" t="s">
        <v>48</v>
      </c>
      <c r="K280" s="78" t="s">
        <v>48</v>
      </c>
      <c r="L280" s="36">
        <v>871</v>
      </c>
      <c r="M280" s="78" t="s">
        <v>48</v>
      </c>
      <c r="N280" s="78" t="s">
        <v>48</v>
      </c>
      <c r="O280" s="78" t="s">
        <v>48</v>
      </c>
      <c r="P280" s="78" t="s">
        <v>48</v>
      </c>
      <c r="Q280" s="36">
        <v>855</v>
      </c>
      <c r="R280" s="68">
        <v>79</v>
      </c>
      <c r="S280" s="68">
        <v>78</v>
      </c>
      <c r="T280" s="68">
        <v>79</v>
      </c>
      <c r="U280" s="68">
        <f>V280-R280-S280-T280</f>
        <v>78</v>
      </c>
      <c r="V280" s="36">
        <v>314</v>
      </c>
      <c r="W280" s="68">
        <v>75</v>
      </c>
      <c r="X280" s="68">
        <v>72</v>
      </c>
      <c r="Y280" s="68">
        <v>70</v>
      </c>
      <c r="Z280" s="68">
        <f>AA280-W280-X280-Y280</f>
        <v>64</v>
      </c>
      <c r="AA280" s="36">
        <v>281</v>
      </c>
      <c r="AB280" s="68">
        <v>57</v>
      </c>
      <c r="AC280" s="68">
        <v>58</v>
      </c>
      <c r="AD280" s="68">
        <v>55</v>
      </c>
      <c r="AE280" s="68">
        <f>AF280-AB280-AC280-AD280</f>
        <v>50</v>
      </c>
      <c r="AF280" s="36">
        <v>220</v>
      </c>
      <c r="AG280" s="68">
        <v>42</v>
      </c>
      <c r="AH280" s="68">
        <v>39</v>
      </c>
      <c r="AI280" s="68">
        <v>42</v>
      </c>
      <c r="AJ280" s="68">
        <f>AK280-AG280-AH280-AI280</f>
        <v>38</v>
      </c>
      <c r="AK280" s="36">
        <v>161</v>
      </c>
      <c r="AL280" s="68">
        <v>38</v>
      </c>
      <c r="AM280" s="68">
        <v>37</v>
      </c>
      <c r="AN280" s="68">
        <v>35</v>
      </c>
      <c r="AO280" s="68">
        <f>AP280-AL280-AM280-AN280</f>
        <v>35</v>
      </c>
      <c r="AP280" s="36">
        <v>145</v>
      </c>
      <c r="AQ280" s="68">
        <v>34</v>
      </c>
      <c r="AR280" s="68">
        <v>33</v>
      </c>
      <c r="AS280" s="68">
        <v>34</v>
      </c>
      <c r="AT280" s="68">
        <f>AU280-AQ280-AR280-AS280</f>
        <v>29</v>
      </c>
      <c r="AU280" s="36">
        <v>130</v>
      </c>
      <c r="AV280" s="68">
        <v>31</v>
      </c>
      <c r="AW280" s="68">
        <v>29</v>
      </c>
      <c r="AX280" s="68">
        <v>31</v>
      </c>
      <c r="AY280" s="68">
        <f>AZ280-AV280-AW280-AX280</f>
        <v>27</v>
      </c>
      <c r="AZ280" s="36">
        <v>118</v>
      </c>
      <c r="BA280" s="68">
        <v>28</v>
      </c>
      <c r="BB280" s="68">
        <v>27</v>
      </c>
      <c r="BC280" s="68">
        <v>25</v>
      </c>
      <c r="BD280" s="68">
        <v>28</v>
      </c>
      <c r="BE280" s="36">
        <v>108</v>
      </c>
      <c r="BF280" s="68">
        <v>25</v>
      </c>
      <c r="BG280" s="68">
        <v>24</v>
      </c>
      <c r="BH280" s="68">
        <v>25</v>
      </c>
      <c r="BI280" s="68">
        <v>23</v>
      </c>
      <c r="BJ280" s="36">
        <v>97</v>
      </c>
      <c r="BK280" s="68">
        <v>25</v>
      </c>
    </row>
    <row r="281" spans="1:63" ht="12.75" customHeight="1">
      <c r="A281" s="69" t="s">
        <v>7</v>
      </c>
      <c r="B281" s="23"/>
      <c r="C281" s="70"/>
      <c r="D281" s="70"/>
      <c r="E281" s="70"/>
      <c r="F281" s="70"/>
      <c r="G281" s="23"/>
      <c r="H281" s="70"/>
      <c r="I281" s="70"/>
      <c r="J281" s="70"/>
      <c r="K281" s="70"/>
      <c r="L281" s="23"/>
      <c r="M281" s="70"/>
      <c r="N281" s="70"/>
      <c r="O281" s="70"/>
      <c r="P281" s="70"/>
      <c r="Q281" s="23"/>
      <c r="R281" s="70"/>
      <c r="S281" s="70">
        <f>S280/R280-1</f>
        <v>-1.2658227848101222E-2</v>
      </c>
      <c r="T281" s="70">
        <f>T280/S280-1</f>
        <v>1.2820512820512775E-2</v>
      </c>
      <c r="U281" s="70">
        <f>U280/T280-1</f>
        <v>-1.2658227848101222E-2</v>
      </c>
      <c r="V281" s="23"/>
      <c r="W281" s="70">
        <f>W280/U280-1</f>
        <v>-3.8461538461538436E-2</v>
      </c>
      <c r="X281" s="70">
        <f>X280/W280-1</f>
        <v>-4.0000000000000036E-2</v>
      </c>
      <c r="Y281" s="70">
        <f>Y280/X280-1</f>
        <v>-2.777777777777779E-2</v>
      </c>
      <c r="Z281" s="70">
        <f>Z280/Y280-1</f>
        <v>-8.5714285714285743E-2</v>
      </c>
      <c r="AA281" s="23"/>
      <c r="AB281" s="70">
        <f>AB280/Z280-1</f>
        <v>-0.109375</v>
      </c>
      <c r="AC281" s="70">
        <f>AC280/AB280-1</f>
        <v>1.7543859649122862E-2</v>
      </c>
      <c r="AD281" s="70">
        <f>AD280/AC280-1</f>
        <v>-5.1724137931034475E-2</v>
      </c>
      <c r="AE281" s="70">
        <f>AE280/AD280-1</f>
        <v>-9.0909090909090939E-2</v>
      </c>
      <c r="AF281" s="23"/>
      <c r="AG281" s="70">
        <f>AG280/AE280-1</f>
        <v>-0.16000000000000003</v>
      </c>
      <c r="AH281" s="70">
        <f>AH280/AG280-1</f>
        <v>-7.1428571428571397E-2</v>
      </c>
      <c r="AI281" s="70">
        <f>AI280/AH280-1</f>
        <v>7.6923076923076872E-2</v>
      </c>
      <c r="AJ281" s="70">
        <f>AJ280/AI280-1</f>
        <v>-9.5238095238095233E-2</v>
      </c>
      <c r="AK281" s="23"/>
      <c r="AL281" s="70">
        <f>AL280/AJ280-1</f>
        <v>0</v>
      </c>
      <c r="AM281" s="70">
        <f>AM280/AL280-1</f>
        <v>-2.6315789473684181E-2</v>
      </c>
      <c r="AN281" s="70">
        <f>AN280/AM280-1</f>
        <v>-5.4054054054054057E-2</v>
      </c>
      <c r="AO281" s="70">
        <f>AO280/AN280-1</f>
        <v>0</v>
      </c>
      <c r="AP281" s="23"/>
      <c r="AQ281" s="70">
        <f>AQ280/AO280-1</f>
        <v>-2.8571428571428581E-2</v>
      </c>
      <c r="AR281" s="70">
        <f>AR280/AQ280-1</f>
        <v>-2.9411764705882359E-2</v>
      </c>
      <c r="AS281" s="70">
        <f>AS280/AR280-1</f>
        <v>3.0303030303030276E-2</v>
      </c>
      <c r="AT281" s="70">
        <f>AT280/AS280-1</f>
        <v>-0.1470588235294118</v>
      </c>
      <c r="AU281" s="23"/>
      <c r="AV281" s="70">
        <f>AV280/AT280-1</f>
        <v>6.8965517241379226E-2</v>
      </c>
      <c r="AW281" s="70">
        <f>AW280/AV280-1</f>
        <v>-6.4516129032258118E-2</v>
      </c>
      <c r="AX281" s="70">
        <f>AX280/AW280-1</f>
        <v>6.8965517241379226E-2</v>
      </c>
      <c r="AY281" s="70">
        <f>AY280/AX280-1</f>
        <v>-0.12903225806451613</v>
      </c>
      <c r="AZ281" s="23"/>
      <c r="BA281" s="70">
        <v>3.7037037037036979E-2</v>
      </c>
      <c r="BB281" s="70">
        <v>-3.5714285714285698E-2</v>
      </c>
      <c r="BC281" s="70">
        <v>-7.407407407407407E-2</v>
      </c>
      <c r="BD281" s="70">
        <v>0.12000000000000011</v>
      </c>
      <c r="BE281" s="23"/>
      <c r="BF281" s="70">
        <v>-0.1071428571428571</v>
      </c>
      <c r="BG281" s="70">
        <v>-4.0000000000000036E-2</v>
      </c>
      <c r="BH281" s="70">
        <v>4.1666666666666741E-2</v>
      </c>
      <c r="BI281" s="70">
        <v>-7.999999999999996E-2</v>
      </c>
      <c r="BJ281" s="23"/>
      <c r="BK281" s="70">
        <v>8.6956521739130377E-2</v>
      </c>
    </row>
    <row r="282" spans="1:63" ht="12.75" customHeight="1">
      <c r="A282" s="69" t="s">
        <v>8</v>
      </c>
      <c r="B282" s="23"/>
      <c r="C282" s="71"/>
      <c r="D282" s="71"/>
      <c r="E282" s="71"/>
      <c r="F282" s="71"/>
      <c r="G282" s="23"/>
      <c r="H282" s="71"/>
      <c r="I282" s="71"/>
      <c r="J282" s="71"/>
      <c r="K282" s="71"/>
      <c r="L282" s="23"/>
      <c r="M282" s="71"/>
      <c r="N282" s="71"/>
      <c r="O282" s="71"/>
      <c r="P282" s="71"/>
      <c r="Q282" s="23">
        <f>Q280/L280-1</f>
        <v>-1.8369690011481032E-2</v>
      </c>
      <c r="R282" s="71"/>
      <c r="S282" s="71"/>
      <c r="T282" s="71"/>
      <c r="U282" s="71"/>
      <c r="V282" s="23">
        <f t="shared" ref="V282:AD282" si="522">V280/Q280-1</f>
        <v>-0.63274853801169595</v>
      </c>
      <c r="W282" s="71">
        <f t="shared" si="522"/>
        <v>-5.0632911392405111E-2</v>
      </c>
      <c r="X282" s="71">
        <f t="shared" si="522"/>
        <v>-7.6923076923076872E-2</v>
      </c>
      <c r="Y282" s="71">
        <f t="shared" si="522"/>
        <v>-0.11392405063291144</v>
      </c>
      <c r="Z282" s="71">
        <f t="shared" si="522"/>
        <v>-0.17948717948717952</v>
      </c>
      <c r="AA282" s="23">
        <f t="shared" si="522"/>
        <v>-0.10509554140127386</v>
      </c>
      <c r="AB282" s="71">
        <f t="shared" si="522"/>
        <v>-0.24</v>
      </c>
      <c r="AC282" s="71">
        <f t="shared" si="522"/>
        <v>-0.19444444444444442</v>
      </c>
      <c r="AD282" s="71">
        <f t="shared" si="522"/>
        <v>-0.2142857142857143</v>
      </c>
      <c r="AE282" s="71">
        <f t="shared" ref="AE282:AN282" si="523">AE280/Z280-1</f>
        <v>-0.21875</v>
      </c>
      <c r="AF282" s="23">
        <f t="shared" si="523"/>
        <v>-0.2170818505338078</v>
      </c>
      <c r="AG282" s="71">
        <f t="shared" si="523"/>
        <v>-0.26315789473684215</v>
      </c>
      <c r="AH282" s="71">
        <f t="shared" si="523"/>
        <v>-0.32758620689655171</v>
      </c>
      <c r="AI282" s="71">
        <f t="shared" si="523"/>
        <v>-0.23636363636363633</v>
      </c>
      <c r="AJ282" s="71">
        <f t="shared" si="523"/>
        <v>-0.24</v>
      </c>
      <c r="AK282" s="23">
        <f t="shared" si="523"/>
        <v>-0.26818181818181819</v>
      </c>
      <c r="AL282" s="71">
        <f t="shared" si="523"/>
        <v>-9.5238095238095233E-2</v>
      </c>
      <c r="AM282" s="71">
        <f t="shared" si="523"/>
        <v>-5.1282051282051322E-2</v>
      </c>
      <c r="AN282" s="71">
        <f t="shared" si="523"/>
        <v>-0.16666666666666663</v>
      </c>
      <c r="AO282" s="71">
        <f>AO280/AJ280-1</f>
        <v>-7.8947368421052655E-2</v>
      </c>
      <c r="AP282" s="23">
        <f>AP280/AK280-1</f>
        <v>-9.9378881987577605E-2</v>
      </c>
      <c r="AQ282" s="71">
        <f t="shared" ref="AQ282:AS282" si="524">AQ280/AL280-1</f>
        <v>-0.10526315789473684</v>
      </c>
      <c r="AR282" s="71">
        <f t="shared" si="524"/>
        <v>-0.10810810810810811</v>
      </c>
      <c r="AS282" s="71">
        <f t="shared" si="524"/>
        <v>-2.8571428571428581E-2</v>
      </c>
      <c r="AT282" s="71">
        <f>AT280/AO280-1</f>
        <v>-0.17142857142857137</v>
      </c>
      <c r="AU282" s="23">
        <f>AU280/AP280-1</f>
        <v>-0.10344827586206895</v>
      </c>
      <c r="AV282" s="71">
        <f t="shared" ref="AV282:AX282" si="525">AV280/AQ280-1</f>
        <v>-8.8235294117647078E-2</v>
      </c>
      <c r="AW282" s="71">
        <f t="shared" si="525"/>
        <v>-0.12121212121212122</v>
      </c>
      <c r="AX282" s="71">
        <f t="shared" si="525"/>
        <v>-8.8235294117647078E-2</v>
      </c>
      <c r="AY282" s="71">
        <f>AY280/AT280-1</f>
        <v>-6.8965517241379337E-2</v>
      </c>
      <c r="AZ282" s="23">
        <v>-9.2307692307692313E-2</v>
      </c>
      <c r="BA282" s="71">
        <v>-9.6774193548387122E-2</v>
      </c>
      <c r="BB282" s="71">
        <v>-6.8965517241379337E-2</v>
      </c>
      <c r="BC282" s="71">
        <v>-0.19354838709677424</v>
      </c>
      <c r="BD282" s="71">
        <v>3.7037037037036979E-2</v>
      </c>
      <c r="BE282" s="23">
        <v>-8.4745762711864403E-2</v>
      </c>
      <c r="BF282" s="71">
        <v>-0.1071428571428571</v>
      </c>
      <c r="BG282" s="71">
        <v>-0.11111111111111116</v>
      </c>
      <c r="BH282" s="71">
        <v>0</v>
      </c>
      <c r="BI282" s="71">
        <v>-0.1785714285714286</v>
      </c>
      <c r="BJ282" s="23">
        <v>-0.10185185185185186</v>
      </c>
      <c r="BK282" s="71">
        <v>0</v>
      </c>
    </row>
    <row r="283" spans="1:63" ht="12.75" customHeight="1">
      <c r="A283" s="67" t="s">
        <v>94</v>
      </c>
      <c r="B283" s="119" t="s">
        <v>40</v>
      </c>
      <c r="C283" s="78" t="s">
        <v>48</v>
      </c>
      <c r="D283" s="78" t="s">
        <v>48</v>
      </c>
      <c r="E283" s="78" t="s">
        <v>48</v>
      </c>
      <c r="F283" s="78" t="s">
        <v>48</v>
      </c>
      <c r="G283" s="119" t="s">
        <v>40</v>
      </c>
      <c r="H283" s="78" t="s">
        <v>48</v>
      </c>
      <c r="I283" s="78" t="s">
        <v>48</v>
      </c>
      <c r="J283" s="78" t="s">
        <v>48</v>
      </c>
      <c r="K283" s="78" t="s">
        <v>48</v>
      </c>
      <c r="L283" s="36">
        <v>218</v>
      </c>
      <c r="M283" s="78" t="s">
        <v>48</v>
      </c>
      <c r="N283" s="78" t="s">
        <v>48</v>
      </c>
      <c r="O283" s="78" t="s">
        <v>48</v>
      </c>
      <c r="P283" s="78" t="s">
        <v>48</v>
      </c>
      <c r="Q283" s="36">
        <v>196</v>
      </c>
      <c r="R283" s="68">
        <v>47</v>
      </c>
      <c r="S283" s="68">
        <v>42</v>
      </c>
      <c r="T283" s="68">
        <v>58</v>
      </c>
      <c r="U283" s="68">
        <f>V283-R283-S283-T283</f>
        <v>47</v>
      </c>
      <c r="V283" s="36">
        <v>194</v>
      </c>
      <c r="W283" s="68">
        <v>8</v>
      </c>
      <c r="X283" s="68">
        <v>42</v>
      </c>
      <c r="Y283" s="68">
        <v>54</v>
      </c>
      <c r="Z283" s="68">
        <f>AA283-W283-X283-Y283</f>
        <v>55</v>
      </c>
      <c r="AA283" s="36">
        <v>159</v>
      </c>
      <c r="AB283" s="68">
        <v>44</v>
      </c>
      <c r="AC283" s="68">
        <v>41</v>
      </c>
      <c r="AD283" s="68">
        <v>47</v>
      </c>
      <c r="AE283" s="68">
        <f>AF283-AB283-AC283-AD283</f>
        <v>54</v>
      </c>
      <c r="AF283" s="36">
        <v>186</v>
      </c>
      <c r="AG283" s="68">
        <v>48</v>
      </c>
      <c r="AH283" s="143">
        <v>52</v>
      </c>
      <c r="AI283" s="68">
        <v>59</v>
      </c>
      <c r="AJ283" s="68">
        <f>AK283-AG283-AH283-AI283</f>
        <v>54</v>
      </c>
      <c r="AK283" s="36">
        <v>213</v>
      </c>
      <c r="AL283" s="68">
        <v>47</v>
      </c>
      <c r="AM283" s="68">
        <v>48</v>
      </c>
      <c r="AN283" s="68">
        <v>49</v>
      </c>
      <c r="AO283" s="68">
        <f>AP283-AL283-AM283-AN283</f>
        <v>44</v>
      </c>
      <c r="AP283" s="36">
        <v>188</v>
      </c>
      <c r="AQ283" s="68">
        <v>43</v>
      </c>
      <c r="AR283" s="68">
        <v>44</v>
      </c>
      <c r="AS283" s="68">
        <v>55</v>
      </c>
      <c r="AT283" s="68">
        <f>AU283-AQ283-AR283-AS283</f>
        <v>53</v>
      </c>
      <c r="AU283" s="36">
        <v>195</v>
      </c>
      <c r="AV283" s="68">
        <v>42</v>
      </c>
      <c r="AW283" s="68">
        <v>44</v>
      </c>
      <c r="AX283" s="68">
        <v>54</v>
      </c>
      <c r="AY283" s="68">
        <f>AZ283-AV283-AW283-AX283</f>
        <v>48</v>
      </c>
      <c r="AZ283" s="36">
        <v>188</v>
      </c>
      <c r="BA283" s="68">
        <v>40</v>
      </c>
      <c r="BB283" s="68">
        <v>49</v>
      </c>
      <c r="BC283" s="68">
        <v>42</v>
      </c>
      <c r="BD283" s="68">
        <v>52</v>
      </c>
      <c r="BE283" s="36">
        <v>183</v>
      </c>
      <c r="BF283" s="68">
        <v>39</v>
      </c>
      <c r="BG283" s="68">
        <v>34</v>
      </c>
      <c r="BH283" s="68">
        <v>37</v>
      </c>
      <c r="BI283" s="68">
        <v>36</v>
      </c>
      <c r="BJ283" s="36">
        <v>146</v>
      </c>
      <c r="BK283" s="68">
        <v>39</v>
      </c>
    </row>
    <row r="284" spans="1:63" ht="12.75" customHeight="1">
      <c r="A284" s="69" t="s">
        <v>7</v>
      </c>
      <c r="B284" s="23"/>
      <c r="C284" s="70"/>
      <c r="D284" s="70"/>
      <c r="E284" s="70"/>
      <c r="F284" s="70"/>
      <c r="G284" s="23"/>
      <c r="H284" s="70"/>
      <c r="I284" s="70"/>
      <c r="J284" s="70"/>
      <c r="K284" s="70"/>
      <c r="L284" s="23"/>
      <c r="M284" s="70"/>
      <c r="N284" s="70"/>
      <c r="O284" s="70"/>
      <c r="P284" s="70"/>
      <c r="Q284" s="23"/>
      <c r="R284" s="70"/>
      <c r="S284" s="70">
        <f>S283/R283-1</f>
        <v>-0.1063829787234043</v>
      </c>
      <c r="T284" s="70">
        <f>T283/S283-1</f>
        <v>0.38095238095238093</v>
      </c>
      <c r="U284" s="70">
        <f>U283/T283-1</f>
        <v>-0.18965517241379315</v>
      </c>
      <c r="V284" s="23"/>
      <c r="W284" s="70">
        <f>W283/U283-1</f>
        <v>-0.82978723404255317</v>
      </c>
      <c r="X284" s="70">
        <f>X283/W283-1</f>
        <v>4.25</v>
      </c>
      <c r="Y284" s="70">
        <f>Y283/X283-1</f>
        <v>0.28571428571428581</v>
      </c>
      <c r="Z284" s="70">
        <f>Z283/Y283-1</f>
        <v>1.8518518518518601E-2</v>
      </c>
      <c r="AA284" s="23"/>
      <c r="AB284" s="70">
        <f>AB283/Z283-1</f>
        <v>-0.19999999999999996</v>
      </c>
      <c r="AC284" s="70">
        <f>AC283/AB283-1</f>
        <v>-6.8181818181818232E-2</v>
      </c>
      <c r="AD284" s="70">
        <f>AD283/AC283-1</f>
        <v>0.14634146341463405</v>
      </c>
      <c r="AE284" s="70">
        <f>AE283/AD283-1</f>
        <v>0.14893617021276606</v>
      </c>
      <c r="AF284" s="23"/>
      <c r="AG284" s="70">
        <f>AG283/AE283-1</f>
        <v>-0.11111111111111116</v>
      </c>
      <c r="AH284" s="70">
        <f>AH283/AG283-1</f>
        <v>8.3333333333333259E-2</v>
      </c>
      <c r="AI284" s="70">
        <f>AI283/AH283-1</f>
        <v>0.13461538461538458</v>
      </c>
      <c r="AJ284" s="70">
        <f>AJ283/AI283-1</f>
        <v>-8.4745762711864403E-2</v>
      </c>
      <c r="AK284" s="23"/>
      <c r="AL284" s="70">
        <f>AL283/AJ283-1</f>
        <v>-0.12962962962962965</v>
      </c>
      <c r="AM284" s="70">
        <f>AM283/AL283-1</f>
        <v>2.1276595744680771E-2</v>
      </c>
      <c r="AN284" s="70">
        <f>AN283/AM283-1</f>
        <v>2.0833333333333259E-2</v>
      </c>
      <c r="AO284" s="70">
        <f>AO283/AN283-1</f>
        <v>-0.10204081632653061</v>
      </c>
      <c r="AP284" s="23"/>
      <c r="AQ284" s="70">
        <f>AQ283/AO283-1</f>
        <v>-2.2727272727272707E-2</v>
      </c>
      <c r="AR284" s="70">
        <f>AR283/AQ283-1</f>
        <v>2.3255813953488413E-2</v>
      </c>
      <c r="AS284" s="70">
        <f>AS283/AR283-1</f>
        <v>0.25</v>
      </c>
      <c r="AT284" s="70">
        <f>AT283/AS283-1</f>
        <v>-3.6363636363636376E-2</v>
      </c>
      <c r="AU284" s="23"/>
      <c r="AV284" s="70">
        <f>AV283/AT283-1</f>
        <v>-0.20754716981132071</v>
      </c>
      <c r="AW284" s="70">
        <f>AW283/AV283-1</f>
        <v>4.7619047619047672E-2</v>
      </c>
      <c r="AX284" s="70">
        <f>AX283/AW283-1</f>
        <v>0.22727272727272729</v>
      </c>
      <c r="AY284" s="70">
        <f>AY283/AX283-1</f>
        <v>-0.11111111111111116</v>
      </c>
      <c r="AZ284" s="23"/>
      <c r="BA284" s="70">
        <v>-0.16666666666666663</v>
      </c>
      <c r="BB284" s="70">
        <v>0.22500000000000009</v>
      </c>
      <c r="BC284" s="70">
        <v>-0.1428571428571429</v>
      </c>
      <c r="BD284" s="70">
        <v>0.23809523809523814</v>
      </c>
      <c r="BE284" s="23"/>
      <c r="BF284" s="70">
        <v>-0.25</v>
      </c>
      <c r="BG284" s="70">
        <v>-0.12820512820512819</v>
      </c>
      <c r="BH284" s="70">
        <v>8.8235294117646967E-2</v>
      </c>
      <c r="BI284" s="70">
        <v>-2.7027027027026973E-2</v>
      </c>
      <c r="BJ284" s="23"/>
      <c r="BK284" s="70">
        <v>8.3333333333333259E-2</v>
      </c>
    </row>
    <row r="285" spans="1:63" ht="12.75" customHeight="1">
      <c r="A285" s="69" t="s">
        <v>8</v>
      </c>
      <c r="B285" s="23"/>
      <c r="C285" s="71"/>
      <c r="D285" s="71"/>
      <c r="E285" s="71"/>
      <c r="F285" s="71"/>
      <c r="G285" s="23"/>
      <c r="H285" s="71"/>
      <c r="I285" s="71"/>
      <c r="J285" s="71"/>
      <c r="K285" s="71"/>
      <c r="L285" s="23"/>
      <c r="M285" s="71"/>
      <c r="N285" s="71"/>
      <c r="O285" s="71"/>
      <c r="P285" s="71"/>
      <c r="Q285" s="23">
        <f>Q283/L283-1</f>
        <v>-0.1009174311926605</v>
      </c>
      <c r="R285" s="71"/>
      <c r="S285" s="71"/>
      <c r="T285" s="71"/>
      <c r="U285" s="71"/>
      <c r="V285" s="23">
        <f t="shared" ref="V285:AD285" si="526">V283/Q283-1</f>
        <v>-1.0204081632653073E-2</v>
      </c>
      <c r="W285" s="71">
        <f t="shared" si="526"/>
        <v>-0.82978723404255317</v>
      </c>
      <c r="X285" s="71">
        <f t="shared" si="526"/>
        <v>0</v>
      </c>
      <c r="Y285" s="71">
        <f t="shared" si="526"/>
        <v>-6.8965517241379337E-2</v>
      </c>
      <c r="Z285" s="71">
        <f t="shared" si="526"/>
        <v>0.17021276595744683</v>
      </c>
      <c r="AA285" s="23">
        <f t="shared" si="526"/>
        <v>-0.18041237113402064</v>
      </c>
      <c r="AB285" s="71">
        <f t="shared" si="526"/>
        <v>4.5</v>
      </c>
      <c r="AC285" s="71">
        <f t="shared" si="526"/>
        <v>-2.3809523809523836E-2</v>
      </c>
      <c r="AD285" s="71">
        <f t="shared" si="526"/>
        <v>-0.12962962962962965</v>
      </c>
      <c r="AE285" s="71">
        <f t="shared" ref="AE285:AN285" si="527">AE283/Z283-1</f>
        <v>-1.8181818181818188E-2</v>
      </c>
      <c r="AF285" s="23">
        <f t="shared" si="527"/>
        <v>0.16981132075471694</v>
      </c>
      <c r="AG285" s="71">
        <f t="shared" si="527"/>
        <v>9.0909090909090828E-2</v>
      </c>
      <c r="AH285" s="71">
        <f t="shared" si="527"/>
        <v>0.26829268292682928</v>
      </c>
      <c r="AI285" s="71">
        <f t="shared" si="527"/>
        <v>0.25531914893617014</v>
      </c>
      <c r="AJ285" s="71">
        <f t="shared" si="527"/>
        <v>0</v>
      </c>
      <c r="AK285" s="23">
        <f t="shared" si="527"/>
        <v>0.14516129032258074</v>
      </c>
      <c r="AL285" s="71">
        <f t="shared" si="527"/>
        <v>-2.083333333333337E-2</v>
      </c>
      <c r="AM285" s="71">
        <f t="shared" si="527"/>
        <v>-7.6923076923076872E-2</v>
      </c>
      <c r="AN285" s="71">
        <f t="shared" si="527"/>
        <v>-0.16949152542372881</v>
      </c>
      <c r="AO285" s="71">
        <f>AO283/AJ283-1</f>
        <v>-0.18518518518518523</v>
      </c>
      <c r="AP285" s="23">
        <f>AP283/AK283-1</f>
        <v>-0.11737089201877937</v>
      </c>
      <c r="AQ285" s="71">
        <f t="shared" ref="AQ285:AS285" si="528">AQ283/AL283-1</f>
        <v>-8.5106382978723416E-2</v>
      </c>
      <c r="AR285" s="71">
        <f t="shared" si="528"/>
        <v>-8.333333333333337E-2</v>
      </c>
      <c r="AS285" s="71">
        <f t="shared" si="528"/>
        <v>0.12244897959183665</v>
      </c>
      <c r="AT285" s="71">
        <f>AT283/AO283-1</f>
        <v>0.20454545454545459</v>
      </c>
      <c r="AU285" s="23">
        <f>AU283/AP283-1</f>
        <v>3.7234042553191404E-2</v>
      </c>
      <c r="AV285" s="71">
        <f t="shared" ref="AV285:AX285" si="529">AV283/AQ283-1</f>
        <v>-2.3255813953488413E-2</v>
      </c>
      <c r="AW285" s="71">
        <f t="shared" si="529"/>
        <v>0</v>
      </c>
      <c r="AX285" s="71">
        <f t="shared" si="529"/>
        <v>-1.8181818181818188E-2</v>
      </c>
      <c r="AY285" s="71">
        <f>AY283/AT283-1</f>
        <v>-9.4339622641509413E-2</v>
      </c>
      <c r="AZ285" s="23">
        <v>-3.5897435897435881E-2</v>
      </c>
      <c r="BA285" s="71">
        <v>-4.7619047619047672E-2</v>
      </c>
      <c r="BB285" s="71">
        <v>0.11363636363636354</v>
      </c>
      <c r="BC285" s="71">
        <v>-0.22222222222222221</v>
      </c>
      <c r="BD285" s="71">
        <v>8.3333333333333259E-2</v>
      </c>
      <c r="BE285" s="23">
        <v>-2.6595744680851019E-2</v>
      </c>
      <c r="BF285" s="71">
        <v>-2.5000000000000022E-2</v>
      </c>
      <c r="BG285" s="71">
        <v>-0.30612244897959184</v>
      </c>
      <c r="BH285" s="71">
        <v>-0.11904761904761907</v>
      </c>
      <c r="BI285" s="71">
        <v>-0.30769230769230771</v>
      </c>
      <c r="BJ285" s="23">
        <v>-0.20218579234972678</v>
      </c>
      <c r="BK285" s="71">
        <v>0</v>
      </c>
    </row>
    <row r="286" spans="1:63" ht="12.75" customHeight="1">
      <c r="A286" s="67" t="s">
        <v>84</v>
      </c>
      <c r="B286" s="119" t="s">
        <v>40</v>
      </c>
      <c r="C286" s="78" t="s">
        <v>48</v>
      </c>
      <c r="D286" s="78" t="s">
        <v>48</v>
      </c>
      <c r="E286" s="78" t="s">
        <v>48</v>
      </c>
      <c r="F286" s="78" t="s">
        <v>48</v>
      </c>
      <c r="G286" s="119" t="s">
        <v>40</v>
      </c>
      <c r="H286" s="78" t="s">
        <v>48</v>
      </c>
      <c r="I286" s="78" t="s">
        <v>48</v>
      </c>
      <c r="J286" s="78" t="s">
        <v>48</v>
      </c>
      <c r="K286" s="78" t="s">
        <v>48</v>
      </c>
      <c r="L286" s="36">
        <v>80</v>
      </c>
      <c r="M286" s="78" t="s">
        <v>48</v>
      </c>
      <c r="N286" s="78" t="s">
        <v>48</v>
      </c>
      <c r="O286" s="78" t="s">
        <v>48</v>
      </c>
      <c r="P286" s="78" t="s">
        <v>48</v>
      </c>
      <c r="Q286" s="36">
        <v>88</v>
      </c>
      <c r="R286" s="68">
        <v>22</v>
      </c>
      <c r="S286" s="68">
        <v>17</v>
      </c>
      <c r="T286" s="68">
        <v>23</v>
      </c>
      <c r="U286" s="68">
        <f>V286-R286-S286-T286</f>
        <v>27</v>
      </c>
      <c r="V286" s="36">
        <v>89</v>
      </c>
      <c r="W286" s="68">
        <v>24</v>
      </c>
      <c r="X286" s="68">
        <v>27</v>
      </c>
      <c r="Y286" s="68">
        <v>28</v>
      </c>
      <c r="Z286" s="68">
        <f>AA286-W286-X286-Y286</f>
        <v>32</v>
      </c>
      <c r="AA286" s="36">
        <v>111</v>
      </c>
      <c r="AB286" s="68">
        <v>27</v>
      </c>
      <c r="AC286" s="68">
        <v>23</v>
      </c>
      <c r="AD286" s="68">
        <v>22</v>
      </c>
      <c r="AE286" s="68">
        <f>AF286-AB286-AC286-AD286</f>
        <v>18</v>
      </c>
      <c r="AF286" s="36">
        <v>90</v>
      </c>
      <c r="AG286" s="68">
        <v>12</v>
      </c>
      <c r="AH286" s="68">
        <v>10</v>
      </c>
      <c r="AI286" s="68">
        <v>11</v>
      </c>
      <c r="AJ286" s="68">
        <f>AK286-AG286-AH286-AI286</f>
        <v>16</v>
      </c>
      <c r="AK286" s="36">
        <v>49</v>
      </c>
      <c r="AL286" s="68">
        <v>11</v>
      </c>
      <c r="AM286" s="68">
        <v>11</v>
      </c>
      <c r="AN286" s="68">
        <v>10</v>
      </c>
      <c r="AO286" s="68">
        <f>AP286-AL286-AM286-AN286</f>
        <v>16</v>
      </c>
      <c r="AP286" s="36">
        <v>48</v>
      </c>
      <c r="AQ286" s="68">
        <v>12</v>
      </c>
      <c r="AR286" s="68">
        <v>12</v>
      </c>
      <c r="AS286" s="68">
        <v>11</v>
      </c>
      <c r="AT286" s="68">
        <f>AU286-AQ286-AR286-AS286</f>
        <v>12</v>
      </c>
      <c r="AU286" s="36">
        <v>47</v>
      </c>
      <c r="AV286" s="68">
        <v>10</v>
      </c>
      <c r="AW286" s="68">
        <v>12</v>
      </c>
      <c r="AX286" s="68">
        <v>12</v>
      </c>
      <c r="AY286" s="68">
        <f>AZ286-AV286-AW286-AX286</f>
        <v>10</v>
      </c>
      <c r="AZ286" s="36">
        <v>44</v>
      </c>
      <c r="BA286" s="68">
        <v>11</v>
      </c>
      <c r="BB286" s="68">
        <v>10</v>
      </c>
      <c r="BC286" s="68">
        <v>9</v>
      </c>
      <c r="BD286" s="68">
        <v>12</v>
      </c>
      <c r="BE286" s="36">
        <v>42</v>
      </c>
      <c r="BF286" s="68">
        <v>18</v>
      </c>
      <c r="BG286" s="68">
        <v>17</v>
      </c>
      <c r="BH286" s="68">
        <v>17</v>
      </c>
      <c r="BI286" s="68">
        <v>21</v>
      </c>
      <c r="BJ286" s="36">
        <v>73</v>
      </c>
      <c r="BK286" s="68">
        <v>20</v>
      </c>
    </row>
    <row r="287" spans="1:63" ht="12.75" customHeight="1">
      <c r="A287" s="69" t="s">
        <v>7</v>
      </c>
      <c r="B287" s="23"/>
      <c r="C287" s="70"/>
      <c r="D287" s="70"/>
      <c r="E287" s="70"/>
      <c r="F287" s="70"/>
      <c r="G287" s="23"/>
      <c r="H287" s="70"/>
      <c r="I287" s="70"/>
      <c r="J287" s="70"/>
      <c r="K287" s="70"/>
      <c r="L287" s="23"/>
      <c r="M287" s="70"/>
      <c r="N287" s="70"/>
      <c r="O287" s="70"/>
      <c r="P287" s="70"/>
      <c r="Q287" s="23"/>
      <c r="R287" s="70"/>
      <c r="S287" s="70">
        <f>S286/R286-1</f>
        <v>-0.22727272727272729</v>
      </c>
      <c r="T287" s="70">
        <f>T286/S286-1</f>
        <v>0.35294117647058831</v>
      </c>
      <c r="U287" s="70">
        <f>U286/T286-1</f>
        <v>0.17391304347826098</v>
      </c>
      <c r="V287" s="23"/>
      <c r="W287" s="70">
        <f>W286/U286-1</f>
        <v>-0.11111111111111116</v>
      </c>
      <c r="X287" s="70">
        <f>X286/W286-1</f>
        <v>0.125</v>
      </c>
      <c r="Y287" s="70">
        <f>Y286/X286-1</f>
        <v>3.7037037037036979E-2</v>
      </c>
      <c r="Z287" s="70">
        <f>Z286/Y286-1</f>
        <v>0.14285714285714279</v>
      </c>
      <c r="AA287" s="23"/>
      <c r="AB287" s="70">
        <f>AB286/Z286-1</f>
        <v>-0.15625</v>
      </c>
      <c r="AC287" s="70">
        <f>AC286/AB286-1</f>
        <v>-0.14814814814814814</v>
      </c>
      <c r="AD287" s="70">
        <f>AD286/AC286-1</f>
        <v>-4.3478260869565188E-2</v>
      </c>
      <c r="AE287" s="70">
        <f>AE286/AD286-1</f>
        <v>-0.18181818181818177</v>
      </c>
      <c r="AF287" s="23"/>
      <c r="AG287" s="70">
        <f>AG286/AE286-1</f>
        <v>-0.33333333333333337</v>
      </c>
      <c r="AH287" s="70">
        <f>AH286/AG286-1</f>
        <v>-0.16666666666666663</v>
      </c>
      <c r="AI287" s="70">
        <f>AI286/AH286-1</f>
        <v>0.10000000000000009</v>
      </c>
      <c r="AJ287" s="70">
        <f>AJ286/AI286-1</f>
        <v>0.45454545454545459</v>
      </c>
      <c r="AK287" s="23"/>
      <c r="AL287" s="70">
        <f>AL286/AJ286-1</f>
        <v>-0.3125</v>
      </c>
      <c r="AM287" s="70">
        <f>AM286/AL286-1</f>
        <v>0</v>
      </c>
      <c r="AN287" s="70">
        <f>AN286/AM286-1</f>
        <v>-9.0909090909090939E-2</v>
      </c>
      <c r="AO287" s="70">
        <f>AO286/AN286-1</f>
        <v>0.60000000000000009</v>
      </c>
      <c r="AP287" s="23"/>
      <c r="AQ287" s="70">
        <f>AQ286/AO286-1</f>
        <v>-0.25</v>
      </c>
      <c r="AR287" s="70">
        <f>AR286/AQ286-1</f>
        <v>0</v>
      </c>
      <c r="AS287" s="70">
        <f>AS286/AR286-1</f>
        <v>-8.333333333333337E-2</v>
      </c>
      <c r="AT287" s="70">
        <f>AT286/AS286-1</f>
        <v>9.0909090909090828E-2</v>
      </c>
      <c r="AU287" s="23"/>
      <c r="AV287" s="70">
        <f>AV286/AT286-1</f>
        <v>-0.16666666666666663</v>
      </c>
      <c r="AW287" s="70">
        <f>AW286/AV286-1</f>
        <v>0.19999999999999996</v>
      </c>
      <c r="AX287" s="70">
        <f>AX286/AW286-1</f>
        <v>0</v>
      </c>
      <c r="AY287" s="70">
        <f>AY286/AX286-1</f>
        <v>-0.16666666666666663</v>
      </c>
      <c r="AZ287" s="23"/>
      <c r="BA287" s="70">
        <v>0.10000000000000009</v>
      </c>
      <c r="BB287" s="70">
        <v>-9.0909090909090939E-2</v>
      </c>
      <c r="BC287" s="70">
        <v>-9.9999999999999978E-2</v>
      </c>
      <c r="BD287" s="70">
        <v>0.33333333333333326</v>
      </c>
      <c r="BE287" s="23"/>
      <c r="BF287" s="70">
        <v>0.5</v>
      </c>
      <c r="BG287" s="70">
        <v>-5.555555555555558E-2</v>
      </c>
      <c r="BH287" s="70">
        <v>0</v>
      </c>
      <c r="BI287" s="70">
        <v>0.23529411764705888</v>
      </c>
      <c r="BJ287" s="23"/>
      <c r="BK287" s="70">
        <v>-4.7619047619047672E-2</v>
      </c>
    </row>
    <row r="288" spans="1:63" ht="12.75" customHeight="1">
      <c r="A288" s="69" t="s">
        <v>8</v>
      </c>
      <c r="B288" s="23"/>
      <c r="C288" s="71"/>
      <c r="D288" s="71"/>
      <c r="E288" s="71"/>
      <c r="F288" s="71"/>
      <c r="G288" s="23"/>
      <c r="H288" s="71"/>
      <c r="I288" s="71"/>
      <c r="J288" s="71"/>
      <c r="K288" s="71"/>
      <c r="L288" s="23"/>
      <c r="M288" s="71"/>
      <c r="N288" s="71"/>
      <c r="O288" s="71"/>
      <c r="P288" s="71"/>
      <c r="Q288" s="23">
        <f>Q286/L286-1</f>
        <v>0.10000000000000009</v>
      </c>
      <c r="R288" s="71"/>
      <c r="S288" s="71"/>
      <c r="T288" s="71"/>
      <c r="U288" s="71"/>
      <c r="V288" s="23">
        <f t="shared" ref="V288:AD288" si="530">V286/Q286-1</f>
        <v>1.1363636363636465E-2</v>
      </c>
      <c r="W288" s="71">
        <f t="shared" si="530"/>
        <v>9.0909090909090828E-2</v>
      </c>
      <c r="X288" s="71">
        <f t="shared" si="530"/>
        <v>0.58823529411764697</v>
      </c>
      <c r="Y288" s="71">
        <f t="shared" si="530"/>
        <v>0.21739130434782616</v>
      </c>
      <c r="Z288" s="71">
        <f t="shared" si="530"/>
        <v>0.18518518518518512</v>
      </c>
      <c r="AA288" s="23">
        <f t="shared" si="530"/>
        <v>0.24719101123595499</v>
      </c>
      <c r="AB288" s="71">
        <f t="shared" si="530"/>
        <v>0.125</v>
      </c>
      <c r="AC288" s="71">
        <f t="shared" si="530"/>
        <v>-0.14814814814814814</v>
      </c>
      <c r="AD288" s="71">
        <f t="shared" si="530"/>
        <v>-0.2142857142857143</v>
      </c>
      <c r="AE288" s="71">
        <f t="shared" ref="AE288:AN288" si="531">AE286/Z286-1</f>
        <v>-0.4375</v>
      </c>
      <c r="AF288" s="23">
        <f t="shared" si="531"/>
        <v>-0.18918918918918914</v>
      </c>
      <c r="AG288" s="71">
        <f t="shared" si="531"/>
        <v>-0.55555555555555558</v>
      </c>
      <c r="AH288" s="71">
        <f t="shared" si="531"/>
        <v>-0.56521739130434789</v>
      </c>
      <c r="AI288" s="71">
        <f t="shared" si="531"/>
        <v>-0.5</v>
      </c>
      <c r="AJ288" s="71">
        <f t="shared" si="531"/>
        <v>-0.11111111111111116</v>
      </c>
      <c r="AK288" s="23">
        <f t="shared" si="531"/>
        <v>-0.4555555555555556</v>
      </c>
      <c r="AL288" s="71">
        <f t="shared" si="531"/>
        <v>-8.333333333333337E-2</v>
      </c>
      <c r="AM288" s="71">
        <f t="shared" si="531"/>
        <v>0.10000000000000009</v>
      </c>
      <c r="AN288" s="71">
        <f t="shared" si="531"/>
        <v>-9.0909090909090939E-2</v>
      </c>
      <c r="AO288" s="71">
        <f>AO286/AJ286-1</f>
        <v>0</v>
      </c>
      <c r="AP288" s="23">
        <f>AP286/AK286-1</f>
        <v>-2.0408163265306145E-2</v>
      </c>
      <c r="AQ288" s="71">
        <f t="shared" ref="AQ288:AS288" si="532">AQ286/AL286-1</f>
        <v>9.0909090909090828E-2</v>
      </c>
      <c r="AR288" s="71">
        <f t="shared" si="532"/>
        <v>9.0909090909090828E-2</v>
      </c>
      <c r="AS288" s="71">
        <f t="shared" si="532"/>
        <v>0.10000000000000009</v>
      </c>
      <c r="AT288" s="71">
        <f>AT286/AO286-1</f>
        <v>-0.25</v>
      </c>
      <c r="AU288" s="23">
        <f>AU286/AP286-1</f>
        <v>-2.083333333333337E-2</v>
      </c>
      <c r="AV288" s="71">
        <f t="shared" ref="AV288:AX288" si="533">AV286/AQ286-1</f>
        <v>-0.16666666666666663</v>
      </c>
      <c r="AW288" s="71">
        <f t="shared" si="533"/>
        <v>0</v>
      </c>
      <c r="AX288" s="71">
        <f t="shared" si="533"/>
        <v>9.0909090909090828E-2</v>
      </c>
      <c r="AY288" s="71">
        <f>AY286/AT286-1</f>
        <v>-0.16666666666666663</v>
      </c>
      <c r="AZ288" s="23">
        <v>-6.3829787234042534E-2</v>
      </c>
      <c r="BA288" s="71">
        <v>0.10000000000000009</v>
      </c>
      <c r="BB288" s="71">
        <v>-0.16666666666666663</v>
      </c>
      <c r="BC288" s="71">
        <v>-0.25</v>
      </c>
      <c r="BD288" s="71">
        <v>0.19999999999999996</v>
      </c>
      <c r="BE288" s="23">
        <v>-4.5454545454545414E-2</v>
      </c>
      <c r="BF288" s="71">
        <v>0.63636363636363646</v>
      </c>
      <c r="BG288" s="71">
        <v>0.7</v>
      </c>
      <c r="BH288" s="71">
        <v>0.88888888888888884</v>
      </c>
      <c r="BI288" s="71">
        <v>0.75</v>
      </c>
      <c r="BJ288" s="23">
        <v>0.73809523809523814</v>
      </c>
      <c r="BK288" s="71">
        <v>0.11111111111111116</v>
      </c>
    </row>
    <row r="289" spans="1:63" ht="12.75" customHeight="1">
      <c r="A289" s="67" t="s">
        <v>86</v>
      </c>
      <c r="B289" s="119" t="s">
        <v>40</v>
      </c>
      <c r="C289" s="78" t="s">
        <v>48</v>
      </c>
      <c r="D289" s="78" t="s">
        <v>48</v>
      </c>
      <c r="E289" s="78" t="s">
        <v>48</v>
      </c>
      <c r="F289" s="78" t="s">
        <v>48</v>
      </c>
      <c r="G289" s="119" t="s">
        <v>40</v>
      </c>
      <c r="H289" s="78" t="s">
        <v>48</v>
      </c>
      <c r="I289" s="78" t="s">
        <v>48</v>
      </c>
      <c r="J289" s="78" t="s">
        <v>48</v>
      </c>
      <c r="K289" s="78" t="s">
        <v>48</v>
      </c>
      <c r="L289" s="36">
        <v>96</v>
      </c>
      <c r="M289" s="78" t="s">
        <v>48</v>
      </c>
      <c r="N289" s="78" t="s">
        <v>48</v>
      </c>
      <c r="O289" s="78" t="s">
        <v>48</v>
      </c>
      <c r="P289" s="78" t="s">
        <v>48</v>
      </c>
      <c r="Q289" s="36">
        <v>76</v>
      </c>
      <c r="R289" s="68">
        <v>20</v>
      </c>
      <c r="S289" s="68">
        <v>18</v>
      </c>
      <c r="T289" s="68">
        <v>17</v>
      </c>
      <c r="U289" s="68">
        <f>V289-R289-S289-T289</f>
        <v>21</v>
      </c>
      <c r="V289" s="36">
        <v>76</v>
      </c>
      <c r="W289" s="68">
        <v>20</v>
      </c>
      <c r="X289" s="68">
        <v>19</v>
      </c>
      <c r="Y289" s="68">
        <v>15</v>
      </c>
      <c r="Z289" s="68">
        <f>AA289-W289-X289-Y289</f>
        <v>19</v>
      </c>
      <c r="AA289" s="36">
        <v>73</v>
      </c>
      <c r="AB289" s="68">
        <v>16</v>
      </c>
      <c r="AC289" s="68">
        <v>16</v>
      </c>
      <c r="AD289" s="68">
        <v>15</v>
      </c>
      <c r="AE289" s="143">
        <f>AF289-AB289-AC289-AD289</f>
        <v>17</v>
      </c>
      <c r="AF289" s="36">
        <v>64</v>
      </c>
      <c r="AG289" s="68">
        <v>16</v>
      </c>
      <c r="AH289" s="68">
        <v>15</v>
      </c>
      <c r="AI289" s="68">
        <v>14</v>
      </c>
      <c r="AJ289" s="143">
        <f>AK289-AG289-AH289-AI289</f>
        <v>16</v>
      </c>
      <c r="AK289" s="36">
        <v>61</v>
      </c>
      <c r="AL289" s="68">
        <v>16</v>
      </c>
      <c r="AM289" s="68">
        <v>14</v>
      </c>
      <c r="AN289" s="68">
        <v>17</v>
      </c>
      <c r="AO289" s="143">
        <f>AP289-AL289-AM289-AN289</f>
        <v>13</v>
      </c>
      <c r="AP289" s="36">
        <v>60</v>
      </c>
      <c r="AQ289" s="68">
        <v>17</v>
      </c>
      <c r="AR289" s="68">
        <v>17</v>
      </c>
      <c r="AS289" s="68">
        <v>16</v>
      </c>
      <c r="AT289" s="143">
        <f>AU289-AQ289-AR289-AS289</f>
        <v>22</v>
      </c>
      <c r="AU289" s="36">
        <v>72</v>
      </c>
      <c r="AV289" s="68">
        <v>17</v>
      </c>
      <c r="AW289" s="68">
        <v>19</v>
      </c>
      <c r="AX289" s="68">
        <v>19</v>
      </c>
      <c r="AY289" s="143">
        <f>AZ289-AV289-AW289-AX289</f>
        <v>18</v>
      </c>
      <c r="AZ289" s="36">
        <v>73</v>
      </c>
      <c r="BA289" s="68">
        <v>20</v>
      </c>
      <c r="BB289" s="68">
        <v>20</v>
      </c>
      <c r="BC289" s="68">
        <v>20</v>
      </c>
      <c r="BD289" s="143">
        <v>23</v>
      </c>
      <c r="BE289" s="36">
        <v>83</v>
      </c>
      <c r="BF289" s="68">
        <v>18</v>
      </c>
      <c r="BG289" s="68">
        <v>19</v>
      </c>
      <c r="BH289" s="68">
        <v>21</v>
      </c>
      <c r="BI289" s="143">
        <v>24</v>
      </c>
      <c r="BJ289" s="36">
        <v>82</v>
      </c>
      <c r="BK289" s="68">
        <v>21</v>
      </c>
    </row>
    <row r="290" spans="1:63" ht="12.75" customHeight="1">
      <c r="A290" s="69" t="s">
        <v>7</v>
      </c>
      <c r="B290" s="23"/>
      <c r="C290" s="70"/>
      <c r="D290" s="70"/>
      <c r="E290" s="70"/>
      <c r="F290" s="70"/>
      <c r="G290" s="23"/>
      <c r="H290" s="70"/>
      <c r="I290" s="70"/>
      <c r="J290" s="70"/>
      <c r="K290" s="70"/>
      <c r="L290" s="23"/>
      <c r="M290" s="70"/>
      <c r="N290" s="70"/>
      <c r="O290" s="70"/>
      <c r="P290" s="70"/>
      <c r="Q290" s="23"/>
      <c r="R290" s="70"/>
      <c r="S290" s="70">
        <f>S289/R289-1</f>
        <v>-9.9999999999999978E-2</v>
      </c>
      <c r="T290" s="70">
        <f>T289/S289-1</f>
        <v>-5.555555555555558E-2</v>
      </c>
      <c r="U290" s="70">
        <f>U289/T289-1</f>
        <v>0.23529411764705888</v>
      </c>
      <c r="V290" s="23"/>
      <c r="W290" s="70">
        <f>W289/U289-1</f>
        <v>-4.7619047619047672E-2</v>
      </c>
      <c r="X290" s="70">
        <f>X289/W289-1</f>
        <v>-5.0000000000000044E-2</v>
      </c>
      <c r="Y290" s="70">
        <f>Y289/X289-1</f>
        <v>-0.21052631578947367</v>
      </c>
      <c r="Z290" s="70">
        <f>Z289/Y289-1</f>
        <v>0.26666666666666661</v>
      </c>
      <c r="AA290" s="23"/>
      <c r="AB290" s="70">
        <f>AB289/Z289-1</f>
        <v>-0.15789473684210531</v>
      </c>
      <c r="AC290" s="70">
        <f>AC289/AB289-1</f>
        <v>0</v>
      </c>
      <c r="AD290" s="70">
        <f>AD289/AC289-1</f>
        <v>-6.25E-2</v>
      </c>
      <c r="AE290" s="70">
        <f>AE289/AD289-1</f>
        <v>0.1333333333333333</v>
      </c>
      <c r="AF290" s="23"/>
      <c r="AG290" s="70">
        <f>AG289/AE289-1</f>
        <v>-5.8823529411764719E-2</v>
      </c>
      <c r="AH290" s="70">
        <f>AH289/AG289-1</f>
        <v>-6.25E-2</v>
      </c>
      <c r="AI290" s="70">
        <f>AI289/AH289-1</f>
        <v>-6.6666666666666652E-2</v>
      </c>
      <c r="AJ290" s="70">
        <f>AJ289/AI289-1</f>
        <v>0.14285714285714279</v>
      </c>
      <c r="AK290" s="23"/>
      <c r="AL290" s="70">
        <f>AL289/AJ289-1</f>
        <v>0</v>
      </c>
      <c r="AM290" s="70">
        <f>AM289/AL289-1</f>
        <v>-0.125</v>
      </c>
      <c r="AN290" s="70">
        <f>AN289/AM289-1</f>
        <v>0.21428571428571419</v>
      </c>
      <c r="AO290" s="70">
        <f>AO289/AN289-1</f>
        <v>-0.23529411764705888</v>
      </c>
      <c r="AP290" s="23"/>
      <c r="AQ290" s="70">
        <f>AQ289/AO289-1</f>
        <v>0.30769230769230771</v>
      </c>
      <c r="AR290" s="70">
        <f>AR289/AQ289-1</f>
        <v>0</v>
      </c>
      <c r="AS290" s="70">
        <f>AS289/AR289-1</f>
        <v>-5.8823529411764719E-2</v>
      </c>
      <c r="AT290" s="70">
        <f>AT289/AS289-1</f>
        <v>0.375</v>
      </c>
      <c r="AU290" s="23"/>
      <c r="AV290" s="70">
        <f>AV289/AT289-1</f>
        <v>-0.22727272727272729</v>
      </c>
      <c r="AW290" s="70">
        <f>AW289/AV289-1</f>
        <v>0.11764705882352944</v>
      </c>
      <c r="AX290" s="70">
        <f>AX289/AW289-1</f>
        <v>0</v>
      </c>
      <c r="AY290" s="70">
        <f>AY289/AX289-1</f>
        <v>-5.2631578947368474E-2</v>
      </c>
      <c r="AZ290" s="23"/>
      <c r="BA290" s="70">
        <v>0.11111111111111116</v>
      </c>
      <c r="BB290" s="70">
        <v>0</v>
      </c>
      <c r="BC290" s="70">
        <v>0</v>
      </c>
      <c r="BD290" s="70">
        <v>0.14999999999999991</v>
      </c>
      <c r="BE290" s="23"/>
      <c r="BF290" s="70">
        <v>-0.21739130434782605</v>
      </c>
      <c r="BG290" s="70">
        <v>5.555555555555558E-2</v>
      </c>
      <c r="BH290" s="70">
        <v>0.10526315789473695</v>
      </c>
      <c r="BI290" s="70">
        <v>0.14285714285714279</v>
      </c>
      <c r="BJ290" s="23"/>
      <c r="BK290" s="70">
        <v>-0.125</v>
      </c>
    </row>
    <row r="291" spans="1:63" ht="12.75" customHeight="1">
      <c r="A291" s="69" t="s">
        <v>8</v>
      </c>
      <c r="B291" s="23"/>
      <c r="C291" s="71"/>
      <c r="D291" s="71"/>
      <c r="E291" s="71"/>
      <c r="F291" s="71"/>
      <c r="G291" s="23"/>
      <c r="H291" s="71"/>
      <c r="I291" s="71"/>
      <c r="J291" s="71"/>
      <c r="K291" s="71"/>
      <c r="L291" s="23"/>
      <c r="M291" s="71"/>
      <c r="N291" s="71"/>
      <c r="O291" s="71"/>
      <c r="P291" s="71"/>
      <c r="Q291" s="23">
        <f>Q289/L289-1</f>
        <v>-0.20833333333333337</v>
      </c>
      <c r="R291" s="71"/>
      <c r="S291" s="71"/>
      <c r="T291" s="71"/>
      <c r="U291" s="71"/>
      <c r="V291" s="23">
        <f t="shared" ref="V291:AD291" si="534">V289/Q289-1</f>
        <v>0</v>
      </c>
      <c r="W291" s="71">
        <f t="shared" si="534"/>
        <v>0</v>
      </c>
      <c r="X291" s="71">
        <f t="shared" si="534"/>
        <v>5.555555555555558E-2</v>
      </c>
      <c r="Y291" s="71">
        <f t="shared" si="534"/>
        <v>-0.11764705882352944</v>
      </c>
      <c r="Z291" s="71">
        <f t="shared" si="534"/>
        <v>-9.5238095238095233E-2</v>
      </c>
      <c r="AA291" s="23">
        <f t="shared" si="534"/>
        <v>-3.9473684210526327E-2</v>
      </c>
      <c r="AB291" s="71">
        <f t="shared" si="534"/>
        <v>-0.19999999999999996</v>
      </c>
      <c r="AC291" s="71">
        <f t="shared" si="534"/>
        <v>-0.15789473684210531</v>
      </c>
      <c r="AD291" s="71">
        <f t="shared" si="534"/>
        <v>0</v>
      </c>
      <c r="AE291" s="71">
        <f t="shared" ref="AE291:AN291" si="535">AE289/Z289-1</f>
        <v>-0.10526315789473684</v>
      </c>
      <c r="AF291" s="23">
        <f t="shared" si="535"/>
        <v>-0.12328767123287676</v>
      </c>
      <c r="AG291" s="71">
        <f t="shared" si="535"/>
        <v>0</v>
      </c>
      <c r="AH291" s="71">
        <f t="shared" si="535"/>
        <v>-6.25E-2</v>
      </c>
      <c r="AI291" s="71">
        <f t="shared" si="535"/>
        <v>-6.6666666666666652E-2</v>
      </c>
      <c r="AJ291" s="71">
        <f t="shared" si="535"/>
        <v>-5.8823529411764719E-2</v>
      </c>
      <c r="AK291" s="23">
        <f t="shared" si="535"/>
        <v>-4.6875E-2</v>
      </c>
      <c r="AL291" s="71">
        <f t="shared" si="535"/>
        <v>0</v>
      </c>
      <c r="AM291" s="71">
        <f t="shared" si="535"/>
        <v>-6.6666666666666652E-2</v>
      </c>
      <c r="AN291" s="71">
        <f t="shared" si="535"/>
        <v>0.21428571428571419</v>
      </c>
      <c r="AO291" s="71">
        <f>AO289/AJ289-1</f>
        <v>-0.1875</v>
      </c>
      <c r="AP291" s="23">
        <f>AP289/AK289-1</f>
        <v>-1.6393442622950838E-2</v>
      </c>
      <c r="AQ291" s="71">
        <f t="shared" ref="AQ291:AS291" si="536">AQ289/AL289-1</f>
        <v>6.25E-2</v>
      </c>
      <c r="AR291" s="71">
        <f t="shared" si="536"/>
        <v>0.21428571428571419</v>
      </c>
      <c r="AS291" s="71">
        <f t="shared" si="536"/>
        <v>-5.8823529411764719E-2</v>
      </c>
      <c r="AT291" s="71">
        <f>AT289/AO289-1</f>
        <v>0.69230769230769229</v>
      </c>
      <c r="AU291" s="23">
        <f>AU289/AP289-1</f>
        <v>0.19999999999999996</v>
      </c>
      <c r="AV291" s="71">
        <f t="shared" ref="AV291:AX291" si="537">AV289/AQ289-1</f>
        <v>0</v>
      </c>
      <c r="AW291" s="71">
        <f t="shared" si="537"/>
        <v>0.11764705882352944</v>
      </c>
      <c r="AX291" s="71">
        <f t="shared" si="537"/>
        <v>0.1875</v>
      </c>
      <c r="AY291" s="71">
        <f>AY289/AT289-1</f>
        <v>-0.18181818181818177</v>
      </c>
      <c r="AZ291" s="23">
        <v>1.388888888888884E-2</v>
      </c>
      <c r="BA291" s="71">
        <v>0.17647058823529416</v>
      </c>
      <c r="BB291" s="71">
        <v>5.2631578947368363E-2</v>
      </c>
      <c r="BC291" s="71">
        <v>5.2631578947368363E-2</v>
      </c>
      <c r="BD291" s="71">
        <v>0.27777777777777768</v>
      </c>
      <c r="BE291" s="23">
        <v>0.13698630136986312</v>
      </c>
      <c r="BF291" s="71">
        <v>-9.9999999999999978E-2</v>
      </c>
      <c r="BG291" s="71">
        <v>-5.0000000000000044E-2</v>
      </c>
      <c r="BH291" s="71">
        <v>5.0000000000000044E-2</v>
      </c>
      <c r="BI291" s="71">
        <v>4.3478260869565188E-2</v>
      </c>
      <c r="BJ291" s="23">
        <v>-1.2048192771084376E-2</v>
      </c>
      <c r="BK291" s="71">
        <v>0.16666666666666674</v>
      </c>
    </row>
    <row r="292" spans="1:63" ht="12.75" customHeight="1">
      <c r="A292" s="67" t="s">
        <v>87</v>
      </c>
      <c r="B292" s="119" t="s">
        <v>40</v>
      </c>
      <c r="C292" s="78" t="s">
        <v>48</v>
      </c>
      <c r="D292" s="78" t="s">
        <v>48</v>
      </c>
      <c r="E292" s="78" t="s">
        <v>48</v>
      </c>
      <c r="F292" s="78" t="s">
        <v>48</v>
      </c>
      <c r="G292" s="119" t="s">
        <v>40</v>
      </c>
      <c r="H292" s="78" t="s">
        <v>48</v>
      </c>
      <c r="I292" s="78" t="s">
        <v>48</v>
      </c>
      <c r="J292" s="78" t="s">
        <v>48</v>
      </c>
      <c r="K292" s="78" t="s">
        <v>48</v>
      </c>
      <c r="L292" s="36">
        <v>96</v>
      </c>
      <c r="M292" s="78" t="s">
        <v>48</v>
      </c>
      <c r="N292" s="78" t="s">
        <v>48</v>
      </c>
      <c r="O292" s="78" t="s">
        <v>48</v>
      </c>
      <c r="P292" s="78" t="s">
        <v>48</v>
      </c>
      <c r="Q292" s="36">
        <v>101</v>
      </c>
      <c r="R292" s="68">
        <v>21</v>
      </c>
      <c r="S292" s="68">
        <v>20</v>
      </c>
      <c r="T292" s="68">
        <v>22</v>
      </c>
      <c r="U292" s="68">
        <f>V292-R292-S292-T292</f>
        <v>15</v>
      </c>
      <c r="V292" s="36">
        <v>78</v>
      </c>
      <c r="W292" s="68">
        <v>19</v>
      </c>
      <c r="X292" s="68">
        <v>18</v>
      </c>
      <c r="Y292" s="68">
        <v>25</v>
      </c>
      <c r="Z292" s="68">
        <f>AA292-W292-X292-Y292</f>
        <v>21</v>
      </c>
      <c r="AA292" s="36">
        <v>83</v>
      </c>
      <c r="AB292" s="68">
        <v>20</v>
      </c>
      <c r="AC292" s="68">
        <v>19</v>
      </c>
      <c r="AD292" s="68">
        <v>18</v>
      </c>
      <c r="AE292" s="68">
        <f>AF292-AB292-AC292-AD292</f>
        <v>19</v>
      </c>
      <c r="AF292" s="36">
        <v>76</v>
      </c>
      <c r="AG292" s="68">
        <v>17</v>
      </c>
      <c r="AH292" s="68">
        <v>19</v>
      </c>
      <c r="AI292" s="68">
        <v>20</v>
      </c>
      <c r="AJ292" s="68">
        <f>AK292-AG292-AH292-AI292</f>
        <v>20</v>
      </c>
      <c r="AK292" s="36">
        <v>76</v>
      </c>
      <c r="AL292" s="68">
        <v>17</v>
      </c>
      <c r="AM292" s="68">
        <v>19</v>
      </c>
      <c r="AN292" s="68">
        <v>21</v>
      </c>
      <c r="AO292" s="68">
        <f>AP292-AL292-AM292-AN292</f>
        <v>21</v>
      </c>
      <c r="AP292" s="36">
        <v>78</v>
      </c>
      <c r="AQ292" s="68">
        <v>17</v>
      </c>
      <c r="AR292" s="68">
        <v>18</v>
      </c>
      <c r="AS292" s="68">
        <v>18</v>
      </c>
      <c r="AT292" s="68">
        <f>AU292-AQ292-AR292-AS292</f>
        <v>19</v>
      </c>
      <c r="AU292" s="36">
        <v>72</v>
      </c>
      <c r="AV292" s="68">
        <v>18</v>
      </c>
      <c r="AW292" s="68">
        <v>17</v>
      </c>
      <c r="AX292" s="68">
        <v>18</v>
      </c>
      <c r="AY292" s="68">
        <f>AZ292-AV292-AW292-AX292</f>
        <v>16</v>
      </c>
      <c r="AZ292" s="36">
        <v>69</v>
      </c>
      <c r="BA292" s="68">
        <v>7</v>
      </c>
      <c r="BB292" s="68">
        <v>8</v>
      </c>
      <c r="BC292" s="68">
        <v>9</v>
      </c>
      <c r="BD292" s="68">
        <v>13</v>
      </c>
      <c r="BE292" s="36">
        <v>37</v>
      </c>
      <c r="BF292" s="68">
        <v>8</v>
      </c>
      <c r="BG292" s="68">
        <v>9</v>
      </c>
      <c r="BH292" s="68">
        <v>9</v>
      </c>
      <c r="BI292" s="68">
        <v>9</v>
      </c>
      <c r="BJ292" s="36">
        <v>35</v>
      </c>
      <c r="BK292" s="68">
        <v>7</v>
      </c>
    </row>
    <row r="293" spans="1:63" ht="12.75" customHeight="1">
      <c r="A293" s="69" t="s">
        <v>7</v>
      </c>
      <c r="B293" s="23"/>
      <c r="C293" s="70"/>
      <c r="D293" s="70"/>
      <c r="E293" s="70"/>
      <c r="F293" s="70"/>
      <c r="G293" s="23"/>
      <c r="H293" s="70"/>
      <c r="I293" s="70"/>
      <c r="J293" s="70"/>
      <c r="K293" s="70"/>
      <c r="L293" s="23"/>
      <c r="M293" s="70"/>
      <c r="N293" s="70"/>
      <c r="O293" s="70"/>
      <c r="P293" s="70"/>
      <c r="Q293" s="23"/>
      <c r="R293" s="70"/>
      <c r="S293" s="70">
        <f>S292/R292-1</f>
        <v>-4.7619047619047672E-2</v>
      </c>
      <c r="T293" s="70">
        <f>T292/S292-1</f>
        <v>0.10000000000000009</v>
      </c>
      <c r="U293" s="70">
        <f>U292/T292-1</f>
        <v>-0.31818181818181823</v>
      </c>
      <c r="V293" s="23"/>
      <c r="W293" s="70">
        <f>W292/U292-1</f>
        <v>0.26666666666666661</v>
      </c>
      <c r="X293" s="70">
        <f>X292/W292-1</f>
        <v>-5.2631578947368474E-2</v>
      </c>
      <c r="Y293" s="70">
        <f>Y292/X292-1</f>
        <v>0.38888888888888884</v>
      </c>
      <c r="Z293" s="70">
        <f>Z292/Y292-1</f>
        <v>-0.16000000000000003</v>
      </c>
      <c r="AA293" s="23"/>
      <c r="AB293" s="70">
        <f>AB292/Z292-1</f>
        <v>-4.7619047619047672E-2</v>
      </c>
      <c r="AC293" s="70">
        <f>AC292/AB292-1</f>
        <v>-5.0000000000000044E-2</v>
      </c>
      <c r="AD293" s="70">
        <f>AD292/AC292-1</f>
        <v>-5.2631578947368474E-2</v>
      </c>
      <c r="AE293" s="70">
        <f>AE292/AD292-1</f>
        <v>5.555555555555558E-2</v>
      </c>
      <c r="AF293" s="23"/>
      <c r="AG293" s="70">
        <f>AG292/AE292-1</f>
        <v>-0.10526315789473684</v>
      </c>
      <c r="AH293" s="70">
        <f>AH292/AG292-1</f>
        <v>0.11764705882352944</v>
      </c>
      <c r="AI293" s="70">
        <f>AI292/AH292-1</f>
        <v>5.2631578947368363E-2</v>
      </c>
      <c r="AJ293" s="70">
        <f>AJ292/AI292-1</f>
        <v>0</v>
      </c>
      <c r="AK293" s="23"/>
      <c r="AL293" s="70">
        <f>AL292/AJ292-1</f>
        <v>-0.15000000000000002</v>
      </c>
      <c r="AM293" s="70">
        <f>AM292/AL292-1</f>
        <v>0.11764705882352944</v>
      </c>
      <c r="AN293" s="70">
        <f>AN292/AM292-1</f>
        <v>0.10526315789473695</v>
      </c>
      <c r="AO293" s="70">
        <f>AO292/AN292-1</f>
        <v>0</v>
      </c>
      <c r="AP293" s="23"/>
      <c r="AQ293" s="70">
        <f>AQ292/AO292-1</f>
        <v>-0.19047619047619047</v>
      </c>
      <c r="AR293" s="70">
        <f>AR292/AQ292-1</f>
        <v>5.8823529411764719E-2</v>
      </c>
      <c r="AS293" s="70">
        <f>AS292/AR292-1</f>
        <v>0</v>
      </c>
      <c r="AT293" s="70">
        <f>AT292/AS292-1</f>
        <v>5.555555555555558E-2</v>
      </c>
      <c r="AU293" s="23"/>
      <c r="AV293" s="70">
        <f>AV292/AT292-1</f>
        <v>-5.2631578947368474E-2</v>
      </c>
      <c r="AW293" s="70">
        <f>AW292/AV292-1</f>
        <v>-5.555555555555558E-2</v>
      </c>
      <c r="AX293" s="70">
        <f>AX292/AW292-1</f>
        <v>5.8823529411764719E-2</v>
      </c>
      <c r="AY293" s="70">
        <f>AY292/AX292-1</f>
        <v>-0.11111111111111116</v>
      </c>
      <c r="AZ293" s="23"/>
      <c r="BA293" s="70">
        <v>-0.5625</v>
      </c>
      <c r="BB293" s="70">
        <v>0.14285714285714279</v>
      </c>
      <c r="BC293" s="70">
        <v>0.125</v>
      </c>
      <c r="BD293" s="70">
        <v>0.44444444444444442</v>
      </c>
      <c r="BE293" s="23"/>
      <c r="BF293" s="70">
        <v>-0.38461538461538458</v>
      </c>
      <c r="BG293" s="70">
        <v>0.125</v>
      </c>
      <c r="BH293" s="70">
        <v>0</v>
      </c>
      <c r="BI293" s="70">
        <v>0</v>
      </c>
      <c r="BJ293" s="23"/>
      <c r="BK293" s="70">
        <v>-0.22222222222222221</v>
      </c>
    </row>
    <row r="294" spans="1:63" ht="12.75" customHeight="1">
      <c r="A294" s="69" t="s">
        <v>8</v>
      </c>
      <c r="B294" s="23"/>
      <c r="C294" s="71"/>
      <c r="D294" s="71"/>
      <c r="E294" s="71"/>
      <c r="F294" s="71"/>
      <c r="G294" s="23"/>
      <c r="H294" s="71"/>
      <c r="I294" s="71"/>
      <c r="J294" s="71"/>
      <c r="K294" s="71"/>
      <c r="L294" s="23"/>
      <c r="M294" s="71"/>
      <c r="N294" s="71"/>
      <c r="O294" s="71"/>
      <c r="P294" s="71"/>
      <c r="Q294" s="23">
        <f>Q292/L292-1</f>
        <v>5.2083333333333259E-2</v>
      </c>
      <c r="R294" s="71"/>
      <c r="S294" s="71"/>
      <c r="T294" s="71"/>
      <c r="U294" s="71"/>
      <c r="V294" s="23">
        <f t="shared" ref="V294:AY294" si="538">V292/Q292-1</f>
        <v>-0.2277227722772277</v>
      </c>
      <c r="W294" s="71">
        <f t="shared" si="538"/>
        <v>-9.5238095238095233E-2</v>
      </c>
      <c r="X294" s="71">
        <f t="shared" si="538"/>
        <v>-9.9999999999999978E-2</v>
      </c>
      <c r="Y294" s="71">
        <f t="shared" si="538"/>
        <v>0.13636363636363646</v>
      </c>
      <c r="Z294" s="71">
        <f t="shared" si="538"/>
        <v>0.39999999999999991</v>
      </c>
      <c r="AA294" s="23">
        <f t="shared" si="538"/>
        <v>6.4102564102564097E-2</v>
      </c>
      <c r="AB294" s="71">
        <f t="shared" si="538"/>
        <v>5.2631578947368363E-2</v>
      </c>
      <c r="AC294" s="71">
        <f t="shared" si="538"/>
        <v>5.555555555555558E-2</v>
      </c>
      <c r="AD294" s="71">
        <f t="shared" si="538"/>
        <v>-0.28000000000000003</v>
      </c>
      <c r="AE294" s="71">
        <f t="shared" si="538"/>
        <v>-9.5238095238095233E-2</v>
      </c>
      <c r="AF294" s="23">
        <f t="shared" si="538"/>
        <v>-8.4337349397590411E-2</v>
      </c>
      <c r="AG294" s="71">
        <f t="shared" si="538"/>
        <v>-0.15000000000000002</v>
      </c>
      <c r="AH294" s="71">
        <f t="shared" si="538"/>
        <v>0</v>
      </c>
      <c r="AI294" s="71">
        <f t="shared" si="538"/>
        <v>0.11111111111111116</v>
      </c>
      <c r="AJ294" s="71">
        <f t="shared" si="538"/>
        <v>5.2631578947368363E-2</v>
      </c>
      <c r="AK294" s="23">
        <f t="shared" si="538"/>
        <v>0</v>
      </c>
      <c r="AL294" s="71">
        <f t="shared" si="538"/>
        <v>0</v>
      </c>
      <c r="AM294" s="71">
        <f t="shared" si="538"/>
        <v>0</v>
      </c>
      <c r="AN294" s="71">
        <f t="shared" si="538"/>
        <v>5.0000000000000044E-2</v>
      </c>
      <c r="AO294" s="71">
        <f t="shared" si="538"/>
        <v>5.0000000000000044E-2</v>
      </c>
      <c r="AP294" s="23">
        <f t="shared" si="538"/>
        <v>2.6315789473684292E-2</v>
      </c>
      <c r="AQ294" s="71">
        <f t="shared" si="538"/>
        <v>0</v>
      </c>
      <c r="AR294" s="71">
        <f t="shared" si="538"/>
        <v>-5.2631578947368474E-2</v>
      </c>
      <c r="AS294" s="71">
        <f t="shared" si="538"/>
        <v>-0.1428571428571429</v>
      </c>
      <c r="AT294" s="71">
        <f t="shared" si="538"/>
        <v>-9.5238095238095233E-2</v>
      </c>
      <c r="AU294" s="23">
        <f t="shared" si="538"/>
        <v>-7.6923076923076872E-2</v>
      </c>
      <c r="AV294" s="71">
        <f t="shared" si="538"/>
        <v>5.8823529411764719E-2</v>
      </c>
      <c r="AW294" s="71">
        <f t="shared" si="538"/>
        <v>-5.555555555555558E-2</v>
      </c>
      <c r="AX294" s="71">
        <f t="shared" si="538"/>
        <v>0</v>
      </c>
      <c r="AY294" s="71">
        <f t="shared" si="538"/>
        <v>-0.15789473684210531</v>
      </c>
      <c r="AZ294" s="23">
        <v>-4.166666666666663E-2</v>
      </c>
      <c r="BA294" s="71">
        <v>-0.61111111111111116</v>
      </c>
      <c r="BB294" s="71">
        <v>-0.52941176470588236</v>
      </c>
      <c r="BC294" s="71">
        <v>-0.5</v>
      </c>
      <c r="BD294" s="71">
        <v>-0.1875</v>
      </c>
      <c r="BE294" s="23">
        <v>-0.46376811594202894</v>
      </c>
      <c r="BF294" s="71">
        <v>0.14285714285714279</v>
      </c>
      <c r="BG294" s="71">
        <v>0.125</v>
      </c>
      <c r="BH294" s="71">
        <v>0</v>
      </c>
      <c r="BI294" s="71">
        <v>-0.30769230769230771</v>
      </c>
      <c r="BJ294" s="23">
        <v>-5.4054054054054057E-2</v>
      </c>
      <c r="BK294" s="71">
        <v>-0.125</v>
      </c>
    </row>
    <row r="295" spans="1:63" ht="12.75" hidden="1" customHeight="1">
      <c r="A295" s="67" t="s">
        <v>135</v>
      </c>
      <c r="B295" s="119" t="s">
        <v>40</v>
      </c>
      <c r="C295" s="78" t="s">
        <v>48</v>
      </c>
      <c r="D295" s="78" t="s">
        <v>48</v>
      </c>
      <c r="E295" s="78" t="s">
        <v>48</v>
      </c>
      <c r="F295" s="78" t="s">
        <v>48</v>
      </c>
      <c r="G295" s="119" t="s">
        <v>40</v>
      </c>
      <c r="H295" s="78" t="s">
        <v>48</v>
      </c>
      <c r="I295" s="78" t="s">
        <v>48</v>
      </c>
      <c r="J295" s="78" t="s">
        <v>48</v>
      </c>
      <c r="K295" s="78" t="s">
        <v>48</v>
      </c>
      <c r="L295" s="36">
        <v>51</v>
      </c>
      <c r="M295" s="78" t="s">
        <v>48</v>
      </c>
      <c r="N295" s="78" t="s">
        <v>48</v>
      </c>
      <c r="O295" s="78" t="s">
        <v>48</v>
      </c>
      <c r="P295" s="78" t="s">
        <v>48</v>
      </c>
      <c r="Q295" s="36">
        <v>53</v>
      </c>
      <c r="R295" s="68">
        <v>20</v>
      </c>
      <c r="S295" s="68">
        <v>18</v>
      </c>
      <c r="T295" s="68">
        <v>20</v>
      </c>
      <c r="U295" s="68">
        <f>V295-R295-S295-T295</f>
        <v>18</v>
      </c>
      <c r="V295" s="36">
        <v>76</v>
      </c>
      <c r="W295" s="68">
        <v>28</v>
      </c>
      <c r="X295" s="68">
        <v>26</v>
      </c>
      <c r="Y295" s="68">
        <v>16</v>
      </c>
      <c r="Z295" s="68">
        <f>AA295-W295-X295-Y295</f>
        <v>11</v>
      </c>
      <c r="AA295" s="36">
        <v>81</v>
      </c>
      <c r="AB295" s="68">
        <v>7</v>
      </c>
      <c r="AC295" s="68">
        <v>6</v>
      </c>
      <c r="AD295" s="68">
        <v>6</v>
      </c>
      <c r="AE295" s="68">
        <f>AF295-AB295-AC295-AD295</f>
        <v>7</v>
      </c>
      <c r="AF295" s="36">
        <v>26</v>
      </c>
      <c r="AG295" s="68">
        <v>0</v>
      </c>
      <c r="AH295" s="74">
        <v>0</v>
      </c>
      <c r="AI295" s="74">
        <v>0</v>
      </c>
      <c r="AJ295" s="74">
        <v>0</v>
      </c>
      <c r="AK295" s="61"/>
      <c r="AL295" s="74"/>
      <c r="AM295" s="74"/>
      <c r="AN295" s="74"/>
      <c r="AO295" s="74"/>
      <c r="AP295" s="61"/>
      <c r="AQ295" s="74"/>
      <c r="AR295" s="74"/>
      <c r="AS295" s="74"/>
      <c r="AT295" s="74"/>
      <c r="AU295" s="61"/>
      <c r="AV295" s="74"/>
      <c r="AW295" s="74"/>
      <c r="AX295" s="74"/>
      <c r="AY295" s="74"/>
      <c r="AZ295" s="61"/>
      <c r="BA295" s="74"/>
      <c r="BB295" s="74"/>
      <c r="BC295" s="74"/>
      <c r="BD295" s="74"/>
      <c r="BE295" s="61"/>
      <c r="BF295" s="74"/>
      <c r="BG295" s="74"/>
      <c r="BH295" s="74"/>
      <c r="BI295" s="74"/>
      <c r="BJ295" s="61"/>
      <c r="BK295" s="74"/>
    </row>
    <row r="296" spans="1:63" ht="12.75" hidden="1" customHeight="1">
      <c r="A296" s="69" t="s">
        <v>7</v>
      </c>
      <c r="B296" s="23"/>
      <c r="C296" s="70"/>
      <c r="D296" s="70"/>
      <c r="E296" s="70"/>
      <c r="F296" s="70"/>
      <c r="G296" s="23"/>
      <c r="H296" s="70"/>
      <c r="I296" s="70"/>
      <c r="J296" s="70"/>
      <c r="K296" s="70"/>
      <c r="L296" s="23"/>
      <c r="M296" s="70"/>
      <c r="N296" s="70"/>
      <c r="O296" s="70"/>
      <c r="P296" s="70"/>
      <c r="Q296" s="23"/>
      <c r="R296" s="70"/>
      <c r="S296" s="70">
        <f>S295/R295-1</f>
        <v>-9.9999999999999978E-2</v>
      </c>
      <c r="T296" s="70">
        <f>T295/S295-1</f>
        <v>0.11111111111111116</v>
      </c>
      <c r="U296" s="70">
        <f>U295/T295-1</f>
        <v>-9.9999999999999978E-2</v>
      </c>
      <c r="V296" s="23"/>
      <c r="W296" s="70">
        <f>W295/U295-1</f>
        <v>0.55555555555555558</v>
      </c>
      <c r="X296" s="70">
        <f>X295/W295-1</f>
        <v>-7.1428571428571397E-2</v>
      </c>
      <c r="Y296" s="70">
        <f>Y295/X295-1</f>
        <v>-0.38461538461538458</v>
      </c>
      <c r="Z296" s="70">
        <f>Z295/Y295-1</f>
        <v>-0.3125</v>
      </c>
      <c r="AA296" s="23"/>
      <c r="AB296" s="70">
        <f>AB295/Z295-1</f>
        <v>-0.36363636363636365</v>
      </c>
      <c r="AC296" s="70">
        <f>AC295/AB295-1</f>
        <v>-0.1428571428571429</v>
      </c>
      <c r="AD296" s="70">
        <f>AD295/AC295-1</f>
        <v>0</v>
      </c>
      <c r="AE296" s="70">
        <f>AE295/AD295-1</f>
        <v>0.16666666666666674</v>
      </c>
      <c r="AF296" s="23"/>
      <c r="AG296" s="83" t="s">
        <v>39</v>
      </c>
      <c r="AH296" s="83" t="s">
        <v>39</v>
      </c>
      <c r="AI296" s="83" t="s">
        <v>39</v>
      </c>
      <c r="AJ296" s="83" t="s">
        <v>39</v>
      </c>
      <c r="AK296" s="23"/>
      <c r="AL296" s="83"/>
      <c r="AM296" s="83"/>
      <c r="AN296" s="83"/>
      <c r="AO296" s="83"/>
      <c r="AP296" s="23"/>
      <c r="AQ296" s="83"/>
      <c r="AR296" s="83"/>
      <c r="AS296" s="83"/>
      <c r="AT296" s="83"/>
      <c r="AU296" s="23"/>
      <c r="AV296" s="83"/>
      <c r="AW296" s="83"/>
      <c r="AX296" s="83"/>
      <c r="AY296" s="83"/>
      <c r="AZ296" s="23"/>
      <c r="BA296" s="83"/>
      <c r="BB296" s="83"/>
      <c r="BC296" s="83"/>
      <c r="BD296" s="83"/>
      <c r="BE296" s="23"/>
      <c r="BF296" s="83"/>
      <c r="BG296" s="83"/>
      <c r="BH296" s="83"/>
      <c r="BI296" s="83"/>
      <c r="BJ296" s="23"/>
      <c r="BK296" s="83"/>
    </row>
    <row r="297" spans="1:63" ht="11.65" hidden="1" customHeight="1">
      <c r="A297" s="69" t="s">
        <v>8</v>
      </c>
      <c r="B297" s="23"/>
      <c r="C297" s="71"/>
      <c r="D297" s="71"/>
      <c r="E297" s="71"/>
      <c r="F297" s="71"/>
      <c r="G297" s="23"/>
      <c r="H297" s="71"/>
      <c r="I297" s="71"/>
      <c r="J297" s="71"/>
      <c r="K297" s="71"/>
      <c r="L297" s="23"/>
      <c r="M297" s="71"/>
      <c r="N297" s="71"/>
      <c r="O297" s="71"/>
      <c r="P297" s="71"/>
      <c r="Q297" s="23">
        <f>Q295/L295-1</f>
        <v>3.9215686274509887E-2</v>
      </c>
      <c r="R297" s="71"/>
      <c r="S297" s="71"/>
      <c r="T297" s="71"/>
      <c r="U297" s="71"/>
      <c r="V297" s="23">
        <f t="shared" ref="V297:AD297" si="539">V295/Q295-1</f>
        <v>0.4339622641509433</v>
      </c>
      <c r="W297" s="71">
        <f t="shared" si="539"/>
        <v>0.39999999999999991</v>
      </c>
      <c r="X297" s="71">
        <f t="shared" si="539"/>
        <v>0.44444444444444442</v>
      </c>
      <c r="Y297" s="71">
        <f t="shared" si="539"/>
        <v>-0.19999999999999996</v>
      </c>
      <c r="Z297" s="71">
        <f t="shared" si="539"/>
        <v>-0.38888888888888884</v>
      </c>
      <c r="AA297" s="23">
        <f t="shared" si="539"/>
        <v>6.578947368421062E-2</v>
      </c>
      <c r="AB297" s="71">
        <f t="shared" si="539"/>
        <v>-0.75</v>
      </c>
      <c r="AC297" s="71">
        <f t="shared" si="539"/>
        <v>-0.76923076923076916</v>
      </c>
      <c r="AD297" s="71">
        <f t="shared" si="539"/>
        <v>-0.625</v>
      </c>
      <c r="AE297" s="71">
        <f>AE295/Z295-1</f>
        <v>-0.36363636363636365</v>
      </c>
      <c r="AF297" s="23">
        <f>AF295/AA295-1</f>
        <v>-0.67901234567901236</v>
      </c>
      <c r="AG297" s="83" t="s">
        <v>39</v>
      </c>
      <c r="AH297" s="83" t="s">
        <v>39</v>
      </c>
      <c r="AI297" s="83" t="s">
        <v>39</v>
      </c>
      <c r="AJ297" s="83" t="s">
        <v>39</v>
      </c>
      <c r="AK297" s="90"/>
      <c r="AL297" s="83"/>
      <c r="AM297" s="83"/>
      <c r="AN297" s="83"/>
      <c r="AO297" s="83"/>
      <c r="AP297" s="90"/>
      <c r="AQ297" s="83"/>
      <c r="AR297" s="83"/>
      <c r="AS297" s="83"/>
      <c r="AT297" s="83"/>
      <c r="AU297" s="90"/>
      <c r="AV297" s="83"/>
      <c r="AW297" s="83"/>
      <c r="AX297" s="83"/>
      <c r="AY297" s="83"/>
      <c r="AZ297" s="90"/>
      <c r="BA297" s="83"/>
      <c r="BB297" s="83"/>
      <c r="BC297" s="83"/>
      <c r="BD297" s="83"/>
      <c r="BE297" s="90"/>
      <c r="BF297" s="83"/>
      <c r="BG297" s="83"/>
      <c r="BH297" s="83"/>
      <c r="BI297" s="83"/>
      <c r="BJ297" s="90"/>
      <c r="BK297" s="83"/>
    </row>
    <row r="298" spans="1:63" ht="6" customHeight="1">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c r="BF298" s="53"/>
      <c r="BG298" s="53"/>
      <c r="BH298" s="53"/>
      <c r="BI298" s="53"/>
      <c r="BJ298" s="53"/>
      <c r="BK298" s="53"/>
    </row>
    <row r="299" spans="1:63" ht="20.25">
      <c r="A299" s="34" t="s">
        <v>3</v>
      </c>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row>
    <row r="300" spans="1:63">
      <c r="A300" s="39" t="s">
        <v>77</v>
      </c>
      <c r="B300" s="40"/>
      <c r="C300" s="41"/>
      <c r="D300" s="41"/>
      <c r="E300" s="41"/>
      <c r="F300" s="41"/>
      <c r="G300" s="40"/>
      <c r="H300" s="41"/>
      <c r="I300" s="41"/>
      <c r="J300" s="41"/>
      <c r="K300" s="41"/>
      <c r="L300" s="40"/>
      <c r="M300" s="41"/>
      <c r="N300" s="41"/>
      <c r="O300" s="41"/>
      <c r="P300" s="41"/>
      <c r="Q300" s="40"/>
      <c r="R300" s="41"/>
      <c r="S300" s="41"/>
      <c r="T300" s="41"/>
      <c r="U300" s="41"/>
      <c r="V300" s="40"/>
      <c r="W300" s="41"/>
      <c r="X300" s="41"/>
      <c r="Y300" s="41"/>
      <c r="Z300" s="41"/>
      <c r="AA300" s="40"/>
      <c r="AB300" s="41"/>
      <c r="AC300" s="41"/>
      <c r="AD300" s="41"/>
      <c r="AE300" s="41"/>
      <c r="AF300" s="40"/>
      <c r="AG300" s="41"/>
      <c r="AH300" s="41"/>
      <c r="AI300" s="41"/>
      <c r="AJ300" s="41"/>
      <c r="AK300" s="40"/>
      <c r="AL300" s="41"/>
      <c r="AM300" s="41"/>
      <c r="AN300" s="41"/>
      <c r="AO300" s="41"/>
      <c r="AP300" s="40"/>
      <c r="AQ300" s="41"/>
      <c r="AR300" s="41"/>
      <c r="AS300" s="41"/>
      <c r="AT300" s="41"/>
      <c r="AU300" s="40"/>
      <c r="AV300" s="41"/>
      <c r="AW300" s="41"/>
      <c r="AX300" s="41"/>
      <c r="AY300" s="41"/>
      <c r="AZ300" s="40"/>
      <c r="BA300" s="41"/>
      <c r="BB300" s="41"/>
      <c r="BC300" s="41"/>
      <c r="BD300" s="41"/>
      <c r="BE300" s="40"/>
      <c r="BF300" s="41"/>
      <c r="BG300" s="41"/>
      <c r="BH300" s="41"/>
      <c r="BI300" s="41"/>
      <c r="BJ300" s="40"/>
      <c r="BK300" s="41"/>
    </row>
    <row r="301" spans="1:63">
      <c r="A301" s="67" t="s">
        <v>58</v>
      </c>
      <c r="B301" s="36">
        <f>B304+B307</f>
        <v>4684</v>
      </c>
      <c r="C301" s="68">
        <v>1173</v>
      </c>
      <c r="D301" s="68">
        <v>1188</v>
      </c>
      <c r="E301" s="68">
        <v>1214</v>
      </c>
      <c r="F301" s="68">
        <f>G301-E301-D301-C301</f>
        <v>1138</v>
      </c>
      <c r="G301" s="36">
        <f>G304+G307</f>
        <v>4713</v>
      </c>
      <c r="H301" s="68">
        <f>H304+H307</f>
        <v>1265</v>
      </c>
      <c r="I301" s="68">
        <f>I304+I307</f>
        <v>1346</v>
      </c>
      <c r="J301" s="68">
        <f>J304+J307</f>
        <v>1372</v>
      </c>
      <c r="K301" s="68">
        <f>L301-J301-I301-H301</f>
        <v>1393</v>
      </c>
      <c r="L301" s="36">
        <f>L304+L307</f>
        <v>5376</v>
      </c>
      <c r="M301" s="68">
        <f>M304+M307</f>
        <v>1393</v>
      </c>
      <c r="N301" s="68">
        <f>N304+N307</f>
        <v>1429</v>
      </c>
      <c r="O301" s="68">
        <f>O304+O307</f>
        <v>1442</v>
      </c>
      <c r="P301" s="68">
        <f>Q301-O301-N301-M301</f>
        <v>1468</v>
      </c>
      <c r="Q301" s="36">
        <f>Q304+Q307</f>
        <v>5732</v>
      </c>
      <c r="R301" s="68">
        <f>R304+R307</f>
        <v>1450</v>
      </c>
      <c r="S301" s="68">
        <v>1438</v>
      </c>
      <c r="T301" s="68">
        <f>T304+T307</f>
        <v>1421</v>
      </c>
      <c r="U301" s="68">
        <f>V301-T301-S301-R301</f>
        <v>1239</v>
      </c>
      <c r="V301" s="36">
        <v>5548</v>
      </c>
      <c r="W301" s="68">
        <f>W304+W307</f>
        <v>1244</v>
      </c>
      <c r="X301" s="68">
        <v>1148</v>
      </c>
      <c r="Y301" s="68">
        <f>Y304+Y307</f>
        <v>1049</v>
      </c>
      <c r="Z301" s="68">
        <f>AA301-Y301-X301-W301</f>
        <v>1027</v>
      </c>
      <c r="AA301" s="36">
        <f>AA304+AA307</f>
        <v>4468</v>
      </c>
      <c r="AB301" s="68">
        <f>AB304+AB307</f>
        <v>964</v>
      </c>
      <c r="AC301" s="68">
        <f>AC304+AC307</f>
        <v>915</v>
      </c>
      <c r="AD301" s="68">
        <f>AD304+AD307</f>
        <v>947</v>
      </c>
      <c r="AE301" s="68">
        <f>AF301-AD301-AC301-AB301</f>
        <v>983</v>
      </c>
      <c r="AF301" s="36">
        <f>AF304+AF307</f>
        <v>3809</v>
      </c>
      <c r="AG301" s="68">
        <f>AG304+AG307</f>
        <v>917</v>
      </c>
      <c r="AH301" s="68">
        <f>AH304+AH307</f>
        <v>843</v>
      </c>
      <c r="AI301" s="68">
        <f>AI304+AI307</f>
        <v>824</v>
      </c>
      <c r="AJ301" s="68">
        <f>AK301-AI301-AH301-AG301</f>
        <v>835</v>
      </c>
      <c r="AK301" s="36">
        <f>AK304+AK307</f>
        <v>3419</v>
      </c>
      <c r="AL301" s="68">
        <f>AL304+AL307</f>
        <v>727</v>
      </c>
      <c r="AM301" s="68">
        <f>AM304+AM307</f>
        <v>721</v>
      </c>
      <c r="AN301" s="68">
        <f>AN304+AN307</f>
        <v>729</v>
      </c>
      <c r="AO301" s="68">
        <f>AP301-AN301-AM301-AL301</f>
        <v>713</v>
      </c>
      <c r="AP301" s="36">
        <f>AP304+AP307</f>
        <v>2890</v>
      </c>
      <c r="AQ301" s="68">
        <f>AQ304+AQ307</f>
        <v>671</v>
      </c>
      <c r="AR301" s="68">
        <f>AR304+AR307</f>
        <v>658</v>
      </c>
      <c r="AS301" s="68">
        <f>AS304+AS307</f>
        <v>649</v>
      </c>
      <c r="AT301" s="68">
        <f>AU301-AS301-AR301-AQ301</f>
        <v>652</v>
      </c>
      <c r="AU301" s="36">
        <f>AU304+AU307</f>
        <v>2630</v>
      </c>
      <c r="AV301" s="68">
        <f>AV304+AV307</f>
        <v>628</v>
      </c>
      <c r="AW301" s="68">
        <f>AW304+AW307</f>
        <v>632</v>
      </c>
      <c r="AX301" s="68">
        <f>AX304+AX307</f>
        <v>635</v>
      </c>
      <c r="AY301" s="68">
        <f>AZ301-AX301-AW301-AV301</f>
        <v>651</v>
      </c>
      <c r="AZ301" s="36">
        <v>2546</v>
      </c>
      <c r="BA301" s="68">
        <v>619</v>
      </c>
      <c r="BB301" s="68">
        <v>602</v>
      </c>
      <c r="BC301" s="68">
        <v>604</v>
      </c>
      <c r="BD301" s="68">
        <v>618</v>
      </c>
      <c r="BE301" s="36">
        <v>2443</v>
      </c>
      <c r="BF301" s="68">
        <v>578</v>
      </c>
      <c r="BG301" s="68">
        <v>570</v>
      </c>
      <c r="BH301" s="68">
        <v>612</v>
      </c>
      <c r="BI301" s="68">
        <v>602</v>
      </c>
      <c r="BJ301" s="36">
        <v>2362</v>
      </c>
      <c r="BK301" s="68">
        <v>573</v>
      </c>
    </row>
    <row r="302" spans="1:63" ht="11.25" customHeight="1">
      <c r="A302" s="69" t="s">
        <v>7</v>
      </c>
      <c r="B302" s="23"/>
      <c r="C302" s="70"/>
      <c r="D302" s="70">
        <f>D301/C301-1</f>
        <v>1.2787723785166349E-2</v>
      </c>
      <c r="E302" s="70">
        <f>E301/D301-1</f>
        <v>2.1885521885521841E-2</v>
      </c>
      <c r="F302" s="70">
        <f>F301/E301-1</f>
        <v>-6.2602965403624422E-2</v>
      </c>
      <c r="G302" s="23"/>
      <c r="H302" s="70">
        <f>H301/F301-1</f>
        <v>0.11159929701230231</v>
      </c>
      <c r="I302" s="70">
        <f>I301/H301-1</f>
        <v>6.4031620553359758E-2</v>
      </c>
      <c r="J302" s="70">
        <f>J301/I301-1</f>
        <v>1.9316493313521477E-2</v>
      </c>
      <c r="K302" s="70">
        <f>K301/J301-1</f>
        <v>1.5306122448979664E-2</v>
      </c>
      <c r="L302" s="23"/>
      <c r="M302" s="70">
        <f>M301/K301-1</f>
        <v>0</v>
      </c>
      <c r="N302" s="70">
        <f>N301/M301-1</f>
        <v>2.5843503230437825E-2</v>
      </c>
      <c r="O302" s="70">
        <f>O301/N301-1</f>
        <v>9.0972708187544438E-3</v>
      </c>
      <c r="P302" s="70">
        <f>P301/O301-1</f>
        <v>1.8030513176144236E-2</v>
      </c>
      <c r="Q302" s="23"/>
      <c r="R302" s="70">
        <f>R301/P301-1</f>
        <v>-1.2261580381471404E-2</v>
      </c>
      <c r="S302" s="70">
        <f>S301/R301-1</f>
        <v>-8.2758620689654672E-3</v>
      </c>
      <c r="T302" s="70">
        <f>T301/S301-1</f>
        <v>-1.182197496522952E-2</v>
      </c>
      <c r="U302" s="70">
        <f>U301/T301-1</f>
        <v>-0.1280788177339901</v>
      </c>
      <c r="V302" s="23"/>
      <c r="W302" s="70">
        <f>W301/U301-1</f>
        <v>4.0355125100888234E-3</v>
      </c>
      <c r="X302" s="70">
        <f>X301/W301-1</f>
        <v>-7.7170418006430874E-2</v>
      </c>
      <c r="Y302" s="70">
        <f>Y301/X301-1</f>
        <v>-8.6236933797909421E-2</v>
      </c>
      <c r="Z302" s="70">
        <f>Z301/Y301-1</f>
        <v>-2.0972354623450928E-2</v>
      </c>
      <c r="AA302" s="23"/>
      <c r="AB302" s="70">
        <f>AB301/Z301-1</f>
        <v>-6.1343719571567701E-2</v>
      </c>
      <c r="AC302" s="70">
        <f>AC301/AB301-1</f>
        <v>-5.0829875518672241E-2</v>
      </c>
      <c r="AD302" s="70">
        <f>AD301/AC301-1</f>
        <v>3.4972677595628499E-2</v>
      </c>
      <c r="AE302" s="70">
        <f>AE301/AD301-1</f>
        <v>3.8014783526927109E-2</v>
      </c>
      <c r="AF302" s="23"/>
      <c r="AG302" s="70">
        <f>AG301/AE301-1</f>
        <v>-6.7141403865717209E-2</v>
      </c>
      <c r="AH302" s="70">
        <f>AH301/AG301-1</f>
        <v>-8.0697928026172261E-2</v>
      </c>
      <c r="AI302" s="70">
        <f>AI301/AH301-1</f>
        <v>-2.2538552787663146E-2</v>
      </c>
      <c r="AJ302" s="70">
        <f>AJ301/AI301-1</f>
        <v>1.3349514563106846E-2</v>
      </c>
      <c r="AK302" s="23"/>
      <c r="AL302" s="70">
        <f>AL301/AJ301-1</f>
        <v>-0.12934131736526944</v>
      </c>
      <c r="AM302" s="70">
        <f>AM301/AL301-1</f>
        <v>-8.2530949105914519E-3</v>
      </c>
      <c r="AN302" s="70">
        <f>AN301/AM301-1</f>
        <v>1.1095700416088761E-2</v>
      </c>
      <c r="AO302" s="70">
        <f>AO301/AN301-1</f>
        <v>-2.1947873799725626E-2</v>
      </c>
      <c r="AP302" s="23"/>
      <c r="AQ302" s="70">
        <f>AQ301/AO301-1</f>
        <v>-5.8906030855540026E-2</v>
      </c>
      <c r="AR302" s="70">
        <f>AR301/AQ301-1</f>
        <v>-1.9374068554396384E-2</v>
      </c>
      <c r="AS302" s="70">
        <f>AS301/AR301-1</f>
        <v>-1.3677811550152019E-2</v>
      </c>
      <c r="AT302" s="70">
        <f>AT301/AS301-1</f>
        <v>4.6224961479199855E-3</v>
      </c>
      <c r="AU302" s="23"/>
      <c r="AV302" s="70">
        <f>AV301/AT301-1</f>
        <v>-3.6809815950920255E-2</v>
      </c>
      <c r="AW302" s="70">
        <f>AW301/AV301-1</f>
        <v>6.3694267515923553E-3</v>
      </c>
      <c r="AX302" s="70">
        <f>AX301/AW301-1</f>
        <v>4.746835443038E-3</v>
      </c>
      <c r="AY302" s="70">
        <f>AY301/AX301-1</f>
        <v>2.5196850393700787E-2</v>
      </c>
      <c r="AZ302" s="23"/>
      <c r="BA302" s="70">
        <v>-4.915514592933945E-2</v>
      </c>
      <c r="BB302" s="70">
        <v>-2.7463651050080751E-2</v>
      </c>
      <c r="BC302" s="70">
        <v>3.3222591362125353E-3</v>
      </c>
      <c r="BD302" s="70">
        <v>2.3178807947019875E-2</v>
      </c>
      <c r="BE302" s="23"/>
      <c r="BF302" s="70">
        <v>-6.4724919093851141E-2</v>
      </c>
      <c r="BG302" s="70">
        <v>-1.384083044982698E-2</v>
      </c>
      <c r="BH302" s="70">
        <v>7.3684210526315796E-2</v>
      </c>
      <c r="BI302" s="70">
        <v>-1.6339869281045805E-2</v>
      </c>
      <c r="BJ302" s="23"/>
      <c r="BK302" s="70">
        <v>-4.8172757475083094E-2</v>
      </c>
    </row>
    <row r="303" spans="1:63" ht="11.25" customHeight="1">
      <c r="A303" s="69" t="s">
        <v>8</v>
      </c>
      <c r="B303" s="23"/>
      <c r="C303" s="71"/>
      <c r="D303" s="71"/>
      <c r="E303" s="71"/>
      <c r="F303" s="71"/>
      <c r="G303" s="23">
        <f t="shared" ref="G303:N303" si="540">G301/B301-1</f>
        <v>6.1912894961571041E-3</v>
      </c>
      <c r="H303" s="71">
        <f t="shared" si="540"/>
        <v>7.8431372549019551E-2</v>
      </c>
      <c r="I303" s="71">
        <f t="shared" si="540"/>
        <v>0.132996632996633</v>
      </c>
      <c r="J303" s="71">
        <f t="shared" si="540"/>
        <v>0.13014827018121911</v>
      </c>
      <c r="K303" s="71">
        <f t="shared" si="540"/>
        <v>0.22407732864674879</v>
      </c>
      <c r="L303" s="23">
        <f t="shared" si="540"/>
        <v>0.14067472947167414</v>
      </c>
      <c r="M303" s="71">
        <f t="shared" si="540"/>
        <v>0.10118577075098822</v>
      </c>
      <c r="N303" s="71">
        <f t="shared" si="540"/>
        <v>6.1664190193164936E-2</v>
      </c>
      <c r="O303" s="71">
        <f t="shared" ref="O303:Y303" si="541">O301/J301-1</f>
        <v>5.1020408163265252E-2</v>
      </c>
      <c r="P303" s="71">
        <f t="shared" si="541"/>
        <v>5.3840631730079025E-2</v>
      </c>
      <c r="Q303" s="23">
        <f t="shared" si="541"/>
        <v>6.6220238095238138E-2</v>
      </c>
      <c r="R303" s="71">
        <f t="shared" si="541"/>
        <v>4.0918880114860112E-2</v>
      </c>
      <c r="S303" s="71">
        <f t="shared" si="541"/>
        <v>6.2981105668300508E-3</v>
      </c>
      <c r="T303" s="71">
        <f t="shared" si="541"/>
        <v>-1.4563106796116498E-2</v>
      </c>
      <c r="U303" s="71">
        <f t="shared" si="541"/>
        <v>-0.15599455040871935</v>
      </c>
      <c r="V303" s="23">
        <f t="shared" si="541"/>
        <v>-3.2100488485694356E-2</v>
      </c>
      <c r="W303" s="71">
        <f t="shared" si="541"/>
        <v>-0.14206896551724135</v>
      </c>
      <c r="X303" s="71">
        <f t="shared" si="541"/>
        <v>-0.20166898470097361</v>
      </c>
      <c r="Y303" s="71">
        <f t="shared" si="541"/>
        <v>-0.26178747361013366</v>
      </c>
      <c r="Z303" s="71">
        <f t="shared" ref="Z303:AI303" si="542">Z301/U301-1</f>
        <v>-0.17110573042776434</v>
      </c>
      <c r="AA303" s="23">
        <f t="shared" si="542"/>
        <v>-0.19466474405191059</v>
      </c>
      <c r="AB303" s="71">
        <f t="shared" si="542"/>
        <v>-0.22508038585209</v>
      </c>
      <c r="AC303" s="71">
        <f t="shared" si="542"/>
        <v>-0.20296167247386765</v>
      </c>
      <c r="AD303" s="71">
        <f t="shared" si="542"/>
        <v>-9.7235462345090617E-2</v>
      </c>
      <c r="AE303" s="71">
        <f t="shared" si="542"/>
        <v>-4.284323271665047E-2</v>
      </c>
      <c r="AF303" s="23">
        <f t="shared" si="542"/>
        <v>-0.14749328558639208</v>
      </c>
      <c r="AG303" s="71">
        <f t="shared" si="542"/>
        <v>-4.875518672199175E-2</v>
      </c>
      <c r="AH303" s="71">
        <f t="shared" si="542"/>
        <v>-7.8688524590163955E-2</v>
      </c>
      <c r="AI303" s="71">
        <f t="shared" si="542"/>
        <v>-0.12988384371700101</v>
      </c>
      <c r="AJ303" s="71">
        <f t="shared" ref="AJ303:AS303" si="543">AJ301/AE301-1</f>
        <v>-0.15055951169888093</v>
      </c>
      <c r="AK303" s="23">
        <f t="shared" si="543"/>
        <v>-0.10238907849829348</v>
      </c>
      <c r="AL303" s="71">
        <f t="shared" si="543"/>
        <v>-0.20719738276990185</v>
      </c>
      <c r="AM303" s="71">
        <f t="shared" si="543"/>
        <v>-0.1447212336892052</v>
      </c>
      <c r="AN303" s="71">
        <f t="shared" si="543"/>
        <v>-0.11529126213592233</v>
      </c>
      <c r="AO303" s="71">
        <f t="shared" si="543"/>
        <v>-0.1461077844311377</v>
      </c>
      <c r="AP303" s="23">
        <f t="shared" si="543"/>
        <v>-0.15472360339280489</v>
      </c>
      <c r="AQ303" s="71">
        <f t="shared" si="543"/>
        <v>-7.7028885832187033E-2</v>
      </c>
      <c r="AR303" s="71">
        <f t="shared" si="543"/>
        <v>-8.737864077669899E-2</v>
      </c>
      <c r="AS303" s="71">
        <f t="shared" si="543"/>
        <v>-0.10973936899862824</v>
      </c>
      <c r="AT303" s="71">
        <f t="shared" ref="AT303" si="544">AT301/AO301-1</f>
        <v>-8.5553997194950937E-2</v>
      </c>
      <c r="AU303" s="23">
        <f t="shared" ref="AU303:AX303" si="545">AU301/AP301-1</f>
        <v>-8.9965397923875479E-2</v>
      </c>
      <c r="AV303" s="71">
        <f t="shared" si="545"/>
        <v>-6.4083457526080467E-2</v>
      </c>
      <c r="AW303" s="71">
        <f t="shared" si="545"/>
        <v>-3.951367781155013E-2</v>
      </c>
      <c r="AX303" s="71">
        <f t="shared" si="545"/>
        <v>-2.1571648690292711E-2</v>
      </c>
      <c r="AY303" s="71">
        <f t="shared" ref="AY303" si="546">AY301/AT301-1</f>
        <v>-1.5337423312883347E-3</v>
      </c>
      <c r="AZ303" s="23">
        <v>-3.1939163498098888E-2</v>
      </c>
      <c r="BA303" s="71">
        <v>-1.4331210191082855E-2</v>
      </c>
      <c r="BB303" s="71">
        <v>-4.7468354430379778E-2</v>
      </c>
      <c r="BC303" s="71">
        <v>-4.8818897637795233E-2</v>
      </c>
      <c r="BD303" s="71">
        <v>-5.0691244239631339E-2</v>
      </c>
      <c r="BE303" s="23">
        <v>-4.0455616653574222E-2</v>
      </c>
      <c r="BF303" s="71">
        <v>-6.6235864297253588E-2</v>
      </c>
      <c r="BG303" s="71">
        <v>-5.3156146179402008E-2</v>
      </c>
      <c r="BH303" s="71">
        <v>1.3245033112582849E-2</v>
      </c>
      <c r="BI303" s="71">
        <v>-2.5889967637540479E-2</v>
      </c>
      <c r="BJ303" s="23">
        <v>-3.3155955792058989E-2</v>
      </c>
      <c r="BK303" s="71">
        <v>-8.65051903114189E-3</v>
      </c>
    </row>
    <row r="304" spans="1:63">
      <c r="A304" s="67" t="s">
        <v>59</v>
      </c>
      <c r="B304" s="36">
        <v>3972</v>
      </c>
      <c r="C304" s="78" t="s">
        <v>48</v>
      </c>
      <c r="D304" s="78" t="s">
        <v>48</v>
      </c>
      <c r="E304" s="78" t="s">
        <v>48</v>
      </c>
      <c r="F304" s="78" t="s">
        <v>48</v>
      </c>
      <c r="G304" s="36">
        <v>4020</v>
      </c>
      <c r="H304" s="68">
        <v>1019</v>
      </c>
      <c r="I304" s="68">
        <v>1050</v>
      </c>
      <c r="J304" s="68">
        <v>1101</v>
      </c>
      <c r="K304" s="68">
        <f>L304-J304-I304-H304</f>
        <v>1086</v>
      </c>
      <c r="L304" s="36">
        <v>4256</v>
      </c>
      <c r="M304" s="68">
        <v>1106</v>
      </c>
      <c r="N304" s="68">
        <v>1140</v>
      </c>
      <c r="O304" s="68">
        <v>1159</v>
      </c>
      <c r="P304" s="68">
        <f>Q304-O304-N304-M304</f>
        <v>1145</v>
      </c>
      <c r="Q304" s="36">
        <v>4550</v>
      </c>
      <c r="R304" s="68">
        <v>949</v>
      </c>
      <c r="S304" s="68">
        <v>925</v>
      </c>
      <c r="T304" s="68">
        <v>914</v>
      </c>
      <c r="U304" s="68">
        <f>V304-T304-S304-R304</f>
        <v>849</v>
      </c>
      <c r="V304" s="36">
        <v>3637</v>
      </c>
      <c r="W304" s="68">
        <v>834</v>
      </c>
      <c r="X304" s="68">
        <v>857</v>
      </c>
      <c r="Y304" s="68">
        <v>816</v>
      </c>
      <c r="Z304" s="68">
        <f>AA304-Y304-X304-W304</f>
        <v>754</v>
      </c>
      <c r="AA304" s="36">
        <v>3261</v>
      </c>
      <c r="AB304" s="68">
        <v>714</v>
      </c>
      <c r="AC304" s="68">
        <v>696</v>
      </c>
      <c r="AD304" s="68">
        <v>710</v>
      </c>
      <c r="AE304" s="68">
        <f>AF304-AD304-AC304-AB304</f>
        <v>688</v>
      </c>
      <c r="AF304" s="36">
        <v>2808</v>
      </c>
      <c r="AG304" s="68">
        <v>637</v>
      </c>
      <c r="AH304" s="68">
        <v>622</v>
      </c>
      <c r="AI304" s="68">
        <v>610</v>
      </c>
      <c r="AJ304" s="68">
        <f>AK304-AI304-AH304-AG304</f>
        <v>584</v>
      </c>
      <c r="AK304" s="36">
        <v>2453</v>
      </c>
      <c r="AL304" s="68">
        <v>499</v>
      </c>
      <c r="AM304" s="68">
        <v>502</v>
      </c>
      <c r="AN304" s="68">
        <v>521</v>
      </c>
      <c r="AO304" s="68">
        <f>AP304-AN304-AM304-AL304</f>
        <v>477</v>
      </c>
      <c r="AP304" s="36">
        <v>1999</v>
      </c>
      <c r="AQ304" s="68">
        <v>455</v>
      </c>
      <c r="AR304" s="68">
        <v>456</v>
      </c>
      <c r="AS304" s="68">
        <v>468</v>
      </c>
      <c r="AT304" s="68">
        <f>AU304-AS304-AR304-AQ304</f>
        <v>439</v>
      </c>
      <c r="AU304" s="36">
        <v>1818</v>
      </c>
      <c r="AV304" s="68">
        <v>435</v>
      </c>
      <c r="AW304" s="68">
        <v>449</v>
      </c>
      <c r="AX304" s="68">
        <v>461</v>
      </c>
      <c r="AY304" s="68">
        <f>AZ304-AX304-AW304-AV304</f>
        <v>437</v>
      </c>
      <c r="AZ304" s="36">
        <v>1782</v>
      </c>
      <c r="BA304" s="68">
        <v>431</v>
      </c>
      <c r="BB304" s="68">
        <v>438</v>
      </c>
      <c r="BC304" s="68">
        <v>449</v>
      </c>
      <c r="BD304" s="68">
        <v>437</v>
      </c>
      <c r="BE304" s="36">
        <v>1755</v>
      </c>
      <c r="BF304" s="68">
        <v>417</v>
      </c>
      <c r="BG304" s="68">
        <v>430</v>
      </c>
      <c r="BH304" s="68">
        <v>446</v>
      </c>
      <c r="BI304" s="68">
        <v>416</v>
      </c>
      <c r="BJ304" s="36">
        <v>1709</v>
      </c>
      <c r="BK304" s="68">
        <v>405</v>
      </c>
    </row>
    <row r="305" spans="1:63" ht="10.5" customHeight="1">
      <c r="A305" s="69" t="s">
        <v>7</v>
      </c>
      <c r="B305" s="23"/>
      <c r="C305" s="70"/>
      <c r="D305" s="70"/>
      <c r="E305" s="70"/>
      <c r="F305" s="70"/>
      <c r="G305" s="23"/>
      <c r="H305" s="70"/>
      <c r="I305" s="70">
        <f>I304/H304-1</f>
        <v>3.0421982335623099E-2</v>
      </c>
      <c r="J305" s="70">
        <f>J304/I304-1</f>
        <v>4.8571428571428488E-2</v>
      </c>
      <c r="K305" s="70">
        <f>K304/J304-1</f>
        <v>-1.3623978201634857E-2</v>
      </c>
      <c r="L305" s="23"/>
      <c r="M305" s="70">
        <f>M304/K304-1</f>
        <v>1.8416206261510082E-2</v>
      </c>
      <c r="N305" s="70">
        <f>N304/M304-1</f>
        <v>3.0741410488245968E-2</v>
      </c>
      <c r="O305" s="70">
        <f>O304/N304-1</f>
        <v>1.6666666666666607E-2</v>
      </c>
      <c r="P305" s="70">
        <f>P304/O304-1</f>
        <v>-1.2079378774805916E-2</v>
      </c>
      <c r="Q305" s="23"/>
      <c r="R305" s="70">
        <f>R304/P304-1</f>
        <v>-0.17117903930131007</v>
      </c>
      <c r="S305" s="70">
        <f>S304/R304-1</f>
        <v>-2.5289778714436273E-2</v>
      </c>
      <c r="T305" s="70">
        <f>T304/S304-1</f>
        <v>-1.1891891891891881E-2</v>
      </c>
      <c r="U305" s="70">
        <f>U304/T304-1</f>
        <v>-7.1115973741794347E-2</v>
      </c>
      <c r="V305" s="23"/>
      <c r="W305" s="70">
        <f>W304/U304-1</f>
        <v>-1.7667844522968212E-2</v>
      </c>
      <c r="X305" s="70">
        <f>X304/W304-1</f>
        <v>2.7577937649880147E-2</v>
      </c>
      <c r="Y305" s="70">
        <f>Y304/X304-1</f>
        <v>-4.7841306884480739E-2</v>
      </c>
      <c r="Z305" s="70">
        <f>Z304/Y304-1</f>
        <v>-7.5980392156862697E-2</v>
      </c>
      <c r="AA305" s="23"/>
      <c r="AB305" s="70">
        <f>AB304/Z304-1</f>
        <v>-5.3050397877984046E-2</v>
      </c>
      <c r="AC305" s="70">
        <f>AC304/AB304-1</f>
        <v>-2.5210084033613467E-2</v>
      </c>
      <c r="AD305" s="70">
        <f>AD304/AC304-1</f>
        <v>2.0114942528735691E-2</v>
      </c>
      <c r="AE305" s="70">
        <f>AE304/AD304-1</f>
        <v>-3.0985915492957705E-2</v>
      </c>
      <c r="AF305" s="23"/>
      <c r="AG305" s="70">
        <f>AG304/AE304-1</f>
        <v>-7.4127906976744207E-2</v>
      </c>
      <c r="AH305" s="70">
        <f>AH304/AG304-1</f>
        <v>-2.3547880690737877E-2</v>
      </c>
      <c r="AI305" s="70">
        <f>AI304/AH304-1</f>
        <v>-1.9292604501607746E-2</v>
      </c>
      <c r="AJ305" s="70">
        <f>AJ304/AI304-1</f>
        <v>-4.2622950819672156E-2</v>
      </c>
      <c r="AK305" s="23"/>
      <c r="AL305" s="70">
        <f>AL304/AJ304-1</f>
        <v>-0.14554794520547942</v>
      </c>
      <c r="AM305" s="70">
        <f>AM304/AL304-1</f>
        <v>6.0120240480960874E-3</v>
      </c>
      <c r="AN305" s="70">
        <f>AN304/AM304-1</f>
        <v>3.7848605577689209E-2</v>
      </c>
      <c r="AO305" s="70">
        <f>AO304/AN304-1</f>
        <v>-8.4452975047984657E-2</v>
      </c>
      <c r="AP305" s="23"/>
      <c r="AQ305" s="70">
        <f>AQ304/AO304-1</f>
        <v>-4.6121593291404639E-2</v>
      </c>
      <c r="AR305" s="70">
        <f>AR304/AQ304-1</f>
        <v>2.19780219780219E-3</v>
      </c>
      <c r="AS305" s="70">
        <f>AS304/AR304-1</f>
        <v>2.6315789473684292E-2</v>
      </c>
      <c r="AT305" s="70">
        <f>AT304/AS304-1</f>
        <v>-6.1965811965811968E-2</v>
      </c>
      <c r="AU305" s="23"/>
      <c r="AV305" s="70">
        <f>AV304/AT304-1</f>
        <v>-9.1116173120728838E-3</v>
      </c>
      <c r="AW305" s="70">
        <f>AW304/AV304-1</f>
        <v>3.2183908045976928E-2</v>
      </c>
      <c r="AX305" s="70">
        <f>AX304/AW304-1</f>
        <v>2.6726057906458767E-2</v>
      </c>
      <c r="AY305" s="70">
        <f>AY304/AX304-1</f>
        <v>-5.2060737527114931E-2</v>
      </c>
      <c r="AZ305" s="23"/>
      <c r="BA305" s="70">
        <v>-1.3729977116704761E-2</v>
      </c>
      <c r="BB305" s="70">
        <v>1.6241299303944245E-2</v>
      </c>
      <c r="BC305" s="70">
        <v>2.5114155251141579E-2</v>
      </c>
      <c r="BD305" s="70">
        <v>-2.6726057906458767E-2</v>
      </c>
      <c r="BE305" s="23"/>
      <c r="BF305" s="70">
        <v>-4.5766590389015982E-2</v>
      </c>
      <c r="BG305" s="70">
        <v>3.1175059952038398E-2</v>
      </c>
      <c r="BH305" s="70">
        <v>3.7209302325581506E-2</v>
      </c>
      <c r="BI305" s="70">
        <v>-6.7264573991031362E-2</v>
      </c>
      <c r="BJ305" s="23"/>
      <c r="BK305" s="70">
        <v>-2.6442307692307709E-2</v>
      </c>
    </row>
    <row r="306" spans="1:63" ht="10.5" customHeight="1">
      <c r="A306" s="69" t="s">
        <v>8</v>
      </c>
      <c r="B306" s="23"/>
      <c r="C306" s="71"/>
      <c r="D306" s="71"/>
      <c r="E306" s="71"/>
      <c r="F306" s="71"/>
      <c r="G306" s="23">
        <f>G304/B304-1</f>
        <v>1.2084592145015005E-2</v>
      </c>
      <c r="H306" s="71"/>
      <c r="I306" s="71"/>
      <c r="J306" s="71"/>
      <c r="K306" s="71"/>
      <c r="L306" s="23">
        <f t="shared" ref="L306:R306" si="547">L304/G304-1</f>
        <v>5.8706467661691519E-2</v>
      </c>
      <c r="M306" s="71">
        <f t="shared" si="547"/>
        <v>8.5377821393523012E-2</v>
      </c>
      <c r="N306" s="71">
        <f t="shared" si="547"/>
        <v>8.5714285714285632E-2</v>
      </c>
      <c r="O306" s="71">
        <f t="shared" si="547"/>
        <v>5.2679382379654749E-2</v>
      </c>
      <c r="P306" s="71">
        <f t="shared" si="547"/>
        <v>5.4327808471454908E-2</v>
      </c>
      <c r="Q306" s="23">
        <f t="shared" si="547"/>
        <v>6.9078947368421018E-2</v>
      </c>
      <c r="R306" s="71">
        <f t="shared" si="547"/>
        <v>-0.14195298372513565</v>
      </c>
      <c r="S306" s="71">
        <f t="shared" ref="S306:Y306" si="548">S304/N304-1</f>
        <v>-0.18859649122807021</v>
      </c>
      <c r="T306" s="71">
        <f t="shared" si="548"/>
        <v>-0.21138912855910263</v>
      </c>
      <c r="U306" s="71">
        <f t="shared" si="548"/>
        <v>-0.25851528384279476</v>
      </c>
      <c r="V306" s="23">
        <f t="shared" si="548"/>
        <v>-0.20065934065934066</v>
      </c>
      <c r="W306" s="71">
        <f t="shared" si="548"/>
        <v>-0.12118018967334032</v>
      </c>
      <c r="X306" s="71">
        <f t="shared" si="548"/>
        <v>-7.351351351351354E-2</v>
      </c>
      <c r="Y306" s="71">
        <f t="shared" si="548"/>
        <v>-0.10722100656455147</v>
      </c>
      <c r="Z306" s="71">
        <f t="shared" ref="Z306:AI306" si="549">Z304/U304-1</f>
        <v>-0.11189634864546527</v>
      </c>
      <c r="AA306" s="23">
        <f t="shared" si="549"/>
        <v>-0.10338190816607096</v>
      </c>
      <c r="AB306" s="71">
        <f t="shared" si="549"/>
        <v>-0.14388489208633093</v>
      </c>
      <c r="AC306" s="71">
        <f t="shared" si="549"/>
        <v>-0.18786464410735126</v>
      </c>
      <c r="AD306" s="71">
        <f t="shared" si="549"/>
        <v>-0.12990196078431371</v>
      </c>
      <c r="AE306" s="71">
        <f t="shared" si="549"/>
        <v>-8.753315649867377E-2</v>
      </c>
      <c r="AF306" s="23">
        <f t="shared" si="549"/>
        <v>-0.13891444342226311</v>
      </c>
      <c r="AG306" s="71">
        <f t="shared" si="549"/>
        <v>-0.10784313725490191</v>
      </c>
      <c r="AH306" s="71">
        <f t="shared" si="549"/>
        <v>-0.10632183908045978</v>
      </c>
      <c r="AI306" s="71">
        <f t="shared" si="549"/>
        <v>-0.14084507042253525</v>
      </c>
      <c r="AJ306" s="71">
        <f t="shared" ref="AJ306:AS306" si="550">AJ304/AE304-1</f>
        <v>-0.15116279069767447</v>
      </c>
      <c r="AK306" s="23">
        <f t="shared" si="550"/>
        <v>-0.12642450142450146</v>
      </c>
      <c r="AL306" s="71">
        <f t="shared" si="550"/>
        <v>-0.21664050235478804</v>
      </c>
      <c r="AM306" s="71">
        <f t="shared" si="550"/>
        <v>-0.19292604501607713</v>
      </c>
      <c r="AN306" s="71">
        <f t="shared" si="550"/>
        <v>-0.14590163934426226</v>
      </c>
      <c r="AO306" s="71">
        <f t="shared" si="550"/>
        <v>-0.18321917808219179</v>
      </c>
      <c r="AP306" s="23">
        <f t="shared" si="550"/>
        <v>-0.18507949449653482</v>
      </c>
      <c r="AQ306" s="71">
        <f t="shared" si="550"/>
        <v>-8.8176352705410799E-2</v>
      </c>
      <c r="AR306" s="71">
        <f t="shared" si="550"/>
        <v>-9.1633466135458197E-2</v>
      </c>
      <c r="AS306" s="71">
        <f t="shared" si="550"/>
        <v>-0.10172744721689064</v>
      </c>
      <c r="AT306" s="71">
        <f t="shared" ref="AT306" si="551">AT304/AO304-1</f>
        <v>-7.9664570230607912E-2</v>
      </c>
      <c r="AU306" s="23">
        <f t="shared" ref="AU306:AX306" si="552">AU304/AP304-1</f>
        <v>-9.0545272636318175E-2</v>
      </c>
      <c r="AV306" s="71">
        <f t="shared" si="552"/>
        <v>-4.3956043956043911E-2</v>
      </c>
      <c r="AW306" s="71">
        <f t="shared" si="552"/>
        <v>-1.5350877192982448E-2</v>
      </c>
      <c r="AX306" s="71">
        <f t="shared" si="552"/>
        <v>-1.4957264957264904E-2</v>
      </c>
      <c r="AY306" s="71">
        <f t="shared" ref="AY306" si="553">AY304/AT304-1</f>
        <v>-4.5558086560364419E-3</v>
      </c>
      <c r="AZ306" s="23">
        <v>-1.980198019801982E-2</v>
      </c>
      <c r="BA306" s="71">
        <v>-9.1954022988506301E-3</v>
      </c>
      <c r="BB306" s="71">
        <v>-2.4498886414253906E-2</v>
      </c>
      <c r="BC306" s="71">
        <v>-2.6030368763557465E-2</v>
      </c>
      <c r="BD306" s="71">
        <v>0</v>
      </c>
      <c r="BE306" s="23">
        <v>-1.5151515151515138E-2</v>
      </c>
      <c r="BF306" s="71">
        <v>-3.2482598607888602E-2</v>
      </c>
      <c r="BG306" s="71">
        <v>-1.8264840182648401E-2</v>
      </c>
      <c r="BH306" s="71">
        <v>-6.6815144766146917E-3</v>
      </c>
      <c r="BI306" s="71">
        <v>-4.8054919908466776E-2</v>
      </c>
      <c r="BJ306" s="23">
        <v>-2.6210826210826266E-2</v>
      </c>
      <c r="BK306" s="71">
        <v>-2.877697841726623E-2</v>
      </c>
    </row>
    <row r="307" spans="1:63">
      <c r="A307" s="67" t="s">
        <v>60</v>
      </c>
      <c r="B307" s="36">
        <v>712</v>
      </c>
      <c r="C307" s="78" t="s">
        <v>48</v>
      </c>
      <c r="D307" s="78" t="s">
        <v>48</v>
      </c>
      <c r="E307" s="78" t="s">
        <v>48</v>
      </c>
      <c r="F307" s="78" t="s">
        <v>48</v>
      </c>
      <c r="G307" s="36">
        <v>693</v>
      </c>
      <c r="H307" s="68">
        <v>246</v>
      </c>
      <c r="I307" s="68">
        <v>296</v>
      </c>
      <c r="J307" s="68">
        <v>271</v>
      </c>
      <c r="K307" s="68">
        <f>L307-J307-I307-H307</f>
        <v>307</v>
      </c>
      <c r="L307" s="36">
        <v>1120</v>
      </c>
      <c r="M307" s="68">
        <v>287</v>
      </c>
      <c r="N307" s="68">
        <v>289</v>
      </c>
      <c r="O307" s="68">
        <v>283</v>
      </c>
      <c r="P307" s="68">
        <f>Q307-O307-N307-M307</f>
        <v>323</v>
      </c>
      <c r="Q307" s="36">
        <v>1182</v>
      </c>
      <c r="R307" s="68">
        <v>501</v>
      </c>
      <c r="S307" s="68">
        <v>513</v>
      </c>
      <c r="T307" s="68">
        <v>507</v>
      </c>
      <c r="U307" s="68">
        <f>V307-T307-S307-R307</f>
        <v>390</v>
      </c>
      <c r="V307" s="36">
        <v>1911</v>
      </c>
      <c r="W307" s="68">
        <v>410</v>
      </c>
      <c r="X307" s="68">
        <v>291</v>
      </c>
      <c r="Y307" s="68">
        <v>233</v>
      </c>
      <c r="Z307" s="68">
        <f>AA307-Y307-X307-W307</f>
        <v>273</v>
      </c>
      <c r="AA307" s="36">
        <v>1207</v>
      </c>
      <c r="AB307" s="68">
        <v>250</v>
      </c>
      <c r="AC307" s="68">
        <v>219</v>
      </c>
      <c r="AD307" s="68">
        <v>237</v>
      </c>
      <c r="AE307" s="68">
        <f>AF307-AD307-AC307-AB307</f>
        <v>295</v>
      </c>
      <c r="AF307" s="36">
        <v>1001</v>
      </c>
      <c r="AG307" s="68">
        <v>280</v>
      </c>
      <c r="AH307" s="68">
        <v>221</v>
      </c>
      <c r="AI307" s="68">
        <v>214</v>
      </c>
      <c r="AJ307" s="68">
        <f>AK307-AI307-AH307-AG307</f>
        <v>251</v>
      </c>
      <c r="AK307" s="36">
        <v>966</v>
      </c>
      <c r="AL307" s="68">
        <v>228</v>
      </c>
      <c r="AM307" s="68">
        <v>219</v>
      </c>
      <c r="AN307" s="68">
        <v>208</v>
      </c>
      <c r="AO307" s="68">
        <f>AP307-AN307-AM307-AL307</f>
        <v>236</v>
      </c>
      <c r="AP307" s="36">
        <v>891</v>
      </c>
      <c r="AQ307" s="68">
        <v>216</v>
      </c>
      <c r="AR307" s="68">
        <v>202</v>
      </c>
      <c r="AS307" s="68">
        <v>181</v>
      </c>
      <c r="AT307" s="68">
        <f>AU307-AS307-AR307-AQ307</f>
        <v>213</v>
      </c>
      <c r="AU307" s="36">
        <v>812</v>
      </c>
      <c r="AV307" s="68">
        <v>193</v>
      </c>
      <c r="AW307" s="68">
        <v>183</v>
      </c>
      <c r="AX307" s="68">
        <v>174</v>
      </c>
      <c r="AY307" s="68">
        <f>AZ307-AX307-AW307-AV307</f>
        <v>214</v>
      </c>
      <c r="AZ307" s="36">
        <v>764</v>
      </c>
      <c r="BA307" s="68">
        <v>188</v>
      </c>
      <c r="BB307" s="68">
        <v>164</v>
      </c>
      <c r="BC307" s="68">
        <v>155</v>
      </c>
      <c r="BD307" s="68">
        <v>181</v>
      </c>
      <c r="BE307" s="36">
        <v>688</v>
      </c>
      <c r="BF307" s="68">
        <v>161</v>
      </c>
      <c r="BG307" s="68">
        <v>140</v>
      </c>
      <c r="BH307" s="68">
        <v>166</v>
      </c>
      <c r="BI307" s="68">
        <v>186</v>
      </c>
      <c r="BJ307" s="36">
        <v>653</v>
      </c>
      <c r="BK307" s="68">
        <v>168</v>
      </c>
    </row>
    <row r="308" spans="1:63" ht="12" customHeight="1">
      <c r="A308" s="69" t="s">
        <v>7</v>
      </c>
      <c r="B308" s="23"/>
      <c r="C308" s="70"/>
      <c r="D308" s="70"/>
      <c r="E308" s="70"/>
      <c r="F308" s="70"/>
      <c r="G308" s="23"/>
      <c r="H308" s="70"/>
      <c r="I308" s="70">
        <f>I307/H307-1</f>
        <v>0.20325203252032531</v>
      </c>
      <c r="J308" s="70">
        <f>J307/I307-1</f>
        <v>-8.4459459459459429E-2</v>
      </c>
      <c r="K308" s="70">
        <f>K307/J307-1</f>
        <v>0.13284132841328411</v>
      </c>
      <c r="L308" s="23"/>
      <c r="M308" s="70">
        <f>M307/K307-1</f>
        <v>-6.514657980456029E-2</v>
      </c>
      <c r="N308" s="70">
        <f>N307/M307-1</f>
        <v>6.9686411149825211E-3</v>
      </c>
      <c r="O308" s="70">
        <f>O307/N307-1</f>
        <v>-2.0761245674740469E-2</v>
      </c>
      <c r="P308" s="70">
        <f>P307/O307-1</f>
        <v>0.14134275618374548</v>
      </c>
      <c r="Q308" s="23"/>
      <c r="R308" s="70">
        <f>R307/P307-1</f>
        <v>0.55108359133126927</v>
      </c>
      <c r="S308" s="70">
        <f>S307/R307-1</f>
        <v>2.39520958083832E-2</v>
      </c>
      <c r="T308" s="70">
        <f>T307/S307-1</f>
        <v>-1.1695906432748537E-2</v>
      </c>
      <c r="U308" s="70">
        <f>U307/T307-1</f>
        <v>-0.23076923076923073</v>
      </c>
      <c r="V308" s="23"/>
      <c r="W308" s="70">
        <f>W307/U307-1</f>
        <v>5.1282051282051322E-2</v>
      </c>
      <c r="X308" s="70">
        <f>X307/W307-1</f>
        <v>-0.29024390243902443</v>
      </c>
      <c r="Y308" s="70">
        <f>Y307/X307-1</f>
        <v>-0.19931271477663226</v>
      </c>
      <c r="Z308" s="70">
        <f>Z307/Y307-1</f>
        <v>0.17167381974248919</v>
      </c>
      <c r="AA308" s="23"/>
      <c r="AB308" s="70">
        <f>AB307/Z307-1</f>
        <v>-8.4249084249084283E-2</v>
      </c>
      <c r="AC308" s="70">
        <f>AC307/AB307-1</f>
        <v>-0.124</v>
      </c>
      <c r="AD308" s="70">
        <f>AD307/AC307-1</f>
        <v>8.2191780821917915E-2</v>
      </c>
      <c r="AE308" s="70">
        <f>AE307/AD307-1</f>
        <v>0.24472573839662437</v>
      </c>
      <c r="AF308" s="23"/>
      <c r="AG308" s="70">
        <f>AG307/AE307-1</f>
        <v>-5.084745762711862E-2</v>
      </c>
      <c r="AH308" s="70">
        <f>AH307/AG307-1</f>
        <v>-0.21071428571428574</v>
      </c>
      <c r="AI308" s="70">
        <f>AI307/AH307-1</f>
        <v>-3.1674208144796379E-2</v>
      </c>
      <c r="AJ308" s="70">
        <f>AJ307/AI307-1</f>
        <v>0.17289719626168232</v>
      </c>
      <c r="AK308" s="23"/>
      <c r="AL308" s="70">
        <f>AL307/AJ307-1</f>
        <v>-9.1633466135458197E-2</v>
      </c>
      <c r="AM308" s="70">
        <f>AM307/AL307-1</f>
        <v>-3.9473684210526327E-2</v>
      </c>
      <c r="AN308" s="70">
        <f>AN307/AM307-1</f>
        <v>-5.0228310502283158E-2</v>
      </c>
      <c r="AO308" s="70">
        <f>AO307/AN307-1</f>
        <v>0.13461538461538458</v>
      </c>
      <c r="AP308" s="23"/>
      <c r="AQ308" s="70">
        <f>AQ307/AO307-1</f>
        <v>-8.4745762711864403E-2</v>
      </c>
      <c r="AR308" s="70">
        <f>AR307/AQ307-1</f>
        <v>-6.481481481481477E-2</v>
      </c>
      <c r="AS308" s="70">
        <f>AS307/AR307-1</f>
        <v>-0.10396039603960394</v>
      </c>
      <c r="AT308" s="70">
        <f>AT307/AS307-1</f>
        <v>0.17679558011049723</v>
      </c>
      <c r="AU308" s="23"/>
      <c r="AV308" s="70">
        <f>AV307/AT307-1</f>
        <v>-9.3896713615023497E-2</v>
      </c>
      <c r="AW308" s="70">
        <f>AW307/AV307-1</f>
        <v>-5.1813471502590636E-2</v>
      </c>
      <c r="AX308" s="70">
        <f>AX307/AW307-1</f>
        <v>-4.9180327868852514E-2</v>
      </c>
      <c r="AY308" s="70">
        <f>AY307/AX307-1</f>
        <v>0.22988505747126431</v>
      </c>
      <c r="AZ308" s="23"/>
      <c r="BA308" s="70">
        <v>-0.12149532710280375</v>
      </c>
      <c r="BB308" s="70">
        <v>-0.12765957446808507</v>
      </c>
      <c r="BC308" s="70">
        <v>-5.4878048780487854E-2</v>
      </c>
      <c r="BD308" s="70">
        <v>0.16774193548387095</v>
      </c>
      <c r="BE308" s="23"/>
      <c r="BF308" s="70">
        <v>-0.11049723756906082</v>
      </c>
      <c r="BG308" s="70">
        <v>-0.13043478260869568</v>
      </c>
      <c r="BH308" s="70">
        <v>0.18571428571428572</v>
      </c>
      <c r="BI308" s="70">
        <v>0.12048192771084332</v>
      </c>
      <c r="BJ308" s="23"/>
      <c r="BK308" s="70">
        <v>-9.6774193548387122E-2</v>
      </c>
    </row>
    <row r="309" spans="1:63" ht="11.25" customHeight="1">
      <c r="A309" s="69" t="s">
        <v>8</v>
      </c>
      <c r="B309" s="23"/>
      <c r="C309" s="71"/>
      <c r="D309" s="71"/>
      <c r="E309" s="71"/>
      <c r="F309" s="71"/>
      <c r="G309" s="23">
        <f>G307/B307-1</f>
        <v>-2.6685393258427004E-2</v>
      </c>
      <c r="H309" s="71"/>
      <c r="I309" s="71"/>
      <c r="J309" s="71"/>
      <c r="K309" s="71"/>
      <c r="L309" s="23">
        <f t="shared" ref="L309:R309" si="554">L307/G307-1</f>
        <v>0.61616161616161613</v>
      </c>
      <c r="M309" s="71">
        <f t="shared" si="554"/>
        <v>0.16666666666666674</v>
      </c>
      <c r="N309" s="71">
        <f t="shared" si="554"/>
        <v>-2.3648648648648685E-2</v>
      </c>
      <c r="O309" s="71">
        <f t="shared" si="554"/>
        <v>4.4280442804428111E-2</v>
      </c>
      <c r="P309" s="71">
        <f t="shared" si="554"/>
        <v>5.2117263843648232E-2</v>
      </c>
      <c r="Q309" s="23">
        <f t="shared" si="554"/>
        <v>5.5357142857142883E-2</v>
      </c>
      <c r="R309" s="71">
        <f t="shared" si="554"/>
        <v>0.74564459930313598</v>
      </c>
      <c r="S309" s="71">
        <f t="shared" ref="S309:Y309" si="555">S307/N307-1</f>
        <v>0.77508650519031153</v>
      </c>
      <c r="T309" s="71">
        <f t="shared" si="555"/>
        <v>0.79151943462897534</v>
      </c>
      <c r="U309" s="71">
        <f t="shared" si="555"/>
        <v>0.20743034055727549</v>
      </c>
      <c r="V309" s="23">
        <f t="shared" si="555"/>
        <v>0.61675126903553301</v>
      </c>
      <c r="W309" s="71">
        <f t="shared" si="555"/>
        <v>-0.18163672654690621</v>
      </c>
      <c r="X309" s="71">
        <f t="shared" si="555"/>
        <v>-0.43274853801169588</v>
      </c>
      <c r="Y309" s="71">
        <f t="shared" si="555"/>
        <v>-0.54043392504930965</v>
      </c>
      <c r="Z309" s="71">
        <f t="shared" ref="Z309:AI309" si="556">Z307/U307-1</f>
        <v>-0.30000000000000004</v>
      </c>
      <c r="AA309" s="23">
        <f t="shared" si="556"/>
        <v>-0.36839351125065412</v>
      </c>
      <c r="AB309" s="71">
        <f t="shared" si="556"/>
        <v>-0.3902439024390244</v>
      </c>
      <c r="AC309" s="71">
        <f t="shared" si="556"/>
        <v>-0.24742268041237114</v>
      </c>
      <c r="AD309" s="71">
        <f t="shared" si="556"/>
        <v>1.716738197424883E-2</v>
      </c>
      <c r="AE309" s="71">
        <f t="shared" si="556"/>
        <v>8.0586080586080522E-2</v>
      </c>
      <c r="AF309" s="23">
        <f t="shared" si="556"/>
        <v>-0.17067108533554265</v>
      </c>
      <c r="AG309" s="71">
        <f t="shared" si="556"/>
        <v>0.12000000000000011</v>
      </c>
      <c r="AH309" s="71">
        <f t="shared" si="556"/>
        <v>9.1324200913243114E-3</v>
      </c>
      <c r="AI309" s="71">
        <f t="shared" si="556"/>
        <v>-9.7046413502109741E-2</v>
      </c>
      <c r="AJ309" s="71">
        <f t="shared" ref="AJ309:AS309" si="557">AJ307/AE307-1</f>
        <v>-0.14915254237288134</v>
      </c>
      <c r="AK309" s="23">
        <f t="shared" si="557"/>
        <v>-3.4965034965035002E-2</v>
      </c>
      <c r="AL309" s="71">
        <f t="shared" si="557"/>
        <v>-0.18571428571428572</v>
      </c>
      <c r="AM309" s="71">
        <f t="shared" si="557"/>
        <v>-9.0497737556560764E-3</v>
      </c>
      <c r="AN309" s="71">
        <f t="shared" si="557"/>
        <v>-2.8037383177570097E-2</v>
      </c>
      <c r="AO309" s="71">
        <f t="shared" si="557"/>
        <v>-5.9760956175298752E-2</v>
      </c>
      <c r="AP309" s="23">
        <f t="shared" si="557"/>
        <v>-7.7639751552795011E-2</v>
      </c>
      <c r="AQ309" s="71">
        <f t="shared" si="557"/>
        <v>-5.2631578947368474E-2</v>
      </c>
      <c r="AR309" s="71">
        <f t="shared" si="557"/>
        <v>-7.7625570776255759E-2</v>
      </c>
      <c r="AS309" s="71">
        <f t="shared" si="557"/>
        <v>-0.12980769230769229</v>
      </c>
      <c r="AT309" s="71">
        <f t="shared" ref="AT309" si="558">AT307/AO307-1</f>
        <v>-9.745762711864403E-2</v>
      </c>
      <c r="AU309" s="23">
        <f t="shared" ref="AU309:AX309" si="559">AU307/AP307-1</f>
        <v>-8.8664421997755372E-2</v>
      </c>
      <c r="AV309" s="71">
        <f t="shared" si="559"/>
        <v>-0.10648148148148151</v>
      </c>
      <c r="AW309" s="71">
        <f t="shared" si="559"/>
        <v>-9.4059405940594032E-2</v>
      </c>
      <c r="AX309" s="71">
        <f t="shared" si="559"/>
        <v>-3.8674033149171283E-2</v>
      </c>
      <c r="AY309" s="71">
        <f t="shared" ref="AY309" si="560">AY307/AT307-1</f>
        <v>4.6948356807512415E-3</v>
      </c>
      <c r="AZ309" s="23">
        <v>-5.9113300492610876E-2</v>
      </c>
      <c r="BA309" s="71">
        <v>-2.5906735751295318E-2</v>
      </c>
      <c r="BB309" s="71">
        <v>-0.10382513661202186</v>
      </c>
      <c r="BC309" s="71">
        <v>-0.10919540229885061</v>
      </c>
      <c r="BD309" s="71">
        <v>-0.15420560747663548</v>
      </c>
      <c r="BE309" s="23">
        <v>-9.9476439790575966E-2</v>
      </c>
      <c r="BF309" s="71">
        <v>-0.1436170212765957</v>
      </c>
      <c r="BG309" s="71">
        <v>-0.14634146341463417</v>
      </c>
      <c r="BH309" s="71">
        <v>7.0967741935483941E-2</v>
      </c>
      <c r="BI309" s="71">
        <v>2.7624309392265234E-2</v>
      </c>
      <c r="BJ309" s="23">
        <v>-5.0872093023255793E-2</v>
      </c>
      <c r="BK309" s="71">
        <v>4.3478260869565188E-2</v>
      </c>
    </row>
    <row r="310" spans="1:63" ht="3" customHeight="1">
      <c r="A310" s="39"/>
      <c r="B310" s="40"/>
      <c r="C310" s="41"/>
      <c r="D310" s="41"/>
      <c r="E310" s="41"/>
      <c r="F310" s="41"/>
      <c r="G310" s="40"/>
      <c r="H310" s="41"/>
      <c r="I310" s="41"/>
      <c r="J310" s="41"/>
      <c r="K310" s="41"/>
      <c r="L310" s="40"/>
      <c r="M310" s="41"/>
      <c r="N310" s="41"/>
      <c r="O310" s="41"/>
      <c r="P310" s="41"/>
      <c r="Q310" s="40"/>
      <c r="R310" s="41"/>
      <c r="S310" s="41"/>
      <c r="T310" s="41"/>
      <c r="U310" s="41"/>
      <c r="V310" s="40"/>
      <c r="W310" s="41"/>
      <c r="X310" s="41"/>
      <c r="Y310" s="41"/>
      <c r="Z310" s="41"/>
      <c r="AA310" s="40"/>
      <c r="AB310" s="41"/>
      <c r="AC310" s="41"/>
      <c r="AD310" s="41"/>
      <c r="AE310" s="41"/>
      <c r="AF310" s="40"/>
      <c r="AG310" s="41"/>
      <c r="AH310" s="41"/>
      <c r="AI310" s="41"/>
      <c r="AJ310" s="41"/>
      <c r="AK310" s="40"/>
      <c r="AL310" s="41"/>
      <c r="AM310" s="41"/>
      <c r="AN310" s="41"/>
      <c r="AO310" s="41"/>
      <c r="AP310" s="40"/>
      <c r="AQ310" s="41"/>
      <c r="AR310" s="41"/>
      <c r="AS310" s="41"/>
      <c r="AT310" s="41"/>
      <c r="AU310" s="40"/>
      <c r="AV310" s="41"/>
      <c r="AW310" s="41"/>
      <c r="AX310" s="41"/>
      <c r="AY310" s="41"/>
      <c r="AZ310" s="40"/>
      <c r="BA310" s="41"/>
      <c r="BB310" s="41"/>
      <c r="BC310" s="41"/>
      <c r="BD310" s="41"/>
      <c r="BE310" s="40"/>
      <c r="BF310" s="41"/>
      <c r="BG310" s="41"/>
      <c r="BH310" s="41"/>
      <c r="BI310" s="41"/>
      <c r="BJ310" s="40"/>
      <c r="BK310" s="41"/>
    </row>
    <row r="311" spans="1:63">
      <c r="A311" s="67" t="s">
        <v>133</v>
      </c>
      <c r="B311" s="119" t="s">
        <v>40</v>
      </c>
      <c r="C311" s="78" t="s">
        <v>48</v>
      </c>
      <c r="D311" s="78" t="s">
        <v>48</v>
      </c>
      <c r="E311" s="78" t="s">
        <v>48</v>
      </c>
      <c r="F311" s="78" t="s">
        <v>48</v>
      </c>
      <c r="G311" s="36">
        <v>2437</v>
      </c>
      <c r="H311" s="78" t="s">
        <v>48</v>
      </c>
      <c r="I311" s="78" t="s">
        <v>48</v>
      </c>
      <c r="J311" s="78" t="s">
        <v>48</v>
      </c>
      <c r="K311" s="78" t="s">
        <v>48</v>
      </c>
      <c r="L311" s="36">
        <v>2751</v>
      </c>
      <c r="M311" s="78" t="s">
        <v>48</v>
      </c>
      <c r="N311" s="78" t="s">
        <v>48</v>
      </c>
      <c r="O311" s="78" t="s">
        <v>48</v>
      </c>
      <c r="P311" s="78" t="s">
        <v>48</v>
      </c>
      <c r="Q311" s="36">
        <v>2899</v>
      </c>
      <c r="R311" s="78" t="s">
        <v>48</v>
      </c>
      <c r="S311" s="78" t="s">
        <v>48</v>
      </c>
      <c r="T311" s="78" t="s">
        <v>48</v>
      </c>
      <c r="U311" s="78" t="s">
        <v>48</v>
      </c>
      <c r="V311" s="36">
        <v>2985</v>
      </c>
      <c r="W311" s="78" t="s">
        <v>48</v>
      </c>
      <c r="X311" s="78" t="s">
        <v>48</v>
      </c>
      <c r="Y311" s="78" t="s">
        <v>48</v>
      </c>
      <c r="Z311" s="78" t="s">
        <v>48</v>
      </c>
      <c r="AA311" s="36">
        <v>2461</v>
      </c>
      <c r="AB311" s="78" t="s">
        <v>48</v>
      </c>
      <c r="AC311" s="78" t="s">
        <v>48</v>
      </c>
      <c r="AD311" s="78" t="s">
        <v>48</v>
      </c>
      <c r="AE311" s="78" t="s">
        <v>48</v>
      </c>
      <c r="AF311" s="36">
        <v>2114</v>
      </c>
      <c r="AG311" s="78" t="s">
        <v>48</v>
      </c>
      <c r="AH311" s="78" t="s">
        <v>48</v>
      </c>
      <c r="AI311" s="78" t="s">
        <v>48</v>
      </c>
      <c r="AJ311" s="78" t="s">
        <v>48</v>
      </c>
      <c r="AK311" s="36">
        <v>1930</v>
      </c>
      <c r="AL311" s="78" t="s">
        <v>48</v>
      </c>
      <c r="AM311" s="78" t="s">
        <v>48</v>
      </c>
      <c r="AN311" s="78" t="s">
        <v>48</v>
      </c>
      <c r="AO311" s="78" t="s">
        <v>48</v>
      </c>
      <c r="AP311" s="36">
        <v>1750</v>
      </c>
      <c r="AQ311" s="78" t="s">
        <v>48</v>
      </c>
      <c r="AR311" s="78" t="s">
        <v>48</v>
      </c>
      <c r="AS311" s="78" t="s">
        <v>48</v>
      </c>
      <c r="AT311" s="78" t="s">
        <v>48</v>
      </c>
      <c r="AU311" s="36">
        <v>1616</v>
      </c>
      <c r="AV311" s="78" t="s">
        <v>48</v>
      </c>
      <c r="AW311" s="78" t="s">
        <v>48</v>
      </c>
      <c r="AX311" s="78" t="s">
        <v>48</v>
      </c>
      <c r="AY311" s="78" t="s">
        <v>48</v>
      </c>
      <c r="AZ311" s="36">
        <v>1541</v>
      </c>
      <c r="BA311" s="78" t="s">
        <v>48</v>
      </c>
      <c r="BB311" s="78" t="s">
        <v>48</v>
      </c>
      <c r="BC311" s="78" t="s">
        <v>48</v>
      </c>
      <c r="BD311" s="78" t="s">
        <v>48</v>
      </c>
      <c r="BE311" s="36">
        <v>1415</v>
      </c>
      <c r="BF311" s="78" t="s">
        <v>48</v>
      </c>
      <c r="BG311" s="78" t="s">
        <v>48</v>
      </c>
      <c r="BH311" s="78" t="s">
        <v>48</v>
      </c>
      <c r="BI311" s="78" t="s">
        <v>48</v>
      </c>
      <c r="BJ311" s="36">
        <v>1334</v>
      </c>
      <c r="BK311" s="78" t="s">
        <v>48</v>
      </c>
    </row>
    <row r="312" spans="1:63" ht="9.75" customHeight="1">
      <c r="A312" s="69" t="s">
        <v>132</v>
      </c>
      <c r="B312" s="23"/>
      <c r="C312" s="71"/>
      <c r="D312" s="71"/>
      <c r="E312" s="71"/>
      <c r="F312" s="71"/>
      <c r="G312" s="23">
        <f>G311/G301</f>
        <v>0.51708041587099507</v>
      </c>
      <c r="H312" s="71"/>
      <c r="I312" s="71"/>
      <c r="J312" s="71"/>
      <c r="K312" s="71"/>
      <c r="L312" s="23">
        <f>L311/L301</f>
        <v>0.51171875</v>
      </c>
      <c r="M312" s="71"/>
      <c r="N312" s="71"/>
      <c r="O312" s="71"/>
      <c r="P312" s="71"/>
      <c r="Q312" s="23">
        <f>Q311/Q301</f>
        <v>0.50575715282623868</v>
      </c>
      <c r="R312" s="71"/>
      <c r="S312" s="71"/>
      <c r="T312" s="71"/>
      <c r="U312" s="71"/>
      <c r="V312" s="23">
        <f>V311/V301</f>
        <v>0.53803172314347514</v>
      </c>
      <c r="W312" s="71"/>
      <c r="X312" s="71"/>
      <c r="Y312" s="71"/>
      <c r="Z312" s="71"/>
      <c r="AA312" s="23">
        <f>AA311/AA301</f>
        <v>0.55080572963294538</v>
      </c>
      <c r="AB312" s="71"/>
      <c r="AC312" s="71"/>
      <c r="AD312" s="71"/>
      <c r="AE312" s="71"/>
      <c r="AF312" s="23">
        <f>AF311/AF301</f>
        <v>0.55500131268049357</v>
      </c>
      <c r="AG312" s="71"/>
      <c r="AH312" s="71"/>
      <c r="AI312" s="71"/>
      <c r="AJ312" s="71"/>
      <c r="AK312" s="23">
        <f>AK311/AK301</f>
        <v>0.56449254167885343</v>
      </c>
      <c r="AL312" s="71"/>
      <c r="AM312" s="71"/>
      <c r="AN312" s="71"/>
      <c r="AO312" s="71"/>
      <c r="AP312" s="23">
        <f>AP311/AP301</f>
        <v>0.60553633217993075</v>
      </c>
      <c r="AQ312" s="71"/>
      <c r="AR312" s="71"/>
      <c r="AS312" s="71"/>
      <c r="AT312" s="71"/>
      <c r="AU312" s="23">
        <f>AU311/AU301</f>
        <v>0.61444866920152086</v>
      </c>
      <c r="AV312" s="71"/>
      <c r="AW312" s="71"/>
      <c r="AX312" s="71"/>
      <c r="AY312" s="71"/>
      <c r="AZ312" s="23">
        <v>0.60526315789473684</v>
      </c>
      <c r="BA312" s="71"/>
      <c r="BB312" s="71"/>
      <c r="BC312" s="71"/>
      <c r="BD312" s="71"/>
      <c r="BE312" s="23">
        <v>0.57920589439214076</v>
      </c>
      <c r="BF312" s="71"/>
      <c r="BG312" s="71"/>
      <c r="BH312" s="71"/>
      <c r="BI312" s="71"/>
      <c r="BJ312" s="23">
        <v>0.56477561388653685</v>
      </c>
      <c r="BK312" s="71"/>
    </row>
    <row r="313" spans="1:63" ht="12" customHeight="1">
      <c r="A313" s="67" t="s">
        <v>131</v>
      </c>
      <c r="B313" s="119" t="s">
        <v>40</v>
      </c>
      <c r="C313" s="78" t="s">
        <v>48</v>
      </c>
      <c r="D313" s="78" t="s">
        <v>48</v>
      </c>
      <c r="E313" s="78" t="s">
        <v>48</v>
      </c>
      <c r="F313" s="78" t="s">
        <v>48</v>
      </c>
      <c r="G313" s="36">
        <v>2276</v>
      </c>
      <c r="H313" s="78" t="s">
        <v>48</v>
      </c>
      <c r="I313" s="78" t="s">
        <v>48</v>
      </c>
      <c r="J313" s="78" t="s">
        <v>48</v>
      </c>
      <c r="K313" s="78" t="s">
        <v>48</v>
      </c>
      <c r="L313" s="36">
        <v>2625</v>
      </c>
      <c r="M313" s="78" t="s">
        <v>48</v>
      </c>
      <c r="N313" s="78" t="s">
        <v>48</v>
      </c>
      <c r="O313" s="78" t="s">
        <v>48</v>
      </c>
      <c r="P313" s="78" t="s">
        <v>48</v>
      </c>
      <c r="Q313" s="36">
        <v>2833</v>
      </c>
      <c r="R313" s="78" t="s">
        <v>48</v>
      </c>
      <c r="S313" s="78" t="s">
        <v>48</v>
      </c>
      <c r="T313" s="78" t="s">
        <v>48</v>
      </c>
      <c r="U313" s="78" t="s">
        <v>48</v>
      </c>
      <c r="V313" s="36">
        <v>2563</v>
      </c>
      <c r="W313" s="78" t="s">
        <v>48</v>
      </c>
      <c r="X313" s="78" t="s">
        <v>48</v>
      </c>
      <c r="Y313" s="78" t="s">
        <v>48</v>
      </c>
      <c r="Z313" s="78" t="s">
        <v>48</v>
      </c>
      <c r="AA313" s="36">
        <v>2007</v>
      </c>
      <c r="AB313" s="78" t="s">
        <v>48</v>
      </c>
      <c r="AC313" s="78" t="s">
        <v>48</v>
      </c>
      <c r="AD313" s="78" t="s">
        <v>48</v>
      </c>
      <c r="AE313" s="78" t="s">
        <v>48</v>
      </c>
      <c r="AF313" s="36">
        <v>1695</v>
      </c>
      <c r="AG313" s="78" t="s">
        <v>48</v>
      </c>
      <c r="AH313" s="78" t="s">
        <v>48</v>
      </c>
      <c r="AI313" s="78" t="s">
        <v>48</v>
      </c>
      <c r="AJ313" s="78" t="s">
        <v>48</v>
      </c>
      <c r="AK313" s="36">
        <v>1490</v>
      </c>
      <c r="AL313" s="78" t="s">
        <v>48</v>
      </c>
      <c r="AM313" s="78" t="s">
        <v>48</v>
      </c>
      <c r="AN313" s="78" t="s">
        <v>48</v>
      </c>
      <c r="AO313" s="78" t="s">
        <v>48</v>
      </c>
      <c r="AP313" s="36">
        <v>1140</v>
      </c>
      <c r="AQ313" s="78" t="s">
        <v>48</v>
      </c>
      <c r="AR313" s="78" t="s">
        <v>48</v>
      </c>
      <c r="AS313" s="78" t="s">
        <v>48</v>
      </c>
      <c r="AT313" s="78" t="s">
        <v>48</v>
      </c>
      <c r="AU313" s="36">
        <v>1015</v>
      </c>
      <c r="AV313" s="78" t="s">
        <v>48</v>
      </c>
      <c r="AW313" s="78" t="s">
        <v>48</v>
      </c>
      <c r="AX313" s="78" t="s">
        <v>48</v>
      </c>
      <c r="AY313" s="78" t="s">
        <v>48</v>
      </c>
      <c r="AZ313" s="36">
        <v>1005</v>
      </c>
      <c r="BA313" s="78" t="s">
        <v>48</v>
      </c>
      <c r="BB313" s="78" t="s">
        <v>48</v>
      </c>
      <c r="BC313" s="78" t="s">
        <v>48</v>
      </c>
      <c r="BD313" s="78" t="s">
        <v>48</v>
      </c>
      <c r="BE313" s="36">
        <v>1028</v>
      </c>
      <c r="BF313" s="78" t="s">
        <v>48</v>
      </c>
      <c r="BG313" s="78" t="s">
        <v>48</v>
      </c>
      <c r="BH313" s="78" t="s">
        <v>48</v>
      </c>
      <c r="BI313" s="78" t="s">
        <v>48</v>
      </c>
      <c r="BJ313" s="36">
        <v>1028</v>
      </c>
      <c r="BK313" s="78" t="s">
        <v>48</v>
      </c>
    </row>
    <row r="314" spans="1:63" ht="9" customHeight="1">
      <c r="A314" s="69" t="s">
        <v>132</v>
      </c>
      <c r="B314" s="23"/>
      <c r="C314" s="71"/>
      <c r="D314" s="71"/>
      <c r="E314" s="71"/>
      <c r="F314" s="71"/>
      <c r="G314" s="23">
        <f>G313/G301</f>
        <v>0.48291958412900488</v>
      </c>
      <c r="H314" s="71"/>
      <c r="I314" s="71"/>
      <c r="J314" s="71"/>
      <c r="K314" s="71"/>
      <c r="L314" s="23">
        <f>L313/L301</f>
        <v>0.48828125</v>
      </c>
      <c r="M314" s="71"/>
      <c r="N314" s="71"/>
      <c r="O314" s="71"/>
      <c r="P314" s="71"/>
      <c r="Q314" s="23">
        <f>Q313/Q301</f>
        <v>0.49424284717376132</v>
      </c>
      <c r="R314" s="71"/>
      <c r="S314" s="71"/>
      <c r="T314" s="71"/>
      <c r="U314" s="71"/>
      <c r="V314" s="23">
        <f>V313/V301</f>
        <v>0.46196827685652486</v>
      </c>
      <c r="W314" s="71"/>
      <c r="X314" s="71"/>
      <c r="Y314" s="71"/>
      <c r="Z314" s="71"/>
      <c r="AA314" s="23">
        <f>AA313/AA301</f>
        <v>0.44919427036705462</v>
      </c>
      <c r="AB314" s="71"/>
      <c r="AC314" s="71"/>
      <c r="AD314" s="71"/>
      <c r="AE314" s="71"/>
      <c r="AF314" s="23">
        <f>AF313/AF301</f>
        <v>0.44499868731950643</v>
      </c>
      <c r="AG314" s="71"/>
      <c r="AH314" s="71"/>
      <c r="AI314" s="71"/>
      <c r="AJ314" s="71"/>
      <c r="AK314" s="23">
        <f>AK313/AK301</f>
        <v>0.43579994150336354</v>
      </c>
      <c r="AL314" s="71"/>
      <c r="AM314" s="71"/>
      <c r="AN314" s="71"/>
      <c r="AO314" s="71"/>
      <c r="AP314" s="23">
        <f>AP313/AP301</f>
        <v>0.3944636678200692</v>
      </c>
      <c r="AQ314" s="71"/>
      <c r="AR314" s="71"/>
      <c r="AS314" s="71"/>
      <c r="AT314" s="71"/>
      <c r="AU314" s="23">
        <f>AU313/AU301</f>
        <v>0.38593155893536124</v>
      </c>
      <c r="AV314" s="71"/>
      <c r="AW314" s="71"/>
      <c r="AX314" s="71"/>
      <c r="AY314" s="71"/>
      <c r="AZ314" s="23">
        <v>0.39473684210526316</v>
      </c>
      <c r="BA314" s="71"/>
      <c r="BB314" s="71"/>
      <c r="BC314" s="71"/>
      <c r="BD314" s="71"/>
      <c r="BE314" s="23">
        <v>0.42079410560785918</v>
      </c>
      <c r="BF314" s="71"/>
      <c r="BG314" s="71"/>
      <c r="BH314" s="71"/>
      <c r="BI314" s="71"/>
      <c r="BJ314" s="23">
        <v>0.43522438611346315</v>
      </c>
      <c r="BK314" s="71"/>
    </row>
    <row r="315" spans="1:63">
      <c r="A315" s="39" t="s">
        <v>27</v>
      </c>
      <c r="B315" s="40"/>
      <c r="C315" s="41"/>
      <c r="D315" s="41"/>
      <c r="E315" s="41"/>
      <c r="F315" s="41"/>
      <c r="G315" s="40"/>
      <c r="H315" s="41"/>
      <c r="I315" s="41"/>
      <c r="J315" s="41"/>
      <c r="K315" s="41"/>
      <c r="L315" s="40"/>
      <c r="M315" s="41"/>
      <c r="N315" s="41"/>
      <c r="O315" s="41"/>
      <c r="P315" s="41"/>
      <c r="Q315" s="40"/>
      <c r="R315" s="41"/>
      <c r="S315" s="41"/>
      <c r="T315" s="41"/>
      <c r="U315" s="41"/>
      <c r="V315" s="40"/>
      <c r="W315" s="41"/>
      <c r="X315" s="41"/>
      <c r="Y315" s="41"/>
      <c r="Z315" s="41"/>
      <c r="AA315" s="40"/>
      <c r="AB315" s="41"/>
      <c r="AC315" s="41"/>
      <c r="AD315" s="41"/>
      <c r="AE315" s="41"/>
      <c r="AF315" s="40"/>
      <c r="AG315" s="41"/>
      <c r="AH315" s="41"/>
      <c r="AI315" s="41"/>
      <c r="AJ315" s="41"/>
      <c r="AK315" s="40"/>
      <c r="AL315" s="41"/>
      <c r="AM315" s="41"/>
      <c r="AN315" s="41"/>
      <c r="AO315" s="41"/>
      <c r="AP315" s="40"/>
      <c r="AQ315" s="41"/>
      <c r="AR315" s="41"/>
      <c r="AS315" s="41"/>
      <c r="AT315" s="41"/>
      <c r="AU315" s="40"/>
      <c r="AV315" s="41"/>
      <c r="AW315" s="41"/>
      <c r="AX315" s="41"/>
      <c r="AY315" s="41"/>
      <c r="AZ315" s="40"/>
      <c r="BA315" s="41"/>
      <c r="BB315" s="41"/>
      <c r="BC315" s="41"/>
      <c r="BD315" s="41"/>
      <c r="BE315" s="40"/>
      <c r="BF315" s="41"/>
      <c r="BG315" s="41"/>
      <c r="BH315" s="41"/>
      <c r="BI315" s="41"/>
      <c r="BJ315" s="40"/>
      <c r="BK315" s="41"/>
    </row>
    <row r="316" spans="1:63" hidden="1">
      <c r="A316" s="67" t="s">
        <v>78</v>
      </c>
      <c r="B316" s="36">
        <v>3347</v>
      </c>
      <c r="C316" s="78" t="s">
        <v>48</v>
      </c>
      <c r="D316" s="78" t="s">
        <v>48</v>
      </c>
      <c r="E316" s="78" t="s">
        <v>48</v>
      </c>
      <c r="F316" s="78" t="s">
        <v>48</v>
      </c>
      <c r="G316" s="36">
        <v>3235</v>
      </c>
      <c r="H316" s="68">
        <v>818</v>
      </c>
      <c r="I316" s="68">
        <v>899</v>
      </c>
      <c r="J316" s="68">
        <v>910</v>
      </c>
      <c r="K316" s="68">
        <f>L316-J316-I316-H316</f>
        <v>965</v>
      </c>
      <c r="L316" s="36">
        <v>3592</v>
      </c>
      <c r="M316" s="68">
        <v>923</v>
      </c>
      <c r="N316" s="68">
        <v>920</v>
      </c>
      <c r="O316" s="68">
        <v>941</v>
      </c>
      <c r="P316" s="68">
        <f>Q316-O316-N316-M316</f>
        <v>970</v>
      </c>
      <c r="Q316" s="36">
        <v>3754</v>
      </c>
      <c r="R316" s="68">
        <v>902</v>
      </c>
      <c r="S316" s="68">
        <v>927</v>
      </c>
      <c r="T316" s="68">
        <v>926</v>
      </c>
      <c r="U316" s="68">
        <f>V316-T316-S316-R316</f>
        <v>832</v>
      </c>
      <c r="V316" s="36">
        <v>3587</v>
      </c>
      <c r="W316" s="68">
        <v>831</v>
      </c>
      <c r="X316" s="68">
        <v>752</v>
      </c>
      <c r="Y316" s="68">
        <v>716</v>
      </c>
      <c r="Z316" s="68">
        <f>AA316-Y316-X316-W316</f>
        <v>741</v>
      </c>
      <c r="AA316" s="36">
        <v>3040</v>
      </c>
      <c r="AB316" s="68">
        <v>676</v>
      </c>
      <c r="AC316" s="68">
        <v>627</v>
      </c>
      <c r="AD316" s="68">
        <v>675</v>
      </c>
      <c r="AE316" s="68">
        <f>AF316-AD316-AC316-AB316</f>
        <v>733</v>
      </c>
      <c r="AF316" s="36">
        <v>2711</v>
      </c>
      <c r="AG316" s="68">
        <v>681</v>
      </c>
      <c r="AH316" s="68">
        <v>612</v>
      </c>
      <c r="AI316" s="68">
        <v>601</v>
      </c>
      <c r="AJ316" s="68">
        <f>AK316-AI316-AH316-AG316</f>
        <v>643</v>
      </c>
      <c r="AK316" s="36">
        <v>2537</v>
      </c>
      <c r="AL316" s="68">
        <v>607</v>
      </c>
      <c r="AM316" s="68">
        <v>588</v>
      </c>
      <c r="AN316" s="68">
        <v>586</v>
      </c>
      <c r="AO316" s="68">
        <f>AP316-AN316-AM316-AL316</f>
        <v>602</v>
      </c>
      <c r="AP316" s="36">
        <v>2383</v>
      </c>
      <c r="AQ316" s="68">
        <v>579</v>
      </c>
      <c r="AR316" s="68">
        <v>560</v>
      </c>
      <c r="AS316" s="68">
        <v>536</v>
      </c>
      <c r="AT316" s="68">
        <f>AU316-AS316-AR316-AQ316</f>
        <v>573</v>
      </c>
      <c r="AU316" s="36">
        <v>2248</v>
      </c>
      <c r="AV316" s="68">
        <v>553</v>
      </c>
      <c r="AW316" s="68">
        <v>529</v>
      </c>
      <c r="AX316" s="68">
        <v>534</v>
      </c>
      <c r="AY316" s="68">
        <f>AZ316-AX316-AW316-AV316</f>
        <v>555</v>
      </c>
      <c r="AZ316" s="36">
        <v>2171</v>
      </c>
      <c r="BA316" s="68">
        <v>531</v>
      </c>
      <c r="BB316" s="68">
        <v>523</v>
      </c>
      <c r="BC316" s="68">
        <v>521</v>
      </c>
      <c r="BD316" s="68"/>
      <c r="BE316" s="36"/>
      <c r="BF316" s="68"/>
      <c r="BG316" s="68"/>
      <c r="BH316" s="68"/>
      <c r="BI316" s="68"/>
      <c r="BJ316" s="36"/>
      <c r="BK316" s="68"/>
    </row>
    <row r="317" spans="1:63" ht="9.75" hidden="1" customHeight="1">
      <c r="A317" s="69" t="s">
        <v>7</v>
      </c>
      <c r="B317" s="23"/>
      <c r="C317" s="70"/>
      <c r="D317" s="70"/>
      <c r="E317" s="70"/>
      <c r="F317" s="70"/>
      <c r="G317" s="23"/>
      <c r="H317" s="70"/>
      <c r="I317" s="70">
        <f>I316/H316-1</f>
        <v>9.9022004889975479E-2</v>
      </c>
      <c r="J317" s="70">
        <f>J316/I316-1</f>
        <v>1.2235817575083408E-2</v>
      </c>
      <c r="K317" s="70">
        <f>K316/J316-1</f>
        <v>6.0439560439560447E-2</v>
      </c>
      <c r="L317" s="23"/>
      <c r="M317" s="70">
        <f>M316/K316-1</f>
        <v>-4.3523316062176187E-2</v>
      </c>
      <c r="N317" s="70">
        <f>N316/M316-1</f>
        <v>-3.25027085590468E-3</v>
      </c>
      <c r="O317" s="70">
        <f>O316/N316-1</f>
        <v>2.2826086956521774E-2</v>
      </c>
      <c r="P317" s="70">
        <f>P316/O316-1</f>
        <v>3.0818278427205081E-2</v>
      </c>
      <c r="Q317" s="23"/>
      <c r="R317" s="70">
        <f>R316/P316-1</f>
        <v>-7.0103092783505128E-2</v>
      </c>
      <c r="S317" s="70">
        <f>S316/R316-1</f>
        <v>2.7716186252771724E-2</v>
      </c>
      <c r="T317" s="70">
        <f>T316/S316-1</f>
        <v>-1.0787486515642097E-3</v>
      </c>
      <c r="U317" s="70">
        <f>U316/T316-1</f>
        <v>-0.10151187904967607</v>
      </c>
      <c r="V317" s="23"/>
      <c r="W317" s="70">
        <f>W316/U316-1</f>
        <v>-1.2019230769231282E-3</v>
      </c>
      <c r="X317" s="70">
        <f>X316/W316-1</f>
        <v>-9.5066185318892882E-2</v>
      </c>
      <c r="Y317" s="70">
        <f>Y316/X316-1</f>
        <v>-4.7872340425531901E-2</v>
      </c>
      <c r="Z317" s="70">
        <f>Z316/Y316-1</f>
        <v>3.4916201117318524E-2</v>
      </c>
      <c r="AA317" s="23"/>
      <c r="AB317" s="70">
        <f>AB316/Z316-1</f>
        <v>-8.7719298245614086E-2</v>
      </c>
      <c r="AC317" s="70">
        <f>AC316/AB316-1</f>
        <v>-7.2485207100591698E-2</v>
      </c>
      <c r="AD317" s="70">
        <f>AD316/AC316-1</f>
        <v>7.6555023923444931E-2</v>
      </c>
      <c r="AE317" s="70">
        <f>AE316/AD316-1</f>
        <v>8.5925925925925961E-2</v>
      </c>
      <c r="AF317" s="23"/>
      <c r="AG317" s="70">
        <f>AG316/AE316-1</f>
        <v>-7.0941336971350633E-2</v>
      </c>
      <c r="AH317" s="70">
        <f>AH316/AG316-1</f>
        <v>-0.10132158590308371</v>
      </c>
      <c r="AI317" s="70">
        <f>AI316/AH316-1</f>
        <v>-1.7973856209150374E-2</v>
      </c>
      <c r="AJ317" s="70">
        <f>AJ316/AI316-1</f>
        <v>6.9883527454242866E-2</v>
      </c>
      <c r="AK317" s="23"/>
      <c r="AL317" s="70">
        <f>AL316/AJ316-1</f>
        <v>-5.5987558320373276E-2</v>
      </c>
      <c r="AM317" s="70">
        <f>AM316/AL316-1</f>
        <v>-3.1301482701812211E-2</v>
      </c>
      <c r="AN317" s="70">
        <f>AN316/AM316-1</f>
        <v>-3.4013605442176909E-3</v>
      </c>
      <c r="AO317" s="70">
        <f>AO316/AN316-1</f>
        <v>2.7303754266211566E-2</v>
      </c>
      <c r="AP317" s="23"/>
      <c r="AQ317" s="70">
        <f>AQ316/AO316-1</f>
        <v>-3.8205980066445155E-2</v>
      </c>
      <c r="AR317" s="70">
        <f>AR316/AQ316-1</f>
        <v>-3.2815198618307395E-2</v>
      </c>
      <c r="AS317" s="70">
        <f>AS316/AR316-1</f>
        <v>-4.2857142857142816E-2</v>
      </c>
      <c r="AT317" s="70">
        <f>AT316/AS316-1</f>
        <v>6.9029850746268551E-2</v>
      </c>
      <c r="AU317" s="23"/>
      <c r="AV317" s="70">
        <f>AV316/AT316-1</f>
        <v>-3.4904013961605584E-2</v>
      </c>
      <c r="AW317" s="70">
        <f>AW316/AV316-1</f>
        <v>-4.339963833634719E-2</v>
      </c>
      <c r="AX317" s="70">
        <f>AX316/AW316-1</f>
        <v>9.4517958412099201E-3</v>
      </c>
      <c r="AY317" s="70">
        <f>AY316/AX316-1</f>
        <v>3.9325842696629199E-2</v>
      </c>
      <c r="AZ317" s="23"/>
      <c r="BA317" s="70">
        <v>-4.3243243243243246E-2</v>
      </c>
      <c r="BB317" s="70">
        <v>-1.5065913370998163E-2</v>
      </c>
      <c r="BC317" s="70">
        <v>-3.8240917782026429E-3</v>
      </c>
      <c r="BD317" s="70"/>
      <c r="BE317" s="23"/>
      <c r="BF317" s="70"/>
      <c r="BG317" s="70"/>
      <c r="BH317" s="70"/>
      <c r="BI317" s="70"/>
      <c r="BJ317" s="23"/>
      <c r="BK317" s="70"/>
    </row>
    <row r="318" spans="1:63" ht="9.75" hidden="1" customHeight="1">
      <c r="A318" s="69" t="s">
        <v>8</v>
      </c>
      <c r="B318" s="23"/>
      <c r="C318" s="71"/>
      <c r="D318" s="71"/>
      <c r="E318" s="71"/>
      <c r="F318" s="71"/>
      <c r="G318" s="23">
        <f>G316/B316-1</f>
        <v>-3.3462802509710232E-2</v>
      </c>
      <c r="H318" s="71"/>
      <c r="I318" s="71"/>
      <c r="J318" s="71"/>
      <c r="K318" s="71"/>
      <c r="L318" s="23">
        <f t="shared" ref="L318:AD318" si="561">L316/G316-1</f>
        <v>0.11035548686244212</v>
      </c>
      <c r="M318" s="71">
        <f t="shared" si="561"/>
        <v>0.12836185819070911</v>
      </c>
      <c r="N318" s="71">
        <f t="shared" si="561"/>
        <v>2.3359288097886566E-2</v>
      </c>
      <c r="O318" s="71">
        <f t="shared" si="561"/>
        <v>3.4065934065934167E-2</v>
      </c>
      <c r="P318" s="71">
        <f t="shared" si="561"/>
        <v>5.1813471502590858E-3</v>
      </c>
      <c r="Q318" s="23">
        <f t="shared" si="561"/>
        <v>4.5100222717149308E-2</v>
      </c>
      <c r="R318" s="71">
        <f t="shared" si="561"/>
        <v>-2.2751895991332649E-2</v>
      </c>
      <c r="S318" s="71">
        <f t="shared" si="561"/>
        <v>7.6086956521739246E-3</v>
      </c>
      <c r="T318" s="71">
        <f t="shared" si="561"/>
        <v>-1.5940488841657774E-2</v>
      </c>
      <c r="U318" s="71">
        <f t="shared" si="561"/>
        <v>-0.14226804123711345</v>
      </c>
      <c r="V318" s="23">
        <f t="shared" si="561"/>
        <v>-4.4485881726158749E-2</v>
      </c>
      <c r="W318" s="71">
        <f t="shared" si="561"/>
        <v>-7.8713968957871416E-2</v>
      </c>
      <c r="X318" s="71">
        <f t="shared" si="561"/>
        <v>-0.18878101402373249</v>
      </c>
      <c r="Y318" s="71">
        <f t="shared" si="561"/>
        <v>-0.22678185745140389</v>
      </c>
      <c r="Z318" s="71">
        <f t="shared" si="561"/>
        <v>-0.109375</v>
      </c>
      <c r="AA318" s="23">
        <f t="shared" si="561"/>
        <v>-0.15249512127125731</v>
      </c>
      <c r="AB318" s="71">
        <f t="shared" si="561"/>
        <v>-0.18652226233453673</v>
      </c>
      <c r="AC318" s="71">
        <f t="shared" si="561"/>
        <v>-0.16622340425531912</v>
      </c>
      <c r="AD318" s="71">
        <f t="shared" si="561"/>
        <v>-5.7262569832402188E-2</v>
      </c>
      <c r="AE318" s="71">
        <f t="shared" ref="AE318:AN318" si="562">AE316/Z316-1</f>
        <v>-1.0796221322537103E-2</v>
      </c>
      <c r="AF318" s="23">
        <f t="shared" si="562"/>
        <v>-0.10822368421052631</v>
      </c>
      <c r="AG318" s="71">
        <f t="shared" si="562"/>
        <v>7.3964497041421051E-3</v>
      </c>
      <c r="AH318" s="71">
        <f t="shared" si="562"/>
        <v>-2.3923444976076569E-2</v>
      </c>
      <c r="AI318" s="71">
        <f t="shared" si="562"/>
        <v>-0.10962962962962963</v>
      </c>
      <c r="AJ318" s="71">
        <f t="shared" si="562"/>
        <v>-0.12278308321964526</v>
      </c>
      <c r="AK318" s="23">
        <f t="shared" si="562"/>
        <v>-6.4182958317963834E-2</v>
      </c>
      <c r="AL318" s="71">
        <f t="shared" si="562"/>
        <v>-0.10866372980910421</v>
      </c>
      <c r="AM318" s="71">
        <f t="shared" si="562"/>
        <v>-3.9215686274509776E-2</v>
      </c>
      <c r="AN318" s="71">
        <f t="shared" si="562"/>
        <v>-2.4958402662229595E-2</v>
      </c>
      <c r="AO318" s="71">
        <f>AO316/AJ316-1</f>
        <v>-6.3763608087091805E-2</v>
      </c>
      <c r="AP318" s="23">
        <f>AP316/AK316-1</f>
        <v>-6.0701616081986653E-2</v>
      </c>
      <c r="AQ318" s="71">
        <f t="shared" ref="AQ318:AS318" si="563">AQ316/AL316-1</f>
        <v>-4.6128500823723217E-2</v>
      </c>
      <c r="AR318" s="71">
        <f t="shared" si="563"/>
        <v>-4.7619047619047672E-2</v>
      </c>
      <c r="AS318" s="71">
        <f t="shared" si="563"/>
        <v>-8.5324232081911311E-2</v>
      </c>
      <c r="AT318" s="71">
        <f>AT316/AO316-1</f>
        <v>-4.8172757475083094E-2</v>
      </c>
      <c r="AU318" s="23">
        <f>AU316/AP316-1</f>
        <v>-5.6651279899286644E-2</v>
      </c>
      <c r="AV318" s="71">
        <f t="shared" ref="AV318:AX318" si="564">AV316/AQ316-1</f>
        <v>-4.4905008635578558E-2</v>
      </c>
      <c r="AW318" s="71">
        <f t="shared" si="564"/>
        <v>-5.5357142857142883E-2</v>
      </c>
      <c r="AX318" s="71">
        <f t="shared" si="564"/>
        <v>-3.7313432835820448E-3</v>
      </c>
      <c r="AY318" s="71">
        <f>AY316/AT316-1</f>
        <v>-3.1413612565445059E-2</v>
      </c>
      <c r="AZ318" s="23">
        <v>-3.4252669039145922E-2</v>
      </c>
      <c r="BA318" s="71">
        <v>-3.9783001808318286E-2</v>
      </c>
      <c r="BB318" s="71">
        <v>-1.1342155009451793E-2</v>
      </c>
      <c r="BC318" s="71">
        <v>-2.4344569288389462E-2</v>
      </c>
      <c r="BD318" s="71"/>
      <c r="BE318" s="23">
        <v>-1</v>
      </c>
      <c r="BF318" s="71"/>
      <c r="BG318" s="71"/>
      <c r="BH318" s="71"/>
      <c r="BI318" s="71"/>
      <c r="BJ318" s="23" t="e">
        <v>#DIV/0!</v>
      </c>
      <c r="BK318" s="71"/>
    </row>
    <row r="319" spans="1:63" hidden="1">
      <c r="A319" s="67" t="s">
        <v>97</v>
      </c>
      <c r="B319" s="36">
        <v>1337</v>
      </c>
      <c r="C319" s="78" t="s">
        <v>48</v>
      </c>
      <c r="D319" s="78" t="s">
        <v>48</v>
      </c>
      <c r="E319" s="78" t="s">
        <v>48</v>
      </c>
      <c r="F319" s="78" t="s">
        <v>48</v>
      </c>
      <c r="G319" s="36">
        <v>1478</v>
      </c>
      <c r="H319" s="68">
        <v>447</v>
      </c>
      <c r="I319" s="68">
        <v>447</v>
      </c>
      <c r="J319" s="68">
        <v>462</v>
      </c>
      <c r="K319" s="68">
        <f>L319-J319-I319-H319</f>
        <v>428</v>
      </c>
      <c r="L319" s="36">
        <v>1784</v>
      </c>
      <c r="M319" s="68">
        <v>470</v>
      </c>
      <c r="N319" s="68">
        <v>509</v>
      </c>
      <c r="O319" s="68">
        <v>501</v>
      </c>
      <c r="P319" s="68">
        <f>Q319-O319-N319-M319</f>
        <v>498</v>
      </c>
      <c r="Q319" s="36">
        <v>1978</v>
      </c>
      <c r="R319" s="68">
        <v>548</v>
      </c>
      <c r="S319" s="68">
        <v>511</v>
      </c>
      <c r="T319" s="68">
        <v>495</v>
      </c>
      <c r="U319" s="68">
        <f>V319-T319-S319-R319</f>
        <v>407</v>
      </c>
      <c r="V319" s="36">
        <v>1961</v>
      </c>
      <c r="W319" s="68">
        <v>413</v>
      </c>
      <c r="X319" s="68">
        <v>396</v>
      </c>
      <c r="Y319" s="68">
        <v>333</v>
      </c>
      <c r="Z319" s="68">
        <f>AA319-Y319-X319-W319</f>
        <v>286</v>
      </c>
      <c r="AA319" s="36">
        <v>1428</v>
      </c>
      <c r="AB319" s="68">
        <f>AB301-AB316</f>
        <v>288</v>
      </c>
      <c r="AC319" s="68">
        <f>AC301-AC316</f>
        <v>288</v>
      </c>
      <c r="AD319" s="68">
        <f>AD301-AD316</f>
        <v>272</v>
      </c>
      <c r="AE319" s="68">
        <f>AF319-AD319-AC319-AB319</f>
        <v>250</v>
      </c>
      <c r="AF319" s="36">
        <f>AF301-AF316</f>
        <v>1098</v>
      </c>
      <c r="AG319" s="68">
        <v>236</v>
      </c>
      <c r="AH319" s="68">
        <v>231</v>
      </c>
      <c r="AI319" s="68">
        <v>223</v>
      </c>
      <c r="AJ319" s="68">
        <f>AK319-AI319-AH319-AG319</f>
        <v>192</v>
      </c>
      <c r="AK319" s="36">
        <v>882</v>
      </c>
      <c r="AL319" s="68">
        <v>120</v>
      </c>
      <c r="AM319" s="68">
        <v>133</v>
      </c>
      <c r="AN319" s="68">
        <v>143</v>
      </c>
      <c r="AO319" s="68">
        <f>AP319-AN319-AM319-AL319</f>
        <v>111</v>
      </c>
      <c r="AP319" s="36">
        <v>507</v>
      </c>
      <c r="AQ319" s="68">
        <v>92</v>
      </c>
      <c r="AR319" s="68">
        <v>98</v>
      </c>
      <c r="AS319" s="68">
        <v>113</v>
      </c>
      <c r="AT319" s="68">
        <f>AU319-AS319-AR319-AQ319</f>
        <v>79</v>
      </c>
      <c r="AU319" s="36">
        <v>382</v>
      </c>
      <c r="AV319" s="68">
        <v>75</v>
      </c>
      <c r="AW319" s="68">
        <v>103</v>
      </c>
      <c r="AX319" s="68">
        <v>101</v>
      </c>
      <c r="AY319" s="68">
        <f>AZ319-AX319-AW319-AV319</f>
        <v>96</v>
      </c>
      <c r="AZ319" s="36">
        <v>375</v>
      </c>
      <c r="BA319" s="68">
        <v>88</v>
      </c>
      <c r="BB319" s="68">
        <v>79</v>
      </c>
      <c r="BC319" s="68">
        <v>83</v>
      </c>
      <c r="BD319" s="68"/>
      <c r="BE319" s="36"/>
      <c r="BF319" s="68"/>
      <c r="BG319" s="68"/>
      <c r="BH319" s="68"/>
      <c r="BI319" s="68"/>
      <c r="BJ319" s="36"/>
      <c r="BK319" s="68"/>
    </row>
    <row r="320" spans="1:63" ht="10.5" hidden="1" customHeight="1">
      <c r="A320" s="69" t="s">
        <v>7</v>
      </c>
      <c r="B320" s="23"/>
      <c r="C320" s="70"/>
      <c r="D320" s="70"/>
      <c r="E320" s="70"/>
      <c r="F320" s="70"/>
      <c r="G320" s="23"/>
      <c r="H320" s="70"/>
      <c r="I320" s="70">
        <f>I319/H319-1</f>
        <v>0</v>
      </c>
      <c r="J320" s="70">
        <f>J319/I319-1</f>
        <v>3.3557046979865834E-2</v>
      </c>
      <c r="K320" s="70">
        <f>K319/J319-1</f>
        <v>-7.3593073593073544E-2</v>
      </c>
      <c r="L320" s="23"/>
      <c r="M320" s="70">
        <f>M319/K319-1</f>
        <v>9.8130841121495394E-2</v>
      </c>
      <c r="N320" s="70">
        <f>N319/M319-1</f>
        <v>8.2978723404255383E-2</v>
      </c>
      <c r="O320" s="70">
        <f>O319/N319-1</f>
        <v>-1.5717092337917515E-2</v>
      </c>
      <c r="P320" s="70">
        <f>P319/O319-1</f>
        <v>-5.9880239520958556E-3</v>
      </c>
      <c r="Q320" s="23"/>
      <c r="R320" s="70">
        <f>R319/P319-1</f>
        <v>0.10040160642570273</v>
      </c>
      <c r="S320" s="70">
        <f>S319/R319-1</f>
        <v>-6.7518248175182483E-2</v>
      </c>
      <c r="T320" s="70">
        <f>T319/S319-1</f>
        <v>-3.131115459882583E-2</v>
      </c>
      <c r="U320" s="70">
        <f>U319/T319-1</f>
        <v>-0.17777777777777781</v>
      </c>
      <c r="V320" s="23"/>
      <c r="W320" s="70">
        <f>W319/U319-1</f>
        <v>1.4742014742014753E-2</v>
      </c>
      <c r="X320" s="70">
        <f>X319/W319-1</f>
        <v>-4.1162227602905554E-2</v>
      </c>
      <c r="Y320" s="70">
        <f>Y319/X319-1</f>
        <v>-0.15909090909090906</v>
      </c>
      <c r="Z320" s="70">
        <f>Z319/Y319-1</f>
        <v>-0.14114114114114118</v>
      </c>
      <c r="AA320" s="23"/>
      <c r="AB320" s="70">
        <f>AB319/Z319-1</f>
        <v>6.9930069930070893E-3</v>
      </c>
      <c r="AC320" s="70">
        <f>AC319/AB319-1</f>
        <v>0</v>
      </c>
      <c r="AD320" s="70">
        <f>AD319/AC319-1</f>
        <v>-5.555555555555558E-2</v>
      </c>
      <c r="AE320" s="70">
        <f>AE319/AD319-1</f>
        <v>-8.0882352941176516E-2</v>
      </c>
      <c r="AF320" s="23"/>
      <c r="AG320" s="70">
        <f>AG319/AE319-1</f>
        <v>-5.600000000000005E-2</v>
      </c>
      <c r="AH320" s="70">
        <f>AH319/AG319-1</f>
        <v>-2.1186440677966156E-2</v>
      </c>
      <c r="AI320" s="70">
        <f>AI319/AH319-1</f>
        <v>-3.4632034632034681E-2</v>
      </c>
      <c r="AJ320" s="70">
        <f>AJ319/AI319-1</f>
        <v>-0.13901345291479816</v>
      </c>
      <c r="AK320" s="23"/>
      <c r="AL320" s="70">
        <f>AL319/AJ319-1</f>
        <v>-0.375</v>
      </c>
      <c r="AM320" s="70">
        <f>AM319/AL319-1</f>
        <v>0.10833333333333339</v>
      </c>
      <c r="AN320" s="70">
        <f>AN319/AM319-1</f>
        <v>7.5187969924812137E-2</v>
      </c>
      <c r="AO320" s="70">
        <f>AO319/AN319-1</f>
        <v>-0.22377622377622375</v>
      </c>
      <c r="AP320" s="23"/>
      <c r="AQ320" s="70">
        <f>AQ319/AO319-1</f>
        <v>-0.1711711711711712</v>
      </c>
      <c r="AR320" s="70">
        <f>AR319/AQ319-1</f>
        <v>6.5217391304347894E-2</v>
      </c>
      <c r="AS320" s="70">
        <f>AS319/AR319-1</f>
        <v>0.15306122448979598</v>
      </c>
      <c r="AT320" s="70">
        <f>AT319/AS319-1</f>
        <v>-0.30088495575221241</v>
      </c>
      <c r="AU320" s="23"/>
      <c r="AV320" s="70">
        <f>AV319/AT319-1</f>
        <v>-5.0632911392405111E-2</v>
      </c>
      <c r="AW320" s="70">
        <f>AW319/AV319-1</f>
        <v>0.37333333333333329</v>
      </c>
      <c r="AX320" s="70">
        <f>AX319/AW319-1</f>
        <v>-1.9417475728155331E-2</v>
      </c>
      <c r="AY320" s="70">
        <f>AY319/AX319-1</f>
        <v>-4.9504950495049549E-2</v>
      </c>
      <c r="AZ320" s="23"/>
      <c r="BA320" s="70">
        <v>-8.333333333333337E-2</v>
      </c>
      <c r="BB320" s="70">
        <v>-0.10227272727272729</v>
      </c>
      <c r="BC320" s="70">
        <v>5.0632911392405111E-2</v>
      </c>
      <c r="BD320" s="70"/>
      <c r="BE320" s="23"/>
      <c r="BF320" s="70"/>
      <c r="BG320" s="70"/>
      <c r="BH320" s="70"/>
      <c r="BI320" s="70"/>
      <c r="BJ320" s="23"/>
      <c r="BK320" s="70"/>
    </row>
    <row r="321" spans="1:64" ht="9.75" hidden="1" customHeight="1">
      <c r="A321" s="69" t="s">
        <v>8</v>
      </c>
      <c r="B321" s="23"/>
      <c r="C321" s="71"/>
      <c r="D321" s="71"/>
      <c r="E321" s="71"/>
      <c r="F321" s="71"/>
      <c r="G321" s="23">
        <f>G319/B319-1</f>
        <v>0.10545998504113685</v>
      </c>
      <c r="H321" s="71"/>
      <c r="I321" s="71"/>
      <c r="J321" s="71"/>
      <c r="K321" s="71"/>
      <c r="L321" s="23">
        <f t="shared" ref="L321:AD321" si="565">L319/G319-1</f>
        <v>0.20703653585926918</v>
      </c>
      <c r="M321" s="71">
        <f t="shared" si="565"/>
        <v>5.1454138702460961E-2</v>
      </c>
      <c r="N321" s="71">
        <f t="shared" si="565"/>
        <v>0.13870246085011195</v>
      </c>
      <c r="O321" s="71">
        <f t="shared" si="565"/>
        <v>8.4415584415584499E-2</v>
      </c>
      <c r="P321" s="71">
        <f t="shared" si="565"/>
        <v>0.16355140186915884</v>
      </c>
      <c r="Q321" s="23">
        <f t="shared" si="565"/>
        <v>0.10874439461883401</v>
      </c>
      <c r="R321" s="71">
        <f t="shared" si="565"/>
        <v>0.16595744680851054</v>
      </c>
      <c r="S321" s="71">
        <f t="shared" si="565"/>
        <v>3.9292730844793233E-3</v>
      </c>
      <c r="T321" s="71">
        <f t="shared" si="565"/>
        <v>-1.19760479041916E-2</v>
      </c>
      <c r="U321" s="71">
        <f t="shared" si="565"/>
        <v>-0.18273092369477917</v>
      </c>
      <c r="V321" s="23">
        <f t="shared" si="565"/>
        <v>-8.5945399393326793E-3</v>
      </c>
      <c r="W321" s="71">
        <f t="shared" si="565"/>
        <v>-0.2463503649635036</v>
      </c>
      <c r="X321" s="71">
        <f t="shared" si="565"/>
        <v>-0.22504892367906071</v>
      </c>
      <c r="Y321" s="71">
        <f t="shared" si="565"/>
        <v>-0.32727272727272727</v>
      </c>
      <c r="Z321" s="71">
        <f t="shared" si="565"/>
        <v>-0.29729729729729726</v>
      </c>
      <c r="AA321" s="23">
        <f t="shared" si="565"/>
        <v>-0.27180010198878124</v>
      </c>
      <c r="AB321" s="71">
        <f t="shared" si="565"/>
        <v>-0.30266343825665865</v>
      </c>
      <c r="AC321" s="71">
        <f t="shared" si="565"/>
        <v>-0.27272727272727271</v>
      </c>
      <c r="AD321" s="71">
        <f t="shared" si="565"/>
        <v>-0.18318318318318316</v>
      </c>
      <c r="AE321" s="71">
        <f t="shared" ref="AE321:AN321" si="566">AE319/Z319-1</f>
        <v>-0.12587412587412583</v>
      </c>
      <c r="AF321" s="23">
        <f t="shared" si="566"/>
        <v>-0.23109243697478987</v>
      </c>
      <c r="AG321" s="71">
        <f t="shared" si="566"/>
        <v>-0.18055555555555558</v>
      </c>
      <c r="AH321" s="71">
        <f t="shared" si="566"/>
        <v>-0.19791666666666663</v>
      </c>
      <c r="AI321" s="71">
        <f t="shared" si="566"/>
        <v>-0.18014705882352944</v>
      </c>
      <c r="AJ321" s="71">
        <f t="shared" si="566"/>
        <v>-0.23199999999999998</v>
      </c>
      <c r="AK321" s="23">
        <f t="shared" si="566"/>
        <v>-0.19672131147540983</v>
      </c>
      <c r="AL321" s="71">
        <f t="shared" si="566"/>
        <v>-0.49152542372881358</v>
      </c>
      <c r="AM321" s="71">
        <f t="shared" si="566"/>
        <v>-0.4242424242424242</v>
      </c>
      <c r="AN321" s="71">
        <f t="shared" si="566"/>
        <v>-0.35874439461883412</v>
      </c>
      <c r="AO321" s="71">
        <f>AO319/AJ319-1</f>
        <v>-0.421875</v>
      </c>
      <c r="AP321" s="23">
        <f>AP319/AK319-1</f>
        <v>-0.42517006802721091</v>
      </c>
      <c r="AQ321" s="71">
        <f t="shared" ref="AQ321:AS321" si="567">AQ319/AL319-1</f>
        <v>-0.23333333333333328</v>
      </c>
      <c r="AR321" s="71">
        <f t="shared" si="567"/>
        <v>-0.26315789473684215</v>
      </c>
      <c r="AS321" s="71">
        <f t="shared" si="567"/>
        <v>-0.20979020979020979</v>
      </c>
      <c r="AT321" s="71">
        <f>AT319/AO319-1</f>
        <v>-0.28828828828828834</v>
      </c>
      <c r="AU321" s="23">
        <f>AU319/AP319-1</f>
        <v>-0.24654832347140043</v>
      </c>
      <c r="AV321" s="71">
        <f t="shared" ref="AV321:AX321" si="568">AV319/AQ319-1</f>
        <v>-0.18478260869565222</v>
      </c>
      <c r="AW321" s="71">
        <f t="shared" si="568"/>
        <v>5.1020408163265252E-2</v>
      </c>
      <c r="AX321" s="71">
        <f t="shared" si="568"/>
        <v>-0.10619469026548678</v>
      </c>
      <c r="AY321" s="71">
        <f>AY319/AT319-1</f>
        <v>0.21518987341772156</v>
      </c>
      <c r="AZ321" s="23">
        <v>-1.8324607329842979E-2</v>
      </c>
      <c r="BA321" s="71">
        <v>0.17333333333333334</v>
      </c>
      <c r="BB321" s="71">
        <v>-0.23300970873786409</v>
      </c>
      <c r="BC321" s="71">
        <v>-0.17821782178217827</v>
      </c>
      <c r="BD321" s="71"/>
      <c r="BE321" s="23">
        <v>-1</v>
      </c>
      <c r="BF321" s="71"/>
      <c r="BG321" s="71"/>
      <c r="BH321" s="71"/>
      <c r="BI321" s="71"/>
      <c r="BJ321" s="23" t="e">
        <v>#DIV/0!</v>
      </c>
      <c r="BK321" s="71"/>
    </row>
    <row r="322" spans="1:64" hidden="1">
      <c r="A322" s="67" t="s">
        <v>79</v>
      </c>
      <c r="B322" s="36">
        <v>430</v>
      </c>
      <c r="C322" s="78" t="s">
        <v>48</v>
      </c>
      <c r="D322" s="78" t="s">
        <v>48</v>
      </c>
      <c r="E322" s="78" t="s">
        <v>48</v>
      </c>
      <c r="F322" s="78" t="s">
        <v>48</v>
      </c>
      <c r="G322" s="36">
        <v>405</v>
      </c>
      <c r="H322" s="68">
        <v>113</v>
      </c>
      <c r="I322" s="68">
        <v>96</v>
      </c>
      <c r="J322" s="68">
        <v>116</v>
      </c>
      <c r="K322" s="68">
        <f>L322-J322-I322-H322</f>
        <v>136</v>
      </c>
      <c r="L322" s="36">
        <v>461</v>
      </c>
      <c r="M322" s="68">
        <v>119</v>
      </c>
      <c r="N322" s="68">
        <v>117</v>
      </c>
      <c r="O322" s="68">
        <v>115</v>
      </c>
      <c r="P322" s="68">
        <f>Q322-O322-N322-M322</f>
        <v>117</v>
      </c>
      <c r="Q322" s="36">
        <v>468</v>
      </c>
      <c r="R322" s="68">
        <v>117</v>
      </c>
      <c r="S322" s="68">
        <v>125</v>
      </c>
      <c r="T322" s="68">
        <v>125</v>
      </c>
      <c r="U322" s="68">
        <f>V322-T322-S322-R322</f>
        <v>113</v>
      </c>
      <c r="V322" s="36">
        <v>480</v>
      </c>
      <c r="W322" s="68">
        <v>116</v>
      </c>
      <c r="X322" s="68">
        <v>111</v>
      </c>
      <c r="Y322" s="68">
        <v>105</v>
      </c>
      <c r="Z322" s="68">
        <f>AA322-Y322-X322-W322</f>
        <v>90</v>
      </c>
      <c r="AA322" s="36">
        <v>422</v>
      </c>
      <c r="AB322" s="68">
        <v>86</v>
      </c>
      <c r="AC322" s="68">
        <v>75</v>
      </c>
      <c r="AD322" s="68">
        <v>69</v>
      </c>
      <c r="AE322" s="68">
        <f>AF322-AD322-AC322-AB322</f>
        <v>90</v>
      </c>
      <c r="AF322" s="36">
        <v>320</v>
      </c>
      <c r="AG322" s="68">
        <v>83</v>
      </c>
      <c r="AH322" s="68">
        <v>76</v>
      </c>
      <c r="AI322" s="68">
        <v>76</v>
      </c>
      <c r="AJ322" s="68">
        <f>AK322-AI322-AH322-AG322</f>
        <v>74</v>
      </c>
      <c r="AK322" s="36">
        <v>309</v>
      </c>
      <c r="AL322" s="68">
        <v>63</v>
      </c>
      <c r="AM322" s="68">
        <v>57</v>
      </c>
      <c r="AN322" s="68">
        <v>59</v>
      </c>
      <c r="AO322" s="68">
        <f>AP322-AN322-AM322-AL322</f>
        <v>68</v>
      </c>
      <c r="AP322" s="36">
        <v>247</v>
      </c>
      <c r="AQ322" s="68">
        <v>66</v>
      </c>
      <c r="AR322" s="68">
        <v>68</v>
      </c>
      <c r="AS322" s="68">
        <v>65</v>
      </c>
      <c r="AT322" s="68">
        <f>AU322-AS322-AR322-AQ322</f>
        <v>61</v>
      </c>
      <c r="AU322" s="36">
        <v>260</v>
      </c>
      <c r="AV322" s="68">
        <v>48</v>
      </c>
      <c r="AW322" s="68">
        <v>51</v>
      </c>
      <c r="AX322" s="68">
        <v>58</v>
      </c>
      <c r="AY322" s="68">
        <f>AZ322-AX322-AW322-AV322</f>
        <v>58</v>
      </c>
      <c r="AZ322" s="36">
        <v>215</v>
      </c>
      <c r="BA322" s="68">
        <v>62</v>
      </c>
      <c r="BB322" s="68">
        <v>56</v>
      </c>
      <c r="BC322" s="68">
        <v>58</v>
      </c>
      <c r="BD322" s="68"/>
      <c r="BE322" s="36"/>
      <c r="BF322" s="68"/>
      <c r="BG322" s="68"/>
      <c r="BH322" s="68"/>
      <c r="BI322" s="68"/>
      <c r="BJ322" s="36"/>
      <c r="BK322" s="68"/>
    </row>
    <row r="323" spans="1:64" hidden="1">
      <c r="A323" s="69" t="s">
        <v>7</v>
      </c>
      <c r="B323" s="23"/>
      <c r="C323" s="70"/>
      <c r="D323" s="70"/>
      <c r="E323" s="70"/>
      <c r="F323" s="70"/>
      <c r="G323" s="23"/>
      <c r="H323" s="70"/>
      <c r="I323" s="70">
        <f>I322/H322-1</f>
        <v>-0.15044247787610621</v>
      </c>
      <c r="J323" s="70">
        <f>J322/I322-1</f>
        <v>0.20833333333333326</v>
      </c>
      <c r="K323" s="70">
        <f>K322/J322-1</f>
        <v>0.17241379310344818</v>
      </c>
      <c r="L323" s="23"/>
      <c r="M323" s="70">
        <f>M322/K322-1</f>
        <v>-0.125</v>
      </c>
      <c r="N323" s="70">
        <f>N322/M322-1</f>
        <v>-1.6806722689075682E-2</v>
      </c>
      <c r="O323" s="70">
        <f>O322/N322-1</f>
        <v>-1.7094017094017144E-2</v>
      </c>
      <c r="P323" s="70">
        <f>P322/O322-1</f>
        <v>1.7391304347825987E-2</v>
      </c>
      <c r="Q323" s="23"/>
      <c r="R323" s="70">
        <f>R322/P322-1</f>
        <v>0</v>
      </c>
      <c r="S323" s="70">
        <f>S322/R322-1</f>
        <v>6.8376068376068355E-2</v>
      </c>
      <c r="T323" s="70">
        <f>T322/S322-1</f>
        <v>0</v>
      </c>
      <c r="U323" s="70">
        <f>U322/T322-1</f>
        <v>-9.5999999999999974E-2</v>
      </c>
      <c r="V323" s="23"/>
      <c r="W323" s="70">
        <f>W322/U322-1</f>
        <v>2.6548672566371723E-2</v>
      </c>
      <c r="X323" s="70">
        <f>X322/W322-1</f>
        <v>-4.31034482758621E-2</v>
      </c>
      <c r="Y323" s="70">
        <f>Y322/X322-1</f>
        <v>-5.4054054054054057E-2</v>
      </c>
      <c r="Z323" s="70">
        <f>Z322/Y322-1</f>
        <v>-0.1428571428571429</v>
      </c>
      <c r="AA323" s="23"/>
      <c r="AB323" s="70">
        <f>AB322/Z322-1</f>
        <v>-4.4444444444444398E-2</v>
      </c>
      <c r="AC323" s="70">
        <f>AC322/AB322-1</f>
        <v>-0.12790697674418605</v>
      </c>
      <c r="AD323" s="70">
        <f>AD322/AC322-1</f>
        <v>-7.999999999999996E-2</v>
      </c>
      <c r="AE323" s="70">
        <f>AE322/AD322-1</f>
        <v>0.30434782608695654</v>
      </c>
      <c r="AF323" s="23"/>
      <c r="AG323" s="70">
        <f>AG322/AE322-1</f>
        <v>-7.7777777777777724E-2</v>
      </c>
      <c r="AH323" s="70">
        <f>AH322/AG322-1</f>
        <v>-8.4337349397590411E-2</v>
      </c>
      <c r="AI323" s="70">
        <f>AI322/AH322-1</f>
        <v>0</v>
      </c>
      <c r="AJ323" s="70">
        <f>AJ322/AI322-1</f>
        <v>-2.6315789473684181E-2</v>
      </c>
      <c r="AK323" s="23"/>
      <c r="AL323" s="70">
        <f>AL322/AJ322-1</f>
        <v>-0.14864864864864868</v>
      </c>
      <c r="AM323" s="70">
        <f>AM322/AL322-1</f>
        <v>-9.5238095238095233E-2</v>
      </c>
      <c r="AN323" s="70">
        <f>AN322/AM322-1</f>
        <v>3.5087719298245723E-2</v>
      </c>
      <c r="AO323" s="70">
        <f>AO322/AN322-1</f>
        <v>0.15254237288135597</v>
      </c>
      <c r="AP323" s="23"/>
      <c r="AQ323" s="70">
        <f>AQ322/AO322-1</f>
        <v>-2.9411764705882359E-2</v>
      </c>
      <c r="AR323" s="70">
        <f>AR322/AQ322-1</f>
        <v>3.0303030303030276E-2</v>
      </c>
      <c r="AS323" s="70">
        <f>AS322/AR322-1</f>
        <v>-4.4117647058823484E-2</v>
      </c>
      <c r="AT323" s="70">
        <f>AT322/AS322-1</f>
        <v>-6.1538461538461542E-2</v>
      </c>
      <c r="AU323" s="23"/>
      <c r="AV323" s="70">
        <f>AV322/AT322-1</f>
        <v>-0.21311475409836067</v>
      </c>
      <c r="AW323" s="70">
        <f>AW322/AV322-1</f>
        <v>6.25E-2</v>
      </c>
      <c r="AX323" s="70">
        <f>AX322/AW322-1</f>
        <v>0.13725490196078427</v>
      </c>
      <c r="AY323" s="70">
        <f>AY322/AX322-1</f>
        <v>0</v>
      </c>
      <c r="AZ323" s="23"/>
      <c r="BA323" s="70">
        <v>6.8965517241379226E-2</v>
      </c>
      <c r="BB323" s="70">
        <v>-9.6774193548387122E-2</v>
      </c>
      <c r="BC323" s="70">
        <v>3.5714285714285809E-2</v>
      </c>
      <c r="BD323" s="70"/>
      <c r="BE323" s="23"/>
      <c r="BF323" s="70"/>
      <c r="BG323" s="70"/>
      <c r="BH323" s="70"/>
      <c r="BI323" s="70"/>
      <c r="BJ323" s="23"/>
      <c r="BK323" s="70"/>
    </row>
    <row r="324" spans="1:64" hidden="1">
      <c r="A324" s="69" t="s">
        <v>8</v>
      </c>
      <c r="B324" s="23"/>
      <c r="C324" s="71"/>
      <c r="D324" s="71"/>
      <c r="E324" s="71"/>
      <c r="F324" s="71"/>
      <c r="G324" s="23">
        <f>G322/B322-1</f>
        <v>-5.8139534883720922E-2</v>
      </c>
      <c r="H324" s="71"/>
      <c r="I324" s="71"/>
      <c r="J324" s="71"/>
      <c r="K324" s="71"/>
      <c r="L324" s="23">
        <f t="shared" ref="L324:AD324" si="569">L322/G322-1</f>
        <v>0.13827160493827151</v>
      </c>
      <c r="M324" s="71">
        <f t="shared" si="569"/>
        <v>5.3097345132743445E-2</v>
      </c>
      <c r="N324" s="71">
        <f t="shared" si="569"/>
        <v>0.21875</v>
      </c>
      <c r="O324" s="71">
        <f t="shared" si="569"/>
        <v>-8.6206896551723755E-3</v>
      </c>
      <c r="P324" s="71">
        <f t="shared" si="569"/>
        <v>-0.13970588235294112</v>
      </c>
      <c r="Q324" s="23">
        <f t="shared" si="569"/>
        <v>1.5184381778741818E-2</v>
      </c>
      <c r="R324" s="71">
        <f t="shared" si="569"/>
        <v>-1.6806722689075682E-2</v>
      </c>
      <c r="S324" s="71">
        <f t="shared" si="569"/>
        <v>6.8376068376068355E-2</v>
      </c>
      <c r="T324" s="71">
        <f t="shared" si="569"/>
        <v>8.6956521739130377E-2</v>
      </c>
      <c r="U324" s="71">
        <f t="shared" si="569"/>
        <v>-3.4188034188034178E-2</v>
      </c>
      <c r="V324" s="23">
        <f t="shared" si="569"/>
        <v>2.564102564102555E-2</v>
      </c>
      <c r="W324" s="71">
        <f t="shared" si="569"/>
        <v>-8.5470085470085166E-3</v>
      </c>
      <c r="X324" s="71">
        <f t="shared" si="569"/>
        <v>-0.11199999999999999</v>
      </c>
      <c r="Y324" s="71">
        <f t="shared" si="569"/>
        <v>-0.16000000000000003</v>
      </c>
      <c r="Z324" s="71">
        <f t="shared" si="569"/>
        <v>-0.20353982300884954</v>
      </c>
      <c r="AA324" s="23">
        <f t="shared" si="569"/>
        <v>-0.12083333333333335</v>
      </c>
      <c r="AB324" s="71">
        <f t="shared" si="569"/>
        <v>-0.25862068965517238</v>
      </c>
      <c r="AC324" s="71">
        <f t="shared" si="569"/>
        <v>-0.32432432432432434</v>
      </c>
      <c r="AD324" s="71">
        <f t="shared" si="569"/>
        <v>-0.34285714285714286</v>
      </c>
      <c r="AE324" s="71">
        <f t="shared" ref="AE324:AN324" si="570">AE322/Z322-1</f>
        <v>0</v>
      </c>
      <c r="AF324" s="23">
        <f t="shared" si="570"/>
        <v>-0.24170616113744081</v>
      </c>
      <c r="AG324" s="71">
        <f t="shared" si="570"/>
        <v>-3.4883720930232509E-2</v>
      </c>
      <c r="AH324" s="71">
        <f t="shared" si="570"/>
        <v>1.3333333333333419E-2</v>
      </c>
      <c r="AI324" s="71">
        <f t="shared" si="570"/>
        <v>0.10144927536231885</v>
      </c>
      <c r="AJ324" s="71">
        <f t="shared" si="570"/>
        <v>-0.17777777777777781</v>
      </c>
      <c r="AK324" s="23">
        <f t="shared" si="570"/>
        <v>-3.4375000000000044E-2</v>
      </c>
      <c r="AL324" s="71">
        <f t="shared" si="570"/>
        <v>-0.24096385542168675</v>
      </c>
      <c r="AM324" s="71">
        <f t="shared" si="570"/>
        <v>-0.25</v>
      </c>
      <c r="AN324" s="71">
        <f t="shared" si="570"/>
        <v>-0.22368421052631582</v>
      </c>
      <c r="AO324" s="71">
        <f>AO322/AJ322-1</f>
        <v>-8.108108108108103E-2</v>
      </c>
      <c r="AP324" s="23">
        <f>AP322/AK322-1</f>
        <v>-0.20064724919093846</v>
      </c>
      <c r="AQ324" s="71">
        <f t="shared" ref="AQ324:AS324" si="571">AQ322/AL322-1</f>
        <v>4.7619047619047672E-2</v>
      </c>
      <c r="AR324" s="71">
        <f t="shared" si="571"/>
        <v>0.19298245614035081</v>
      </c>
      <c r="AS324" s="71">
        <f t="shared" si="571"/>
        <v>0.10169491525423724</v>
      </c>
      <c r="AT324" s="71">
        <f>AT322/AO322-1</f>
        <v>-0.1029411764705882</v>
      </c>
      <c r="AU324" s="23">
        <f>AU322/AP322-1</f>
        <v>5.2631578947368363E-2</v>
      </c>
      <c r="AV324" s="71">
        <f t="shared" ref="AV324:AX324" si="572">AV322/AQ322-1</f>
        <v>-0.27272727272727271</v>
      </c>
      <c r="AW324" s="71">
        <f t="shared" si="572"/>
        <v>-0.25</v>
      </c>
      <c r="AX324" s="71">
        <f t="shared" si="572"/>
        <v>-0.10769230769230764</v>
      </c>
      <c r="AY324" s="71">
        <f>AY322/AT322-1</f>
        <v>-4.9180327868852514E-2</v>
      </c>
      <c r="AZ324" s="23">
        <v>-0.17307692307692313</v>
      </c>
      <c r="BA324" s="71">
        <v>0.29166666666666674</v>
      </c>
      <c r="BB324" s="71">
        <v>9.8039215686274606E-2</v>
      </c>
      <c r="BC324" s="71">
        <v>0</v>
      </c>
      <c r="BD324" s="71"/>
      <c r="BE324" s="23">
        <v>-1</v>
      </c>
      <c r="BF324" s="71"/>
      <c r="BG324" s="71"/>
      <c r="BH324" s="71"/>
      <c r="BI324" s="71"/>
      <c r="BJ324" s="23" t="e">
        <v>#DIV/0!</v>
      </c>
      <c r="BK324" s="71"/>
    </row>
    <row r="325" spans="1:64" hidden="1">
      <c r="A325" s="67" t="s">
        <v>80</v>
      </c>
      <c r="B325" s="36">
        <v>102</v>
      </c>
      <c r="C325" s="78" t="s">
        <v>48</v>
      </c>
      <c r="D325" s="78" t="s">
        <v>48</v>
      </c>
      <c r="E325" s="78" t="s">
        <v>48</v>
      </c>
      <c r="F325" s="78" t="s">
        <v>48</v>
      </c>
      <c r="G325" s="36">
        <v>140</v>
      </c>
      <c r="H325" s="68">
        <v>32</v>
      </c>
      <c r="I325" s="68">
        <v>30</v>
      </c>
      <c r="J325" s="68">
        <v>30</v>
      </c>
      <c r="K325" s="68">
        <f>L325-J325-I325-H325</f>
        <v>41</v>
      </c>
      <c r="L325" s="36">
        <v>133</v>
      </c>
      <c r="M325" s="68">
        <v>29</v>
      </c>
      <c r="N325" s="68">
        <v>30</v>
      </c>
      <c r="O325" s="68">
        <v>30</v>
      </c>
      <c r="P325" s="68">
        <f>Q325-O325-N325-M325</f>
        <v>38</v>
      </c>
      <c r="Q325" s="36">
        <v>127</v>
      </c>
      <c r="R325" s="68">
        <v>32</v>
      </c>
      <c r="S325" s="68">
        <v>29</v>
      </c>
      <c r="T325" s="68">
        <v>28</v>
      </c>
      <c r="U325" s="68">
        <f>V325-T325-S325-R325</f>
        <v>32</v>
      </c>
      <c r="V325" s="36">
        <v>121</v>
      </c>
      <c r="W325" s="68">
        <v>30</v>
      </c>
      <c r="X325" s="68">
        <v>26</v>
      </c>
      <c r="Y325" s="68">
        <v>29</v>
      </c>
      <c r="Z325" s="68">
        <f>AA325-Y325-X325-W325</f>
        <v>29</v>
      </c>
      <c r="AA325" s="36">
        <v>114</v>
      </c>
      <c r="AB325" s="68">
        <v>28</v>
      </c>
      <c r="AC325" s="68">
        <v>27</v>
      </c>
      <c r="AD325" s="68">
        <v>31</v>
      </c>
      <c r="AE325" s="68">
        <f>AF325-AD325-AC325-AB325</f>
        <v>23</v>
      </c>
      <c r="AF325" s="36">
        <v>109</v>
      </c>
      <c r="AG325" s="68">
        <v>27</v>
      </c>
      <c r="AH325" s="68">
        <v>28</v>
      </c>
      <c r="AI325" s="68">
        <v>25</v>
      </c>
      <c r="AJ325" s="68">
        <f>AK325-AI325-AH325-AG325</f>
        <v>26</v>
      </c>
      <c r="AK325" s="36">
        <v>106</v>
      </c>
      <c r="AL325" s="68">
        <v>25</v>
      </c>
      <c r="AM325" s="68">
        <v>23</v>
      </c>
      <c r="AN325" s="68">
        <v>23</v>
      </c>
      <c r="AO325" s="68">
        <f>AP325-AN325-AM325-AL325</f>
        <v>27</v>
      </c>
      <c r="AP325" s="36">
        <v>98</v>
      </c>
      <c r="AQ325" s="68">
        <v>25</v>
      </c>
      <c r="AR325" s="68">
        <v>22</v>
      </c>
      <c r="AS325" s="68">
        <v>21</v>
      </c>
      <c r="AT325" s="68">
        <f>AU325-AS325-AR325-AQ325</f>
        <v>21</v>
      </c>
      <c r="AU325" s="36">
        <v>89</v>
      </c>
      <c r="AV325" s="68">
        <v>22</v>
      </c>
      <c r="AW325" s="68">
        <v>22</v>
      </c>
      <c r="AX325" s="68">
        <v>21</v>
      </c>
      <c r="AY325" s="68">
        <f>AZ325-AX325-AW325-AV325</f>
        <v>23</v>
      </c>
      <c r="AZ325" s="36">
        <v>88</v>
      </c>
      <c r="BA325" s="68">
        <v>24</v>
      </c>
      <c r="BB325" s="68">
        <v>21</v>
      </c>
      <c r="BC325" s="68">
        <v>21</v>
      </c>
      <c r="BD325" s="68"/>
      <c r="BE325" s="36"/>
      <c r="BF325" s="68"/>
      <c r="BG325" s="68"/>
      <c r="BH325" s="68"/>
      <c r="BI325" s="68"/>
      <c r="BJ325" s="36"/>
      <c r="BK325" s="68"/>
    </row>
    <row r="326" spans="1:64" hidden="1">
      <c r="A326" s="69" t="s">
        <v>7</v>
      </c>
      <c r="B326" s="23"/>
      <c r="C326" s="70"/>
      <c r="D326" s="70"/>
      <c r="E326" s="70"/>
      <c r="F326" s="70"/>
      <c r="G326" s="23"/>
      <c r="H326" s="70"/>
      <c r="I326" s="70">
        <f>I325/H325-1</f>
        <v>-6.25E-2</v>
      </c>
      <c r="J326" s="70">
        <f>J325/I325-1</f>
        <v>0</v>
      </c>
      <c r="K326" s="70">
        <f>K325/J325-1</f>
        <v>0.3666666666666667</v>
      </c>
      <c r="L326" s="23"/>
      <c r="M326" s="70">
        <f>M325/K325-1</f>
        <v>-0.29268292682926833</v>
      </c>
      <c r="N326" s="70">
        <f>N325/M325-1</f>
        <v>3.4482758620689724E-2</v>
      </c>
      <c r="O326" s="70">
        <f>O325/N325-1</f>
        <v>0</v>
      </c>
      <c r="P326" s="70">
        <f>P325/O325-1</f>
        <v>0.26666666666666661</v>
      </c>
      <c r="Q326" s="23"/>
      <c r="R326" s="70">
        <f>R325/P325-1</f>
        <v>-0.15789473684210531</v>
      </c>
      <c r="S326" s="70">
        <f>S325/R325-1</f>
        <v>-9.375E-2</v>
      </c>
      <c r="T326" s="70">
        <f>T325/S325-1</f>
        <v>-3.4482758620689613E-2</v>
      </c>
      <c r="U326" s="70">
        <f>U325/T325-1</f>
        <v>0.14285714285714279</v>
      </c>
      <c r="V326" s="23"/>
      <c r="W326" s="70">
        <f>W325/U325-1</f>
        <v>-6.25E-2</v>
      </c>
      <c r="X326" s="70">
        <f>X325/W325-1</f>
        <v>-0.1333333333333333</v>
      </c>
      <c r="Y326" s="70">
        <f>Y325/X325-1</f>
        <v>0.11538461538461542</v>
      </c>
      <c r="Z326" s="70">
        <f>Z325/Y325-1</f>
        <v>0</v>
      </c>
      <c r="AA326" s="23"/>
      <c r="AB326" s="70">
        <f>AB325/Z325-1</f>
        <v>-3.4482758620689613E-2</v>
      </c>
      <c r="AC326" s="70">
        <f>AC325/AB325-1</f>
        <v>-3.5714285714285698E-2</v>
      </c>
      <c r="AD326" s="70">
        <f>AD325/AC325-1</f>
        <v>0.14814814814814814</v>
      </c>
      <c r="AE326" s="70">
        <f>AE325/AD325-1</f>
        <v>-0.25806451612903225</v>
      </c>
      <c r="AF326" s="23"/>
      <c r="AG326" s="70">
        <f>AG325/AE325-1</f>
        <v>0.17391304347826098</v>
      </c>
      <c r="AH326" s="70">
        <f>AH325/AG325-1</f>
        <v>3.7037037037036979E-2</v>
      </c>
      <c r="AI326" s="70">
        <f>AI325/AH325-1</f>
        <v>-0.1071428571428571</v>
      </c>
      <c r="AJ326" s="70">
        <f>AJ325/AI325-1</f>
        <v>4.0000000000000036E-2</v>
      </c>
      <c r="AK326" s="23"/>
      <c r="AL326" s="70">
        <f>AL325/AJ325-1</f>
        <v>-3.8461538461538436E-2</v>
      </c>
      <c r="AM326" s="70">
        <f>AM325/AL325-1</f>
        <v>-7.999999999999996E-2</v>
      </c>
      <c r="AN326" s="70">
        <f>AN325/AM325-1</f>
        <v>0</v>
      </c>
      <c r="AO326" s="70">
        <f>AO325/AN325-1</f>
        <v>0.17391304347826098</v>
      </c>
      <c r="AP326" s="23"/>
      <c r="AQ326" s="70">
        <f>AQ325/AO325-1</f>
        <v>-7.407407407407407E-2</v>
      </c>
      <c r="AR326" s="70">
        <f>AR325/AQ325-1</f>
        <v>-0.12</v>
      </c>
      <c r="AS326" s="70">
        <f>AS325/AR325-1</f>
        <v>-4.5454545454545414E-2</v>
      </c>
      <c r="AT326" s="70">
        <f>AT325/AS325-1</f>
        <v>0</v>
      </c>
      <c r="AU326" s="23"/>
      <c r="AV326" s="70">
        <f>AV325/AT325-1</f>
        <v>4.7619047619047672E-2</v>
      </c>
      <c r="AW326" s="70">
        <f>AW325/AV325-1</f>
        <v>0</v>
      </c>
      <c r="AX326" s="70">
        <f>AX325/AW325-1</f>
        <v>-4.5454545454545414E-2</v>
      </c>
      <c r="AY326" s="70">
        <f>AY325/AX325-1</f>
        <v>9.5238095238095344E-2</v>
      </c>
      <c r="AZ326" s="23"/>
      <c r="BA326" s="70">
        <v>4.3478260869565188E-2</v>
      </c>
      <c r="BB326" s="70">
        <v>-0.125</v>
      </c>
      <c r="BC326" s="70">
        <v>0</v>
      </c>
      <c r="BD326" s="70"/>
      <c r="BE326" s="23"/>
      <c r="BF326" s="70"/>
      <c r="BG326" s="70"/>
      <c r="BH326" s="70"/>
      <c r="BI326" s="70"/>
      <c r="BJ326" s="23"/>
      <c r="BK326" s="70"/>
    </row>
    <row r="327" spans="1:64" hidden="1">
      <c r="A327" s="69" t="s">
        <v>8</v>
      </c>
      <c r="B327" s="23"/>
      <c r="C327" s="71"/>
      <c r="D327" s="71"/>
      <c r="E327" s="71"/>
      <c r="F327" s="71"/>
      <c r="G327" s="23">
        <f>G325/B325-1</f>
        <v>0.37254901960784315</v>
      </c>
      <c r="H327" s="71"/>
      <c r="I327" s="71"/>
      <c r="J327" s="71"/>
      <c r="K327" s="71"/>
      <c r="L327" s="23">
        <f t="shared" ref="L327:AD327" si="573">L325/G325-1</f>
        <v>-5.0000000000000044E-2</v>
      </c>
      <c r="M327" s="71">
        <f t="shared" si="573"/>
        <v>-9.375E-2</v>
      </c>
      <c r="N327" s="71">
        <f t="shared" si="573"/>
        <v>0</v>
      </c>
      <c r="O327" s="71">
        <f t="shared" si="573"/>
        <v>0</v>
      </c>
      <c r="P327" s="71">
        <f t="shared" si="573"/>
        <v>-7.3170731707317027E-2</v>
      </c>
      <c r="Q327" s="23">
        <f t="shared" si="573"/>
        <v>-4.5112781954887216E-2</v>
      </c>
      <c r="R327" s="71">
        <f t="shared" si="573"/>
        <v>0.10344827586206895</v>
      </c>
      <c r="S327" s="71">
        <f t="shared" si="573"/>
        <v>-3.3333333333333326E-2</v>
      </c>
      <c r="T327" s="71">
        <f t="shared" si="573"/>
        <v>-6.6666666666666652E-2</v>
      </c>
      <c r="U327" s="71">
        <f t="shared" si="573"/>
        <v>-0.15789473684210531</v>
      </c>
      <c r="V327" s="23">
        <f t="shared" si="573"/>
        <v>-4.7244094488189003E-2</v>
      </c>
      <c r="W327" s="71">
        <f t="shared" si="573"/>
        <v>-6.25E-2</v>
      </c>
      <c r="X327" s="71">
        <f t="shared" si="573"/>
        <v>-0.10344827586206895</v>
      </c>
      <c r="Y327" s="71">
        <f t="shared" si="573"/>
        <v>3.5714285714285809E-2</v>
      </c>
      <c r="Z327" s="71">
        <f t="shared" si="573"/>
        <v>-9.375E-2</v>
      </c>
      <c r="AA327" s="23">
        <f t="shared" si="573"/>
        <v>-5.7851239669421517E-2</v>
      </c>
      <c r="AB327" s="71">
        <f t="shared" si="573"/>
        <v>-6.6666666666666652E-2</v>
      </c>
      <c r="AC327" s="71">
        <f t="shared" si="573"/>
        <v>3.8461538461538547E-2</v>
      </c>
      <c r="AD327" s="71">
        <f t="shared" si="573"/>
        <v>6.8965517241379226E-2</v>
      </c>
      <c r="AE327" s="71">
        <f t="shared" ref="AE327:AN327" si="574">AE325/Z325-1</f>
        <v>-0.2068965517241379</v>
      </c>
      <c r="AF327" s="23">
        <f t="shared" si="574"/>
        <v>-4.3859649122807043E-2</v>
      </c>
      <c r="AG327" s="71">
        <f t="shared" si="574"/>
        <v>-3.5714285714285698E-2</v>
      </c>
      <c r="AH327" s="71">
        <f t="shared" si="574"/>
        <v>3.7037037037036979E-2</v>
      </c>
      <c r="AI327" s="71">
        <f t="shared" si="574"/>
        <v>-0.19354838709677424</v>
      </c>
      <c r="AJ327" s="71">
        <f t="shared" si="574"/>
        <v>0.13043478260869557</v>
      </c>
      <c r="AK327" s="23">
        <f t="shared" si="574"/>
        <v>-2.752293577981646E-2</v>
      </c>
      <c r="AL327" s="71">
        <f t="shared" si="574"/>
        <v>-7.407407407407407E-2</v>
      </c>
      <c r="AM327" s="71">
        <f t="shared" si="574"/>
        <v>-0.1785714285714286</v>
      </c>
      <c r="AN327" s="71">
        <f t="shared" si="574"/>
        <v>-7.999999999999996E-2</v>
      </c>
      <c r="AO327" s="71">
        <f>AO325/AJ325-1</f>
        <v>3.8461538461538547E-2</v>
      </c>
      <c r="AP327" s="23">
        <f>AP325/AK325-1</f>
        <v>-7.547169811320753E-2</v>
      </c>
      <c r="AQ327" s="71">
        <f t="shared" ref="AQ327:AS327" si="575">AQ325/AL325-1</f>
        <v>0</v>
      </c>
      <c r="AR327" s="71">
        <f t="shared" si="575"/>
        <v>-4.3478260869565188E-2</v>
      </c>
      <c r="AS327" s="71">
        <f t="shared" si="575"/>
        <v>-8.6956521739130488E-2</v>
      </c>
      <c r="AT327" s="71">
        <f>AT325/AO325-1</f>
        <v>-0.22222222222222221</v>
      </c>
      <c r="AU327" s="23">
        <f>AU325/AP325-1</f>
        <v>-9.1836734693877542E-2</v>
      </c>
      <c r="AV327" s="71">
        <f t="shared" ref="AV327:AX327" si="576">AV325/AQ325-1</f>
        <v>-0.12</v>
      </c>
      <c r="AW327" s="71">
        <f t="shared" si="576"/>
        <v>0</v>
      </c>
      <c r="AX327" s="71">
        <f t="shared" si="576"/>
        <v>0</v>
      </c>
      <c r="AY327" s="71">
        <f>AY325/AT325-1</f>
        <v>9.5238095238095344E-2</v>
      </c>
      <c r="AZ327" s="23">
        <v>-1.1235955056179803E-2</v>
      </c>
      <c r="BA327" s="71">
        <v>9.0909090909090828E-2</v>
      </c>
      <c r="BB327" s="71">
        <v>-4.5454545454545414E-2</v>
      </c>
      <c r="BC327" s="71">
        <v>0</v>
      </c>
      <c r="BD327" s="71"/>
      <c r="BE327" s="23">
        <v>-1</v>
      </c>
      <c r="BF327" s="71"/>
      <c r="BG327" s="71"/>
      <c r="BH327" s="71"/>
      <c r="BI327" s="71"/>
      <c r="BJ327" s="23" t="e">
        <v>#DIV/0!</v>
      </c>
      <c r="BK327" s="71"/>
    </row>
    <row r="328" spans="1:64">
      <c r="A328" s="67" t="s">
        <v>249</v>
      </c>
      <c r="B328" s="36">
        <f>398+81</f>
        <v>479</v>
      </c>
      <c r="C328" s="68">
        <v>129</v>
      </c>
      <c r="D328" s="68">
        <v>130</v>
      </c>
      <c r="E328" s="68">
        <v>129</v>
      </c>
      <c r="F328" s="68">
        <f>G328-E328-D328-C328</f>
        <v>135</v>
      </c>
      <c r="G328" s="36">
        <f>424+99</f>
        <v>523</v>
      </c>
      <c r="H328" s="68">
        <v>139</v>
      </c>
      <c r="I328" s="68">
        <f>114+37</f>
        <v>151</v>
      </c>
      <c r="J328" s="68">
        <v>155</v>
      </c>
      <c r="K328" s="68">
        <f>L328-J328-I328-H328</f>
        <v>158</v>
      </c>
      <c r="L328" s="36">
        <f>456+147</f>
        <v>603</v>
      </c>
      <c r="M328" s="68">
        <f>110+39</f>
        <v>149</v>
      </c>
      <c r="N328" s="68">
        <f>109+40</f>
        <v>149</v>
      </c>
      <c r="O328" s="68">
        <f>110+39</f>
        <v>149</v>
      </c>
      <c r="P328" s="68">
        <f>Q328-O328-N328-M328</f>
        <v>154</v>
      </c>
      <c r="Q328" s="36">
        <f>444+157</f>
        <v>601</v>
      </c>
      <c r="R328" s="68">
        <v>139</v>
      </c>
      <c r="S328" s="68">
        <v>143</v>
      </c>
      <c r="T328" s="68">
        <v>139</v>
      </c>
      <c r="U328" s="68">
        <f>V328-T328-S328-R328</f>
        <v>140</v>
      </c>
      <c r="V328" s="36">
        <f>410+151</f>
        <v>561</v>
      </c>
      <c r="W328" s="68">
        <v>135</v>
      </c>
      <c r="X328" s="68">
        <f>105+32</f>
        <v>137</v>
      </c>
      <c r="Y328" s="68">
        <v>130</v>
      </c>
      <c r="Z328" s="68">
        <f>AA328-Y328-X328-W328</f>
        <v>129</v>
      </c>
      <c r="AA328" s="36">
        <v>531</v>
      </c>
      <c r="AB328" s="68">
        <f>98+23</f>
        <v>121</v>
      </c>
      <c r="AC328" s="68">
        <f>91+22</f>
        <v>113</v>
      </c>
      <c r="AD328" s="68">
        <v>111</v>
      </c>
      <c r="AE328" s="68">
        <f>AF328-AD328-AC328-AB328</f>
        <v>113</v>
      </c>
      <c r="AF328" s="36">
        <v>458</v>
      </c>
      <c r="AG328" s="68">
        <f>87+19</f>
        <v>106</v>
      </c>
      <c r="AH328" s="68">
        <v>105</v>
      </c>
      <c r="AI328" s="68">
        <v>108</v>
      </c>
      <c r="AJ328" s="68">
        <f>AK328-AI328-AH328-AG328</f>
        <v>111</v>
      </c>
      <c r="AK328" s="36">
        <f>352+78</f>
        <v>430</v>
      </c>
      <c r="AL328" s="68">
        <v>104</v>
      </c>
      <c r="AM328" s="68">
        <v>106</v>
      </c>
      <c r="AN328" s="68">
        <f>90+19</f>
        <v>109</v>
      </c>
      <c r="AO328" s="68">
        <f>AP328-AN328-AM328-AL328</f>
        <v>100</v>
      </c>
      <c r="AP328" s="36">
        <f>337+82</f>
        <v>419</v>
      </c>
      <c r="AQ328" s="68">
        <f>82+22</f>
        <v>104</v>
      </c>
      <c r="AR328" s="68">
        <v>95</v>
      </c>
      <c r="AS328" s="68">
        <f>70+22</f>
        <v>92</v>
      </c>
      <c r="AT328" s="68">
        <f>AU328-AS328-AR328-AQ328</f>
        <v>89</v>
      </c>
      <c r="AU328" s="36">
        <f>294+86</f>
        <v>380</v>
      </c>
      <c r="AV328" s="68">
        <v>94</v>
      </c>
      <c r="AW328" s="68">
        <v>99</v>
      </c>
      <c r="AX328" s="68">
        <v>100</v>
      </c>
      <c r="AY328" s="68">
        <f>AZ328-AX328-AW328-AV328</f>
        <v>90</v>
      </c>
      <c r="AZ328" s="36">
        <v>383</v>
      </c>
      <c r="BA328" s="68">
        <v>158</v>
      </c>
      <c r="BB328" s="68">
        <v>159</v>
      </c>
      <c r="BC328" s="68">
        <v>161</v>
      </c>
      <c r="BD328" s="68">
        <v>177</v>
      </c>
      <c r="BE328" s="36">
        <v>655</v>
      </c>
      <c r="BF328" s="68">
        <v>157</v>
      </c>
      <c r="BG328" s="68">
        <v>156</v>
      </c>
      <c r="BH328" s="68">
        <v>157</v>
      </c>
      <c r="BI328" s="68">
        <v>163</v>
      </c>
      <c r="BJ328" s="36">
        <v>633</v>
      </c>
      <c r="BK328" s="68">
        <v>150</v>
      </c>
      <c r="BL328" s="293"/>
    </row>
    <row r="329" spans="1:64">
      <c r="A329" s="80" t="s">
        <v>7</v>
      </c>
      <c r="B329" s="23"/>
      <c r="C329" s="70"/>
      <c r="D329" s="70">
        <f>D328/C328-1</f>
        <v>7.7519379844961378E-3</v>
      </c>
      <c r="E329" s="70">
        <f>E328/D328-1</f>
        <v>-7.692307692307665E-3</v>
      </c>
      <c r="F329" s="70">
        <f>F328/E328-1</f>
        <v>4.6511627906976827E-2</v>
      </c>
      <c r="G329" s="23"/>
      <c r="H329" s="70">
        <f>H328/F328-1</f>
        <v>2.9629629629629672E-2</v>
      </c>
      <c r="I329" s="70">
        <f>I328/H328-1</f>
        <v>8.6330935251798468E-2</v>
      </c>
      <c r="J329" s="70">
        <f>J328/I328-1</f>
        <v>2.6490066225165476E-2</v>
      </c>
      <c r="K329" s="70">
        <f>K328/J328-1</f>
        <v>1.9354838709677358E-2</v>
      </c>
      <c r="L329" s="23"/>
      <c r="M329" s="70">
        <f>M328/K328-1</f>
        <v>-5.6962025316455667E-2</v>
      </c>
      <c r="N329" s="70">
        <f>N328/M328-1</f>
        <v>0</v>
      </c>
      <c r="O329" s="70">
        <f>O328/N328-1</f>
        <v>0</v>
      </c>
      <c r="P329" s="70">
        <f>P328/O328-1</f>
        <v>3.3557046979865834E-2</v>
      </c>
      <c r="Q329" s="23"/>
      <c r="R329" s="70">
        <f>R328/P328-1</f>
        <v>-9.740259740259738E-2</v>
      </c>
      <c r="S329" s="70">
        <f>S328/R328-1</f>
        <v>2.877697841726623E-2</v>
      </c>
      <c r="T329" s="70">
        <f>T328/S328-1</f>
        <v>-2.7972027972028024E-2</v>
      </c>
      <c r="U329" s="70">
        <f>U328/T328-1</f>
        <v>7.194244604316502E-3</v>
      </c>
      <c r="V329" s="23"/>
      <c r="W329" s="70">
        <f>W328/U328-1</f>
        <v>-3.5714285714285698E-2</v>
      </c>
      <c r="X329" s="70">
        <f>X328/W328-1</f>
        <v>1.4814814814814836E-2</v>
      </c>
      <c r="Y329" s="70">
        <f>Y328/X328-1</f>
        <v>-5.1094890510948954E-2</v>
      </c>
      <c r="Z329" s="70">
        <f>Z328/Y328-1</f>
        <v>-7.692307692307665E-3</v>
      </c>
      <c r="AA329" s="23"/>
      <c r="AB329" s="70">
        <f>AB328/Z328-1</f>
        <v>-6.2015503875968991E-2</v>
      </c>
      <c r="AC329" s="70">
        <f>AC328/AB328-1</f>
        <v>-6.6115702479338845E-2</v>
      </c>
      <c r="AD329" s="70">
        <f>AD328/AC328-1</f>
        <v>-1.7699115044247815E-2</v>
      </c>
      <c r="AE329" s="70">
        <f>AE328/AD328-1</f>
        <v>1.8018018018018056E-2</v>
      </c>
      <c r="AF329" s="23"/>
      <c r="AG329" s="70">
        <f>AG328/AE328-1</f>
        <v>-6.1946902654867242E-2</v>
      </c>
      <c r="AH329" s="70">
        <f>AH328/AG328-1</f>
        <v>-9.4339622641509413E-3</v>
      </c>
      <c r="AI329" s="70">
        <f>AI328/AH328-1</f>
        <v>2.857142857142847E-2</v>
      </c>
      <c r="AJ329" s="70">
        <f>AJ328/AI328-1</f>
        <v>2.7777777777777679E-2</v>
      </c>
      <c r="AK329" s="23"/>
      <c r="AL329" s="70">
        <f>AL328/AJ328-1</f>
        <v>-6.3063063063063085E-2</v>
      </c>
      <c r="AM329" s="70">
        <f>AM328/AL328-1</f>
        <v>1.9230769230769162E-2</v>
      </c>
      <c r="AN329" s="70">
        <f>AN328/AM328-1</f>
        <v>2.8301886792452935E-2</v>
      </c>
      <c r="AO329" s="70">
        <f>AO328/AN328-1</f>
        <v>-8.256880733944949E-2</v>
      </c>
      <c r="AP329" s="23"/>
      <c r="AQ329" s="70">
        <f>AQ328/AO328-1</f>
        <v>4.0000000000000036E-2</v>
      </c>
      <c r="AR329" s="70">
        <f>AR328/AQ328-1</f>
        <v>-8.6538461538461564E-2</v>
      </c>
      <c r="AS329" s="70">
        <f>AS328/AR328-1</f>
        <v>-3.157894736842104E-2</v>
      </c>
      <c r="AT329" s="70">
        <f>AT328/AS328-1</f>
        <v>-3.2608695652173947E-2</v>
      </c>
      <c r="AU329" s="23"/>
      <c r="AV329" s="70">
        <f>AV328/AT328-1</f>
        <v>5.6179775280898792E-2</v>
      </c>
      <c r="AW329" s="70">
        <f>AW328/AV328-1</f>
        <v>5.3191489361702038E-2</v>
      </c>
      <c r="AX329" s="70">
        <f>AX328/AW328-1</f>
        <v>1.0101010101010166E-2</v>
      </c>
      <c r="AY329" s="70">
        <f>AY328/AX328-1</f>
        <v>-9.9999999999999978E-2</v>
      </c>
      <c r="AZ329" s="23"/>
      <c r="BA329" s="70">
        <v>0.75555555555555554</v>
      </c>
      <c r="BB329" s="70">
        <v>6.3291139240506666E-3</v>
      </c>
      <c r="BC329" s="70">
        <v>1.2578616352201255E-2</v>
      </c>
      <c r="BD329" s="70">
        <v>9.9378881987577605E-2</v>
      </c>
      <c r="BE329" s="23"/>
      <c r="BF329" s="70">
        <v>-0.11299435028248583</v>
      </c>
      <c r="BG329" s="70">
        <v>-6.3694267515923553E-3</v>
      </c>
      <c r="BH329" s="70">
        <v>6.4102564102563875E-3</v>
      </c>
      <c r="BI329" s="70">
        <v>3.8216560509554132E-2</v>
      </c>
      <c r="BJ329" s="23"/>
      <c r="BK329" s="70">
        <v>-7.9754601226993849E-2</v>
      </c>
      <c r="BL329" s="293"/>
    </row>
    <row r="330" spans="1:64">
      <c r="A330" s="80" t="s">
        <v>8</v>
      </c>
      <c r="B330" s="23"/>
      <c r="C330" s="71"/>
      <c r="D330" s="71"/>
      <c r="E330" s="71"/>
      <c r="F330" s="71"/>
      <c r="G330" s="23">
        <f t="shared" ref="G330:N330" si="577">G328/B328-1</f>
        <v>9.1858037578288032E-2</v>
      </c>
      <c r="H330" s="71">
        <f t="shared" si="577"/>
        <v>7.7519379844961156E-2</v>
      </c>
      <c r="I330" s="71">
        <f t="shared" si="577"/>
        <v>0.16153846153846163</v>
      </c>
      <c r="J330" s="71">
        <f t="shared" si="577"/>
        <v>0.20155038759689914</v>
      </c>
      <c r="K330" s="71">
        <f t="shared" si="577"/>
        <v>0.17037037037037028</v>
      </c>
      <c r="L330" s="23">
        <f t="shared" si="577"/>
        <v>0.15296367112810705</v>
      </c>
      <c r="M330" s="71">
        <f t="shared" si="577"/>
        <v>7.1942446043165464E-2</v>
      </c>
      <c r="N330" s="71">
        <f t="shared" si="577"/>
        <v>-1.3245033112582738E-2</v>
      </c>
      <c r="O330" s="71">
        <f t="shared" ref="O330:Y330" si="578">O328/J328-1</f>
        <v>-3.8709677419354827E-2</v>
      </c>
      <c r="P330" s="71">
        <f t="shared" si="578"/>
        <v>-2.5316455696202556E-2</v>
      </c>
      <c r="Q330" s="23">
        <f t="shared" si="578"/>
        <v>-3.3167495854062867E-3</v>
      </c>
      <c r="R330" s="71">
        <f t="shared" si="578"/>
        <v>-6.7114093959731558E-2</v>
      </c>
      <c r="S330" s="71">
        <f t="shared" si="578"/>
        <v>-4.0268456375838979E-2</v>
      </c>
      <c r="T330" s="71">
        <f t="shared" si="578"/>
        <v>-6.7114093959731558E-2</v>
      </c>
      <c r="U330" s="71">
        <f t="shared" si="578"/>
        <v>-9.0909090909090939E-2</v>
      </c>
      <c r="V330" s="23">
        <f t="shared" si="578"/>
        <v>-6.6555740432612365E-2</v>
      </c>
      <c r="W330" s="71">
        <f t="shared" si="578"/>
        <v>-2.877697841726623E-2</v>
      </c>
      <c r="X330" s="71">
        <f t="shared" si="578"/>
        <v>-4.1958041958041981E-2</v>
      </c>
      <c r="Y330" s="71">
        <f t="shared" si="578"/>
        <v>-6.4748201438848962E-2</v>
      </c>
      <c r="Z330" s="71">
        <f t="shared" ref="Z330:AI330" si="579">Z328/U328-1</f>
        <v>-7.8571428571428625E-2</v>
      </c>
      <c r="AA330" s="23">
        <f t="shared" si="579"/>
        <v>-5.3475935828876997E-2</v>
      </c>
      <c r="AB330" s="71">
        <f t="shared" si="579"/>
        <v>-0.10370370370370374</v>
      </c>
      <c r="AC330" s="71">
        <f t="shared" si="579"/>
        <v>-0.17518248175182483</v>
      </c>
      <c r="AD330" s="71">
        <f t="shared" si="579"/>
        <v>-0.14615384615384619</v>
      </c>
      <c r="AE330" s="71">
        <f t="shared" si="579"/>
        <v>-0.12403100775193798</v>
      </c>
      <c r="AF330" s="23">
        <f t="shared" si="579"/>
        <v>-0.13747645951035781</v>
      </c>
      <c r="AG330" s="71">
        <f t="shared" si="579"/>
        <v>-0.12396694214876036</v>
      </c>
      <c r="AH330" s="71">
        <f t="shared" si="579"/>
        <v>-7.0796460176991149E-2</v>
      </c>
      <c r="AI330" s="71">
        <f t="shared" si="579"/>
        <v>-2.7027027027026973E-2</v>
      </c>
      <c r="AJ330" s="71">
        <f t="shared" ref="AJ330:AS330" si="580">AJ328/AE328-1</f>
        <v>-1.7699115044247815E-2</v>
      </c>
      <c r="AK330" s="23">
        <f t="shared" si="580"/>
        <v>-6.1135371179039333E-2</v>
      </c>
      <c r="AL330" s="71">
        <f t="shared" si="580"/>
        <v>-1.8867924528301883E-2</v>
      </c>
      <c r="AM330" s="71">
        <f t="shared" si="580"/>
        <v>9.52380952380949E-3</v>
      </c>
      <c r="AN330" s="71">
        <f t="shared" si="580"/>
        <v>9.2592592592593004E-3</v>
      </c>
      <c r="AO330" s="71">
        <f t="shared" si="580"/>
        <v>-9.9099099099099086E-2</v>
      </c>
      <c r="AP330" s="23">
        <f t="shared" si="580"/>
        <v>-2.5581395348837188E-2</v>
      </c>
      <c r="AQ330" s="71">
        <f t="shared" si="580"/>
        <v>0</v>
      </c>
      <c r="AR330" s="71">
        <f t="shared" si="580"/>
        <v>-0.10377358490566035</v>
      </c>
      <c r="AS330" s="71">
        <f t="shared" si="580"/>
        <v>-0.15596330275229353</v>
      </c>
      <c r="AT330" s="71">
        <f t="shared" ref="AT330" si="581">AT328/AO328-1</f>
        <v>-0.10999999999999999</v>
      </c>
      <c r="AU330" s="23">
        <f t="shared" ref="AU330:AX330" si="582">AU328/AP328-1</f>
        <v>-9.3078758949880713E-2</v>
      </c>
      <c r="AV330" s="71">
        <f t="shared" si="582"/>
        <v>-9.6153846153846145E-2</v>
      </c>
      <c r="AW330" s="71">
        <f t="shared" si="582"/>
        <v>4.2105263157894646E-2</v>
      </c>
      <c r="AX330" s="71">
        <f t="shared" si="582"/>
        <v>8.6956521739130377E-2</v>
      </c>
      <c r="AY330" s="71">
        <f t="shared" ref="AY330" si="583">AY328/AT328-1</f>
        <v>1.1235955056179803E-2</v>
      </c>
      <c r="AZ330" s="23">
        <v>7.8947368421051767E-3</v>
      </c>
      <c r="BA330" s="71">
        <v>0.68085106382978733</v>
      </c>
      <c r="BB330" s="71">
        <v>0.60606060606060597</v>
      </c>
      <c r="BC330" s="71">
        <v>0.6100000000000001</v>
      </c>
      <c r="BD330" s="71">
        <v>0.96666666666666656</v>
      </c>
      <c r="BE330" s="23">
        <v>0.71018276762402088</v>
      </c>
      <c r="BF330" s="71">
        <v>-6.3291139240506666E-3</v>
      </c>
      <c r="BG330" s="71">
        <v>-1.8867924528301883E-2</v>
      </c>
      <c r="BH330" s="71">
        <v>-2.4844720496894457E-2</v>
      </c>
      <c r="BI330" s="71">
        <v>-7.9096045197740161E-2</v>
      </c>
      <c r="BJ330" s="23">
        <v>-3.3587786259541952E-2</v>
      </c>
      <c r="BK330" s="71">
        <v>-4.4585987261146487E-2</v>
      </c>
    </row>
    <row r="331" spans="1:64">
      <c r="A331" s="67" t="s">
        <v>91</v>
      </c>
      <c r="B331" s="36">
        <v>598</v>
      </c>
      <c r="C331" s="78" t="s">
        <v>48</v>
      </c>
      <c r="D331" s="78" t="s">
        <v>48</v>
      </c>
      <c r="E331" s="78" t="s">
        <v>48</v>
      </c>
      <c r="F331" s="78" t="s">
        <v>48</v>
      </c>
      <c r="G331" s="36">
        <v>638</v>
      </c>
      <c r="H331" s="78" t="s">
        <v>48</v>
      </c>
      <c r="I331" s="78" t="s">
        <v>48</v>
      </c>
      <c r="J331" s="78" t="s">
        <v>48</v>
      </c>
      <c r="K331" s="78" t="s">
        <v>48</v>
      </c>
      <c r="L331" s="36">
        <v>601</v>
      </c>
      <c r="M331" s="78" t="s">
        <v>48</v>
      </c>
      <c r="N331" s="78" t="s">
        <v>48</v>
      </c>
      <c r="O331" s="78" t="s">
        <v>48</v>
      </c>
      <c r="P331" s="78" t="s">
        <v>48</v>
      </c>
      <c r="Q331" s="36">
        <v>590</v>
      </c>
      <c r="R331" s="78" t="s">
        <v>48</v>
      </c>
      <c r="S331" s="78" t="s">
        <v>48</v>
      </c>
      <c r="T331" s="78" t="s">
        <v>48</v>
      </c>
      <c r="U331" s="78" t="s">
        <v>48</v>
      </c>
      <c r="V331" s="36">
        <v>602</v>
      </c>
      <c r="W331" s="78" t="s">
        <v>48</v>
      </c>
      <c r="X331" s="78" t="s">
        <v>48</v>
      </c>
      <c r="Y331" s="78" t="s">
        <v>48</v>
      </c>
      <c r="Z331" s="78" t="s">
        <v>48</v>
      </c>
      <c r="AA331" s="36">
        <v>491</v>
      </c>
      <c r="AB331" s="68">
        <v>114</v>
      </c>
      <c r="AC331" s="68">
        <v>109</v>
      </c>
      <c r="AD331" s="68">
        <v>111</v>
      </c>
      <c r="AE331" s="68">
        <f>AF331-AD331-AC331-AB331</f>
        <v>105</v>
      </c>
      <c r="AF331" s="36">
        <v>439</v>
      </c>
      <c r="AG331" s="68">
        <v>109</v>
      </c>
      <c r="AH331" s="68">
        <v>103</v>
      </c>
      <c r="AI331" s="68">
        <v>100</v>
      </c>
      <c r="AJ331" s="68">
        <f>AK331-AI331-AH331-AG331</f>
        <v>105</v>
      </c>
      <c r="AK331" s="36">
        <v>417</v>
      </c>
      <c r="AL331" s="68">
        <v>96</v>
      </c>
      <c r="AM331" s="68">
        <v>96</v>
      </c>
      <c r="AN331" s="68">
        <v>90</v>
      </c>
      <c r="AO331" s="68">
        <f>AP331-AN331-AM331-AL331</f>
        <v>99</v>
      </c>
      <c r="AP331" s="36">
        <v>381</v>
      </c>
      <c r="AQ331" s="68">
        <v>96</v>
      </c>
      <c r="AR331" s="68">
        <v>94</v>
      </c>
      <c r="AS331" s="68">
        <v>94</v>
      </c>
      <c r="AT331" s="68">
        <f>AU331-AS331-AR331-AQ331</f>
        <v>94</v>
      </c>
      <c r="AU331" s="36">
        <v>378</v>
      </c>
      <c r="AV331" s="68">
        <v>98</v>
      </c>
      <c r="AW331" s="68">
        <v>94</v>
      </c>
      <c r="AX331" s="68">
        <v>94</v>
      </c>
      <c r="AY331" s="68">
        <f>AZ331-AX331-AW331-AV331</f>
        <v>98</v>
      </c>
      <c r="AZ331" s="36">
        <v>384</v>
      </c>
      <c r="BA331" s="68">
        <v>100</v>
      </c>
      <c r="BB331" s="68">
        <v>95</v>
      </c>
      <c r="BC331" s="68">
        <v>94</v>
      </c>
      <c r="BD331" s="68">
        <v>90</v>
      </c>
      <c r="BE331" s="36">
        <v>379</v>
      </c>
      <c r="BF331" s="68">
        <v>94</v>
      </c>
      <c r="BG331" s="68">
        <v>95</v>
      </c>
      <c r="BH331" s="68">
        <v>89</v>
      </c>
      <c r="BI331" s="68">
        <v>95</v>
      </c>
      <c r="BJ331" s="36">
        <v>373</v>
      </c>
      <c r="BK331" s="68">
        <v>90</v>
      </c>
    </row>
    <row r="332" spans="1:64">
      <c r="A332" s="69" t="s">
        <v>7</v>
      </c>
      <c r="B332" s="23"/>
      <c r="C332" s="71"/>
      <c r="D332" s="71"/>
      <c r="E332" s="71"/>
      <c r="F332" s="71"/>
      <c r="G332" s="23"/>
      <c r="H332" s="71"/>
      <c r="I332" s="71"/>
      <c r="J332" s="71"/>
      <c r="K332" s="71"/>
      <c r="L332" s="23"/>
      <c r="M332" s="71"/>
      <c r="N332" s="71"/>
      <c r="O332" s="71"/>
      <c r="P332" s="71"/>
      <c r="Q332" s="23"/>
      <c r="R332" s="71"/>
      <c r="S332" s="71"/>
      <c r="T332" s="71"/>
      <c r="U332" s="71"/>
      <c r="V332" s="23"/>
      <c r="W332" s="71"/>
      <c r="X332" s="71"/>
      <c r="Y332" s="71"/>
      <c r="Z332" s="71"/>
      <c r="AA332" s="23"/>
      <c r="AB332" s="70"/>
      <c r="AC332" s="70">
        <f>AC331/AB331-1</f>
        <v>-4.3859649122807043E-2</v>
      </c>
      <c r="AD332" s="70">
        <f>AD331/AC331-1</f>
        <v>1.8348623853210899E-2</v>
      </c>
      <c r="AE332" s="70">
        <f>AE331/AD331-1</f>
        <v>-5.4054054054054057E-2</v>
      </c>
      <c r="AF332" s="23"/>
      <c r="AG332" s="70">
        <f>AG331/AE331-1</f>
        <v>3.8095238095238182E-2</v>
      </c>
      <c r="AH332" s="70">
        <f>AH331/AG331-1</f>
        <v>-5.5045871559633031E-2</v>
      </c>
      <c r="AI332" s="70">
        <f>AI331/AH331-1</f>
        <v>-2.9126213592232997E-2</v>
      </c>
      <c r="AJ332" s="70">
        <f>AJ331/AI331-1</f>
        <v>5.0000000000000044E-2</v>
      </c>
      <c r="AK332" s="23"/>
      <c r="AL332" s="70">
        <f>AL331/AJ331-1</f>
        <v>-8.5714285714285743E-2</v>
      </c>
      <c r="AM332" s="70">
        <f>AM331/AL331-1</f>
        <v>0</v>
      </c>
      <c r="AN332" s="70">
        <f>AN331/AM331-1</f>
        <v>-6.25E-2</v>
      </c>
      <c r="AO332" s="70">
        <f>AO331/AN331-1</f>
        <v>0.10000000000000009</v>
      </c>
      <c r="AP332" s="23"/>
      <c r="AQ332" s="70">
        <f>AQ331/AO331-1</f>
        <v>-3.0303030303030276E-2</v>
      </c>
      <c r="AR332" s="70">
        <f>AR331/AQ331-1</f>
        <v>-2.083333333333337E-2</v>
      </c>
      <c r="AS332" s="70">
        <f>AS331/AR331-1</f>
        <v>0</v>
      </c>
      <c r="AT332" s="70">
        <f>AT331/AS331-1</f>
        <v>0</v>
      </c>
      <c r="AU332" s="23"/>
      <c r="AV332" s="70">
        <f>AV331/AT331-1</f>
        <v>4.2553191489361764E-2</v>
      </c>
      <c r="AW332" s="70">
        <f>AW331/AV331-1</f>
        <v>-4.081632653061229E-2</v>
      </c>
      <c r="AX332" s="70">
        <f>AX331/AW331-1</f>
        <v>0</v>
      </c>
      <c r="AY332" s="70">
        <f>AY331/AX331-1</f>
        <v>4.2553191489361764E-2</v>
      </c>
      <c r="AZ332" s="23"/>
      <c r="BA332" s="70">
        <v>2.0408163265306145E-2</v>
      </c>
      <c r="BB332" s="70">
        <v>-5.0000000000000044E-2</v>
      </c>
      <c r="BC332" s="70">
        <v>-1.0526315789473717E-2</v>
      </c>
      <c r="BD332" s="70">
        <v>-4.2553191489361653E-2</v>
      </c>
      <c r="BE332" s="23"/>
      <c r="BF332" s="70">
        <v>4.4444444444444509E-2</v>
      </c>
      <c r="BG332" s="70">
        <v>1.0638297872340496E-2</v>
      </c>
      <c r="BH332" s="70">
        <v>-6.315789473684208E-2</v>
      </c>
      <c r="BI332" s="70">
        <v>6.7415730337078594E-2</v>
      </c>
      <c r="BJ332" s="23"/>
      <c r="BK332" s="70">
        <v>-5.2631578947368474E-2</v>
      </c>
    </row>
    <row r="333" spans="1:64">
      <c r="A333" s="69" t="s">
        <v>8</v>
      </c>
      <c r="B333" s="23"/>
      <c r="C333" s="71"/>
      <c r="D333" s="71"/>
      <c r="E333" s="71"/>
      <c r="F333" s="71"/>
      <c r="G333" s="23">
        <f>G331/B331-1</f>
        <v>6.6889632107023367E-2</v>
      </c>
      <c r="H333" s="71"/>
      <c r="I333" s="71"/>
      <c r="J333" s="71"/>
      <c r="K333" s="71"/>
      <c r="L333" s="23">
        <f>L331/G331-1</f>
        <v>-5.7993730407523536E-2</v>
      </c>
      <c r="M333" s="71"/>
      <c r="N333" s="71"/>
      <c r="O333" s="71"/>
      <c r="P333" s="71"/>
      <c r="Q333" s="23">
        <f>Q331/L331-1</f>
        <v>-1.830282861896837E-2</v>
      </c>
      <c r="R333" s="71"/>
      <c r="S333" s="71"/>
      <c r="T333" s="71"/>
      <c r="U333" s="71"/>
      <c r="V333" s="23">
        <f>V331/Q331-1</f>
        <v>2.0338983050847359E-2</v>
      </c>
      <c r="W333" s="71"/>
      <c r="X333" s="71"/>
      <c r="Y333" s="71"/>
      <c r="Z333" s="71"/>
      <c r="AA333" s="23">
        <f>AA331/V331-1</f>
        <v>-0.18438538205980071</v>
      </c>
      <c r="AB333" s="71"/>
      <c r="AC333" s="71"/>
      <c r="AD333" s="71"/>
      <c r="AE333" s="71"/>
      <c r="AF333" s="23">
        <f t="shared" ref="AF333" si="584">AF331/AA331-1</f>
        <v>-0.1059063136456212</v>
      </c>
      <c r="AG333" s="71">
        <f t="shared" ref="AG333" si="585">AG331/AB331-1</f>
        <v>-4.3859649122807043E-2</v>
      </c>
      <c r="AH333" s="71">
        <f t="shared" ref="AH333" si="586">AH331/AC331-1</f>
        <v>-5.5045871559633031E-2</v>
      </c>
      <c r="AI333" s="71">
        <f t="shared" ref="AI333" si="587">AI331/AD331-1</f>
        <v>-9.9099099099099086E-2</v>
      </c>
      <c r="AJ333" s="71">
        <f t="shared" ref="AJ333" si="588">AJ331/AE331-1</f>
        <v>0</v>
      </c>
      <c r="AK333" s="23">
        <f t="shared" ref="AK333" si="589">AK331/AF331-1</f>
        <v>-5.0113895216400861E-2</v>
      </c>
      <c r="AL333" s="71">
        <f t="shared" ref="AL333" si="590">AL331/AG331-1</f>
        <v>-0.11926605504587151</v>
      </c>
      <c r="AM333" s="71">
        <f t="shared" ref="AM333" si="591">AM331/AH331-1</f>
        <v>-6.7961165048543659E-2</v>
      </c>
      <c r="AN333" s="71">
        <f t="shared" ref="AN333" si="592">AN331/AI331-1</f>
        <v>-9.9999999999999978E-2</v>
      </c>
      <c r="AO333" s="71">
        <f t="shared" ref="AO333" si="593">AO331/AJ331-1</f>
        <v>-5.7142857142857162E-2</v>
      </c>
      <c r="AP333" s="23">
        <f t="shared" ref="AP333" si="594">AP331/AK331-1</f>
        <v>-8.633093525179858E-2</v>
      </c>
      <c r="AQ333" s="71">
        <f t="shared" ref="AQ333" si="595">AQ331/AL331-1</f>
        <v>0</v>
      </c>
      <c r="AR333" s="71">
        <f t="shared" ref="AR333" si="596">AR331/AM331-1</f>
        <v>-2.083333333333337E-2</v>
      </c>
      <c r="AS333" s="71">
        <f t="shared" ref="AS333" si="597">AS331/AN331-1</f>
        <v>4.4444444444444509E-2</v>
      </c>
      <c r="AT333" s="71">
        <f t="shared" ref="AT333" si="598">AT331/AO331-1</f>
        <v>-5.0505050505050497E-2</v>
      </c>
      <c r="AU333" s="23">
        <f t="shared" ref="AU333:AX333" si="599">AU331/AP331-1</f>
        <v>-7.8740157480314821E-3</v>
      </c>
      <c r="AV333" s="71">
        <f t="shared" si="599"/>
        <v>2.0833333333333259E-2</v>
      </c>
      <c r="AW333" s="71">
        <f t="shared" si="599"/>
        <v>0</v>
      </c>
      <c r="AX333" s="71">
        <f t="shared" si="599"/>
        <v>0</v>
      </c>
      <c r="AY333" s="71">
        <f t="shared" ref="AY333" si="600">AY331/AT331-1</f>
        <v>4.2553191489361764E-2</v>
      </c>
      <c r="AZ333" s="23">
        <v>1.5873015873015817E-2</v>
      </c>
      <c r="BA333" s="71">
        <v>2.0408163265306145E-2</v>
      </c>
      <c r="BB333" s="71">
        <v>1.0638297872340496E-2</v>
      </c>
      <c r="BC333" s="71">
        <v>0</v>
      </c>
      <c r="BD333" s="71">
        <v>-8.1632653061224469E-2</v>
      </c>
      <c r="BE333" s="23">
        <v>-1.302083333333337E-2</v>
      </c>
      <c r="BF333" s="71">
        <v>-6.0000000000000053E-2</v>
      </c>
      <c r="BG333" s="71">
        <v>0</v>
      </c>
      <c r="BH333" s="71">
        <v>-5.3191489361702149E-2</v>
      </c>
      <c r="BI333" s="71">
        <v>5.555555555555558E-2</v>
      </c>
      <c r="BJ333" s="23">
        <v>-1.5831134564643801E-2</v>
      </c>
      <c r="BK333" s="71">
        <v>-4.2553191489361653E-2</v>
      </c>
    </row>
    <row r="334" spans="1:64" ht="12.75" customHeight="1">
      <c r="A334" s="67" t="s">
        <v>282</v>
      </c>
      <c r="B334" s="36">
        <v>2802</v>
      </c>
      <c r="C334" s="78" t="s">
        <v>48</v>
      </c>
      <c r="D334" s="78" t="s">
        <v>48</v>
      </c>
      <c r="E334" s="78" t="s">
        <v>48</v>
      </c>
      <c r="F334" s="78" t="s">
        <v>48</v>
      </c>
      <c r="G334" s="36">
        <v>2619</v>
      </c>
      <c r="H334" s="78" t="s">
        <v>48</v>
      </c>
      <c r="I334" s="78" t="s">
        <v>48</v>
      </c>
      <c r="J334" s="78" t="s">
        <v>48</v>
      </c>
      <c r="K334" s="78" t="s">
        <v>48</v>
      </c>
      <c r="L334" s="36">
        <v>2982</v>
      </c>
      <c r="M334" s="78" t="s">
        <v>48</v>
      </c>
      <c r="N334" s="78" t="s">
        <v>48</v>
      </c>
      <c r="O334" s="78" t="s">
        <v>48</v>
      </c>
      <c r="P334" s="78" t="s">
        <v>48</v>
      </c>
      <c r="Q334" s="36">
        <v>3158</v>
      </c>
      <c r="R334" s="78" t="s">
        <v>48</v>
      </c>
      <c r="S334" s="78" t="s">
        <v>48</v>
      </c>
      <c r="T334" s="78" t="s">
        <v>48</v>
      </c>
      <c r="U334" s="78" t="s">
        <v>48</v>
      </c>
      <c r="V334" s="36">
        <v>3025</v>
      </c>
      <c r="W334" s="78" t="s">
        <v>48</v>
      </c>
      <c r="X334" s="78" t="s">
        <v>48</v>
      </c>
      <c r="Y334" s="78" t="s">
        <v>48</v>
      </c>
      <c r="Z334" s="78" t="s">
        <v>48</v>
      </c>
      <c r="AA334" s="36">
        <v>2554</v>
      </c>
      <c r="AB334" s="68">
        <v>555</v>
      </c>
      <c r="AC334" s="68">
        <v>507</v>
      </c>
      <c r="AD334" s="68">
        <v>553</v>
      </c>
      <c r="AE334" s="68">
        <f>AF334-AD334-AC334-AB334</f>
        <v>628</v>
      </c>
      <c r="AF334" s="36">
        <v>2243</v>
      </c>
      <c r="AG334" s="68">
        <v>576</v>
      </c>
      <c r="AH334" s="68">
        <v>508</v>
      </c>
      <c r="AI334" s="68">
        <v>494</v>
      </c>
      <c r="AJ334" s="68">
        <f>AK334-AI334-AH334-AG334</f>
        <v>527</v>
      </c>
      <c r="AK334" s="36">
        <v>2105</v>
      </c>
      <c r="AL334" s="68">
        <v>495</v>
      </c>
      <c r="AM334" s="68">
        <v>466</v>
      </c>
      <c r="AN334" s="68">
        <v>469</v>
      </c>
      <c r="AO334" s="68">
        <f>AP334-AN334-AM334-AL334</f>
        <v>498</v>
      </c>
      <c r="AP334" s="36">
        <v>1928</v>
      </c>
      <c r="AQ334" s="68">
        <v>470</v>
      </c>
      <c r="AR334" s="68">
        <v>461</v>
      </c>
      <c r="AS334" s="68">
        <v>436</v>
      </c>
      <c r="AT334" s="68">
        <f>AU334-AS334-AR334-AQ334</f>
        <v>471</v>
      </c>
      <c r="AU334" s="36">
        <v>1838</v>
      </c>
      <c r="AV334" s="68">
        <v>431</v>
      </c>
      <c r="AW334" s="68">
        <v>409</v>
      </c>
      <c r="AX334" s="68">
        <v>419</v>
      </c>
      <c r="AY334" s="68">
        <f>AZ334-AX334-AW334-AV334</f>
        <v>439</v>
      </c>
      <c r="AZ334" s="36">
        <v>1698</v>
      </c>
      <c r="BA334" s="68">
        <v>359</v>
      </c>
      <c r="BB334" s="68">
        <v>345</v>
      </c>
      <c r="BC334" s="68">
        <v>344</v>
      </c>
      <c r="BD334" s="68">
        <v>354</v>
      </c>
      <c r="BE334" s="36">
        <v>1402</v>
      </c>
      <c r="BF334" s="68">
        <v>337</v>
      </c>
      <c r="BG334" s="68">
        <v>324</v>
      </c>
      <c r="BH334" s="68">
        <v>348</v>
      </c>
      <c r="BI334" s="68">
        <v>364</v>
      </c>
      <c r="BJ334" s="36">
        <v>1373</v>
      </c>
      <c r="BK334" s="68">
        <v>345</v>
      </c>
    </row>
    <row r="335" spans="1:64" ht="12.75" customHeight="1">
      <c r="A335" s="69" t="s">
        <v>7</v>
      </c>
      <c r="B335" s="23"/>
      <c r="C335" s="71"/>
      <c r="D335" s="71"/>
      <c r="E335" s="71"/>
      <c r="F335" s="71"/>
      <c r="G335" s="23"/>
      <c r="H335" s="71"/>
      <c r="I335" s="71"/>
      <c r="J335" s="71"/>
      <c r="K335" s="71"/>
      <c r="L335" s="23"/>
      <c r="M335" s="71"/>
      <c r="N335" s="71"/>
      <c r="O335" s="71"/>
      <c r="P335" s="71"/>
      <c r="Q335" s="23"/>
      <c r="R335" s="71"/>
      <c r="S335" s="71"/>
      <c r="T335" s="71"/>
      <c r="U335" s="71"/>
      <c r="V335" s="23"/>
      <c r="W335" s="71"/>
      <c r="X335" s="71"/>
      <c r="Y335" s="71"/>
      <c r="Z335" s="71"/>
      <c r="AA335" s="23"/>
      <c r="AB335" s="70"/>
      <c r="AC335" s="70">
        <f>AC334/AB334-1</f>
        <v>-8.6486486486486491E-2</v>
      </c>
      <c r="AD335" s="70">
        <f>AD334/AC334-1</f>
        <v>9.0729783037475364E-2</v>
      </c>
      <c r="AE335" s="70">
        <f>AE334/AD334-1</f>
        <v>0.13562386980108498</v>
      </c>
      <c r="AF335" s="23"/>
      <c r="AG335" s="70">
        <f>AG334/AE334-1</f>
        <v>-8.2802547770700619E-2</v>
      </c>
      <c r="AH335" s="70">
        <f>AH334/AG334-1</f>
        <v>-0.11805555555555558</v>
      </c>
      <c r="AI335" s="70">
        <f>AI334/AH334-1</f>
        <v>-2.7559055118110187E-2</v>
      </c>
      <c r="AJ335" s="70">
        <f>AJ334/AI334-1</f>
        <v>6.68016194331984E-2</v>
      </c>
      <c r="AK335" s="23"/>
      <c r="AL335" s="70">
        <f>AL334/AJ334-1</f>
        <v>-6.0721062618595778E-2</v>
      </c>
      <c r="AM335" s="70">
        <f>AM334/AL334-1</f>
        <v>-5.858585858585863E-2</v>
      </c>
      <c r="AN335" s="70">
        <f>AN334/AM334-1</f>
        <v>6.4377682403433667E-3</v>
      </c>
      <c r="AO335" s="70">
        <f>AO334/AN334-1</f>
        <v>6.1833688699360234E-2</v>
      </c>
      <c r="AP335" s="23"/>
      <c r="AQ335" s="70">
        <f>AQ334/AO334-1</f>
        <v>-5.6224899598393607E-2</v>
      </c>
      <c r="AR335" s="70">
        <f>AR334/AQ334-1</f>
        <v>-1.9148936170212738E-2</v>
      </c>
      <c r="AS335" s="70">
        <f>AS334/AR334-1</f>
        <v>-5.4229934924078127E-2</v>
      </c>
      <c r="AT335" s="70">
        <f>AT334/AS334-1</f>
        <v>8.0275229357798183E-2</v>
      </c>
      <c r="AU335" s="23"/>
      <c r="AV335" s="70">
        <f>AV334/AT334-1</f>
        <v>-8.4925690021231404E-2</v>
      </c>
      <c r="AW335" s="70">
        <f>AW334/AV334-1</f>
        <v>-5.1044083526682105E-2</v>
      </c>
      <c r="AX335" s="70">
        <f>AX334/AW334-1</f>
        <v>2.4449877750611249E-2</v>
      </c>
      <c r="AY335" s="70">
        <f>AY334/AX334-1</f>
        <v>4.7732696897374804E-2</v>
      </c>
      <c r="AZ335" s="23"/>
      <c r="BA335" s="70">
        <v>-0.1822323462414579</v>
      </c>
      <c r="BB335" s="70">
        <v>-3.8997214484679632E-2</v>
      </c>
      <c r="BC335" s="70">
        <v>-2.8985507246376274E-3</v>
      </c>
      <c r="BD335" s="70">
        <v>2.9069767441860517E-2</v>
      </c>
      <c r="BE335" s="23"/>
      <c r="BF335" s="70">
        <v>-4.8022598870056443E-2</v>
      </c>
      <c r="BG335" s="70">
        <v>-3.857566765578635E-2</v>
      </c>
      <c r="BH335" s="70">
        <v>7.4074074074074181E-2</v>
      </c>
      <c r="BI335" s="70">
        <v>4.5977011494252817E-2</v>
      </c>
      <c r="BJ335" s="23"/>
      <c r="BK335" s="70">
        <v>-5.2197802197802234E-2</v>
      </c>
    </row>
    <row r="336" spans="1:64" ht="12.75" customHeight="1">
      <c r="A336" s="69" t="s">
        <v>8</v>
      </c>
      <c r="B336" s="23"/>
      <c r="C336" s="71"/>
      <c r="D336" s="71"/>
      <c r="E336" s="71"/>
      <c r="F336" s="71"/>
      <c r="G336" s="23">
        <f t="shared" ref="G336" si="601">G334/B334-1</f>
        <v>-6.5310492505353368E-2</v>
      </c>
      <c r="H336" s="71"/>
      <c r="I336" s="71"/>
      <c r="J336" s="71"/>
      <c r="K336" s="71"/>
      <c r="L336" s="23">
        <f t="shared" ref="L336" si="602">L334/G334-1</f>
        <v>0.13860252004581897</v>
      </c>
      <c r="M336" s="71"/>
      <c r="N336" s="71"/>
      <c r="O336" s="71"/>
      <c r="P336" s="71"/>
      <c r="Q336" s="23">
        <f t="shared" ref="Q336" si="603">Q334/L334-1</f>
        <v>5.9020791415157703E-2</v>
      </c>
      <c r="R336" s="71"/>
      <c r="S336" s="71"/>
      <c r="T336" s="71"/>
      <c r="U336" s="71"/>
      <c r="V336" s="23">
        <f t="shared" ref="V336" si="604">V334/Q334-1</f>
        <v>-4.2115262824572564E-2</v>
      </c>
      <c r="W336" s="71"/>
      <c r="X336" s="71"/>
      <c r="Y336" s="71"/>
      <c r="Z336" s="71"/>
      <c r="AA336" s="23">
        <f t="shared" ref="AA336" si="605">AA334/V334-1</f>
        <v>-0.15570247933884296</v>
      </c>
      <c r="AB336" s="71"/>
      <c r="AC336" s="71"/>
      <c r="AD336" s="71"/>
      <c r="AE336" s="71"/>
      <c r="AF336" s="23">
        <f t="shared" ref="AF336" si="606">AF334/AA334-1</f>
        <v>-0.12176977290524671</v>
      </c>
      <c r="AG336" s="71">
        <f t="shared" ref="AG336" si="607">AG334/AB334-1</f>
        <v>3.7837837837837895E-2</v>
      </c>
      <c r="AH336" s="71">
        <f t="shared" ref="AH336" si="608">AH334/AC334-1</f>
        <v>1.9723865877712132E-3</v>
      </c>
      <c r="AI336" s="71">
        <f t="shared" ref="AI336" si="609">AI334/AD334-1</f>
        <v>-0.10669077757685352</v>
      </c>
      <c r="AJ336" s="71">
        <f t="shared" ref="AJ336" si="610">AJ334/AE334-1</f>
        <v>-0.16082802547770703</v>
      </c>
      <c r="AK336" s="23">
        <f t="shared" ref="AK336" si="611">AK334/AF334-1</f>
        <v>-6.1524743646901525E-2</v>
      </c>
      <c r="AL336" s="71">
        <f t="shared" ref="AL336" si="612">AL334/AG334-1</f>
        <v>-0.140625</v>
      </c>
      <c r="AM336" s="71">
        <f t="shared" ref="AM336" si="613">AM334/AH334-1</f>
        <v>-8.2677165354330673E-2</v>
      </c>
      <c r="AN336" s="71">
        <f t="shared" ref="AN336" si="614">AN334/AI334-1</f>
        <v>-5.0607287449392691E-2</v>
      </c>
      <c r="AO336" s="71">
        <f t="shared" ref="AO336" si="615">AO334/AJ334-1</f>
        <v>-5.502846299810249E-2</v>
      </c>
      <c r="AP336" s="23">
        <f t="shared" ref="AP336" si="616">AP334/AK334-1</f>
        <v>-8.4085510688836074E-2</v>
      </c>
      <c r="AQ336" s="71">
        <f t="shared" ref="AQ336" si="617">AQ334/AL334-1</f>
        <v>-5.0505050505050497E-2</v>
      </c>
      <c r="AR336" s="71">
        <f t="shared" ref="AR336" si="618">AR334/AM334-1</f>
        <v>-1.0729613733905574E-2</v>
      </c>
      <c r="AS336" s="71">
        <f t="shared" ref="AS336" si="619">AS334/AN334-1</f>
        <v>-7.0362473347547971E-2</v>
      </c>
      <c r="AT336" s="71">
        <f t="shared" ref="AT336" si="620">AT334/AO334-1</f>
        <v>-5.4216867469879526E-2</v>
      </c>
      <c r="AU336" s="23">
        <f t="shared" ref="AU336" si="621">AU334/AP334-1</f>
        <v>-4.6680497925311148E-2</v>
      </c>
      <c r="AV336" s="71">
        <f t="shared" ref="AV336" si="622">AV334/AQ334-1</f>
        <v>-8.2978723404255272E-2</v>
      </c>
      <c r="AW336" s="71">
        <f t="shared" ref="AW336" si="623">AW334/AR334-1</f>
        <v>-0.11279826464208242</v>
      </c>
      <c r="AX336" s="71">
        <f t="shared" ref="AX336" si="624">AX334/AS334-1</f>
        <v>-3.8990825688073438E-2</v>
      </c>
      <c r="AY336" s="71">
        <f t="shared" ref="AY336" si="625">AY334/AT334-1</f>
        <v>-6.7940552016985123E-2</v>
      </c>
      <c r="AZ336" s="23">
        <v>-7.6169749727965197E-2</v>
      </c>
      <c r="BA336" s="71">
        <v>-0.16705336426914152</v>
      </c>
      <c r="BB336" s="71">
        <v>-0.15647921760391204</v>
      </c>
      <c r="BC336" s="71">
        <v>-0.17899761336515518</v>
      </c>
      <c r="BD336" s="71">
        <v>-0.193621867881549</v>
      </c>
      <c r="BE336" s="23">
        <v>-0.17432273262661957</v>
      </c>
      <c r="BF336" s="71">
        <v>-6.1281337047353723E-2</v>
      </c>
      <c r="BG336" s="71">
        <v>-6.0869565217391286E-2</v>
      </c>
      <c r="BH336" s="71">
        <v>1.1627906976744207E-2</v>
      </c>
      <c r="BI336" s="71">
        <v>2.8248587570621542E-2</v>
      </c>
      <c r="BJ336" s="23">
        <v>-2.0684736091298173E-2</v>
      </c>
      <c r="BK336" s="71">
        <v>2.3738872403560762E-2</v>
      </c>
    </row>
    <row r="337" spans="1:63">
      <c r="A337" s="67" t="s">
        <v>156</v>
      </c>
      <c r="B337" s="61" t="s">
        <v>138</v>
      </c>
      <c r="C337" s="147" t="s">
        <v>138</v>
      </c>
      <c r="D337" s="147" t="s">
        <v>138</v>
      </c>
      <c r="E337" s="147" t="s">
        <v>138</v>
      </c>
      <c r="F337" s="147" t="s">
        <v>138</v>
      </c>
      <c r="G337" s="61" t="s">
        <v>138</v>
      </c>
      <c r="H337" s="147" t="s">
        <v>138</v>
      </c>
      <c r="I337" s="147" t="s">
        <v>138</v>
      </c>
      <c r="J337" s="147" t="s">
        <v>138</v>
      </c>
      <c r="K337" s="147" t="s">
        <v>138</v>
      </c>
      <c r="L337" s="61" t="s">
        <v>138</v>
      </c>
      <c r="M337" s="147" t="s">
        <v>138</v>
      </c>
      <c r="N337" s="147" t="s">
        <v>138</v>
      </c>
      <c r="O337" s="147" t="s">
        <v>138</v>
      </c>
      <c r="P337" s="147" t="s">
        <v>138</v>
      </c>
      <c r="Q337" s="61" t="s">
        <v>138</v>
      </c>
      <c r="R337" s="147" t="s">
        <v>138</v>
      </c>
      <c r="S337" s="147" t="s">
        <v>138</v>
      </c>
      <c r="T337" s="147" t="s">
        <v>138</v>
      </c>
      <c r="U337" s="147" t="s">
        <v>138</v>
      </c>
      <c r="V337" s="61" t="s">
        <v>138</v>
      </c>
      <c r="W337" s="147" t="s">
        <v>138</v>
      </c>
      <c r="X337" s="147" t="s">
        <v>138</v>
      </c>
      <c r="Y337" s="147" t="s">
        <v>138</v>
      </c>
      <c r="Z337" s="147" t="s">
        <v>138</v>
      </c>
      <c r="AA337" s="61" t="s">
        <v>138</v>
      </c>
      <c r="AB337" s="147" t="s">
        <v>138</v>
      </c>
      <c r="AC337" s="147" t="s">
        <v>138</v>
      </c>
      <c r="AD337" s="147" t="s">
        <v>138</v>
      </c>
      <c r="AE337" s="68">
        <v>61</v>
      </c>
      <c r="AF337" s="36">
        <v>61</v>
      </c>
      <c r="AG337" s="147" t="s">
        <v>138</v>
      </c>
      <c r="AH337" s="147" t="s">
        <v>138</v>
      </c>
      <c r="AI337" s="147" t="s">
        <v>138</v>
      </c>
      <c r="AJ337" s="147">
        <v>18</v>
      </c>
      <c r="AK337" s="36">
        <v>18</v>
      </c>
      <c r="AL337" s="147" t="s">
        <v>138</v>
      </c>
      <c r="AM337" s="147" t="s">
        <v>138</v>
      </c>
      <c r="AN337" s="147" t="s">
        <v>138</v>
      </c>
      <c r="AO337" s="147">
        <v>5</v>
      </c>
      <c r="AP337" s="36">
        <v>5</v>
      </c>
      <c r="AQ337" s="147" t="s">
        <v>138</v>
      </c>
      <c r="AR337" s="147" t="s">
        <v>138</v>
      </c>
      <c r="AS337" s="147" t="s">
        <v>138</v>
      </c>
      <c r="AT337" s="147">
        <v>2</v>
      </c>
      <c r="AU337" s="36">
        <v>2</v>
      </c>
      <c r="AV337" s="147" t="s">
        <v>138</v>
      </c>
      <c r="AW337" s="147" t="s">
        <v>138</v>
      </c>
      <c r="AX337" s="147" t="s">
        <v>138</v>
      </c>
      <c r="AY337" s="147" t="s">
        <v>138</v>
      </c>
      <c r="AZ337" s="61">
        <v>9</v>
      </c>
      <c r="BA337" s="147" t="s">
        <v>138</v>
      </c>
      <c r="BB337" s="147">
        <v>1</v>
      </c>
      <c r="BC337" s="147">
        <v>7</v>
      </c>
      <c r="BD337" s="147">
        <v>1</v>
      </c>
      <c r="BE337" s="61">
        <v>9</v>
      </c>
      <c r="BF337" s="147" t="s">
        <v>138</v>
      </c>
      <c r="BG337" s="147">
        <v>3</v>
      </c>
      <c r="BH337" s="147">
        <v>2</v>
      </c>
      <c r="BI337" s="147">
        <v>77</v>
      </c>
      <c r="BJ337" s="61">
        <v>82</v>
      </c>
      <c r="BK337" s="147">
        <v>1</v>
      </c>
    </row>
    <row r="338" spans="1:63" s="35" customFormat="1" ht="16.149999999999999" customHeight="1">
      <c r="A338" s="67" t="s">
        <v>251</v>
      </c>
      <c r="B338" s="36">
        <v>805</v>
      </c>
      <c r="C338" s="68">
        <v>215</v>
      </c>
      <c r="D338" s="68">
        <v>266</v>
      </c>
      <c r="E338" s="68">
        <v>293</v>
      </c>
      <c r="F338" s="68">
        <f>G338-E338-D338-C338</f>
        <v>159</v>
      </c>
      <c r="G338" s="36">
        <v>933</v>
      </c>
      <c r="H338" s="68">
        <v>302</v>
      </c>
      <c r="I338" s="68">
        <v>321</v>
      </c>
      <c r="J338" s="68">
        <v>316</v>
      </c>
      <c r="K338" s="68">
        <f>L338-J338-I338-H338</f>
        <v>251</v>
      </c>
      <c r="L338" s="36">
        <v>1190</v>
      </c>
      <c r="M338" s="68">
        <v>322</v>
      </c>
      <c r="N338" s="68">
        <v>362</v>
      </c>
      <c r="O338" s="68">
        <v>356</v>
      </c>
      <c r="P338" s="68">
        <f>Q338-O338-N338-M338</f>
        <v>343</v>
      </c>
      <c r="Q338" s="36">
        <v>1383</v>
      </c>
      <c r="R338" s="68">
        <v>399</v>
      </c>
      <c r="S338" s="68">
        <v>357</v>
      </c>
      <c r="T338" s="68">
        <v>342</v>
      </c>
      <c r="U338" s="68">
        <f>V338-T338-S338-R338</f>
        <v>262</v>
      </c>
      <c r="V338" s="36">
        <v>1360</v>
      </c>
      <c r="W338" s="68">
        <v>267</v>
      </c>
      <c r="X338" s="68">
        <v>259</v>
      </c>
      <c r="Y338" s="68">
        <v>199</v>
      </c>
      <c r="Z338" s="68">
        <f>AA338-Y338-X338-W338</f>
        <v>167</v>
      </c>
      <c r="AA338" s="36">
        <v>892</v>
      </c>
      <c r="AB338" s="68">
        <f>AB319-AB322-AB325</f>
        <v>174</v>
      </c>
      <c r="AC338" s="68">
        <f>AC319-AC322-AC325</f>
        <v>186</v>
      </c>
      <c r="AD338" s="68">
        <f>AD319-AD322-AD325</f>
        <v>172</v>
      </c>
      <c r="AE338" s="68">
        <f>AF338-AD338-AC338-AB338</f>
        <v>76</v>
      </c>
      <c r="AF338" s="36">
        <f>AF319-AF322-AF325-61</f>
        <v>608</v>
      </c>
      <c r="AG338" s="68">
        <v>126</v>
      </c>
      <c r="AH338" s="68">
        <v>127</v>
      </c>
      <c r="AI338" s="68">
        <v>122</v>
      </c>
      <c r="AJ338" s="68">
        <f>AK338-AI338-AH338-AG338</f>
        <v>74</v>
      </c>
      <c r="AK338" s="36">
        <v>449</v>
      </c>
      <c r="AL338" s="68">
        <v>32</v>
      </c>
      <c r="AM338" s="68">
        <v>53</v>
      </c>
      <c r="AN338" s="68">
        <v>61</v>
      </c>
      <c r="AO338" s="68">
        <f>AP338-AN338-AM338-AL338</f>
        <v>11</v>
      </c>
      <c r="AP338" s="36">
        <v>157</v>
      </c>
      <c r="AQ338" s="68">
        <v>1</v>
      </c>
      <c r="AR338" s="68">
        <v>8</v>
      </c>
      <c r="AS338" s="68">
        <v>27</v>
      </c>
      <c r="AT338" s="216">
        <f>AU338-AS338-AR338-AQ338</f>
        <v>-4</v>
      </c>
      <c r="AU338" s="36">
        <v>32</v>
      </c>
      <c r="AV338" s="68">
        <v>5</v>
      </c>
      <c r="AW338" s="68">
        <v>30</v>
      </c>
      <c r="AX338" s="68">
        <v>22</v>
      </c>
      <c r="AY338" s="68">
        <f>AZ338-AX338-AW338-AV338</f>
        <v>15</v>
      </c>
      <c r="AZ338" s="36">
        <v>72</v>
      </c>
      <c r="BA338" s="68">
        <v>2</v>
      </c>
      <c r="BB338" s="68">
        <v>2</v>
      </c>
      <c r="BC338" s="182">
        <v>-2</v>
      </c>
      <c r="BD338" s="182">
        <v>-4</v>
      </c>
      <c r="BE338" s="174">
        <v>-2</v>
      </c>
      <c r="BF338" s="182">
        <v>-10</v>
      </c>
      <c r="BG338" s="182">
        <v>-8</v>
      </c>
      <c r="BH338" s="182">
        <v>16</v>
      </c>
      <c r="BI338" s="182">
        <v>-97</v>
      </c>
      <c r="BJ338" s="174">
        <v>-99</v>
      </c>
      <c r="BK338" s="182">
        <v>-13</v>
      </c>
    </row>
    <row r="339" spans="1:63">
      <c r="A339" s="69" t="s">
        <v>7</v>
      </c>
      <c r="B339" s="23"/>
      <c r="C339" s="70"/>
      <c r="D339" s="70">
        <f>D338/C338-1</f>
        <v>0.23720930232558146</v>
      </c>
      <c r="E339" s="70">
        <f>E338/D338-1</f>
        <v>0.10150375939849621</v>
      </c>
      <c r="F339" s="70">
        <f>F338/E338-1</f>
        <v>-0.4573378839590444</v>
      </c>
      <c r="G339" s="23"/>
      <c r="H339" s="70">
        <f>H338/F338-1</f>
        <v>0.89937106918238996</v>
      </c>
      <c r="I339" s="70">
        <f>I338/H338-1</f>
        <v>6.29139072847682E-2</v>
      </c>
      <c r="J339" s="70">
        <f>J338/I338-1</f>
        <v>-1.5576323987538943E-2</v>
      </c>
      <c r="K339" s="70">
        <f>K338/J338-1</f>
        <v>-0.20569620253164556</v>
      </c>
      <c r="L339" s="23"/>
      <c r="M339" s="70">
        <f>M338/K338-1</f>
        <v>0.28286852589641431</v>
      </c>
      <c r="N339" s="70">
        <f>N338/M338-1</f>
        <v>0.12422360248447206</v>
      </c>
      <c r="O339" s="70">
        <f>O338/N338-1</f>
        <v>-1.6574585635359074E-2</v>
      </c>
      <c r="P339" s="70">
        <f>P338/O338-1</f>
        <v>-3.6516853932584303E-2</v>
      </c>
      <c r="Q339" s="23"/>
      <c r="R339" s="70">
        <f>R338/P338-1</f>
        <v>0.16326530612244894</v>
      </c>
      <c r="S339" s="70">
        <f>S338/R338-1</f>
        <v>-0.10526315789473684</v>
      </c>
      <c r="T339" s="70">
        <f>T338/S338-1</f>
        <v>-4.2016806722689037E-2</v>
      </c>
      <c r="U339" s="70">
        <f>U338/T338-1</f>
        <v>-0.23391812865497075</v>
      </c>
      <c r="V339" s="23"/>
      <c r="W339" s="70">
        <f>W338/U338-1</f>
        <v>1.9083969465648831E-2</v>
      </c>
      <c r="X339" s="70">
        <f>X338/W338-1</f>
        <v>-2.9962546816479363E-2</v>
      </c>
      <c r="Y339" s="70">
        <f>Y338/X338-1</f>
        <v>-0.23166023166023164</v>
      </c>
      <c r="Z339" s="70">
        <f>Z338/Y338-1</f>
        <v>-0.16080402010050254</v>
      </c>
      <c r="AA339" s="23"/>
      <c r="AB339" s="70">
        <f>AB338/Z338-1</f>
        <v>4.1916167664670656E-2</v>
      </c>
      <c r="AC339" s="70">
        <f>AC338/AB338-1</f>
        <v>6.8965517241379226E-2</v>
      </c>
      <c r="AD339" s="70">
        <f>AD338/AC338-1</f>
        <v>-7.5268817204301119E-2</v>
      </c>
      <c r="AE339" s="70">
        <f>AE338/AD338-1</f>
        <v>-0.55813953488372092</v>
      </c>
      <c r="AF339" s="23"/>
      <c r="AG339" s="70">
        <f>AG338/AE338-1</f>
        <v>0.65789473684210531</v>
      </c>
      <c r="AH339" s="70">
        <f>AH338/AG338-1</f>
        <v>7.9365079365079083E-3</v>
      </c>
      <c r="AI339" s="70">
        <f>AI338/AH338-1</f>
        <v>-3.9370078740157521E-2</v>
      </c>
      <c r="AJ339" s="70">
        <f>AJ338/AI338-1</f>
        <v>-0.39344262295081966</v>
      </c>
      <c r="AK339" s="23"/>
      <c r="AL339" s="70">
        <f>AL338/AJ338-1</f>
        <v>-0.56756756756756754</v>
      </c>
      <c r="AM339" s="70">
        <f>AM338/AL338-1</f>
        <v>0.65625</v>
      </c>
      <c r="AN339" s="70">
        <f>AN338/AM338-1</f>
        <v>0.15094339622641506</v>
      </c>
      <c r="AO339" s="70">
        <f>AO338/AN338-1</f>
        <v>-0.81967213114754101</v>
      </c>
      <c r="AP339" s="23"/>
      <c r="AQ339" s="70">
        <f>AQ338/AO338-1</f>
        <v>-0.90909090909090906</v>
      </c>
      <c r="AR339" s="70">
        <f>AR338/AQ338-1</f>
        <v>7</v>
      </c>
      <c r="AS339" s="70">
        <f>AS338/AR338-1</f>
        <v>2.375</v>
      </c>
      <c r="AT339" s="70">
        <f>AT338/AS338-1</f>
        <v>-1.1481481481481481</v>
      </c>
      <c r="AU339" s="23"/>
      <c r="AV339" s="83" t="s">
        <v>39</v>
      </c>
      <c r="AW339" s="70">
        <f>AW338/AV338-1</f>
        <v>5</v>
      </c>
      <c r="AX339" s="70">
        <f>AX338/AW338-1</f>
        <v>-0.26666666666666672</v>
      </c>
      <c r="AY339" s="70">
        <f>AY338/AX338-1</f>
        <v>-0.31818181818181823</v>
      </c>
      <c r="AZ339" s="23"/>
      <c r="BA339" s="70">
        <v>-0.8666666666666667</v>
      </c>
      <c r="BB339" s="70">
        <v>0</v>
      </c>
      <c r="BC339" s="83" t="s">
        <v>39</v>
      </c>
      <c r="BD339" s="70">
        <v>1</v>
      </c>
      <c r="BE339" s="23"/>
      <c r="BF339" s="70">
        <v>1.5</v>
      </c>
      <c r="BG339" s="70">
        <v>-0.19999999999999996</v>
      </c>
      <c r="BH339" s="83" t="s">
        <v>39</v>
      </c>
      <c r="BI339" s="83" t="s">
        <v>39</v>
      </c>
      <c r="BJ339" s="23"/>
      <c r="BK339" s="70">
        <v>-0.865979381443299</v>
      </c>
    </row>
    <row r="340" spans="1:63">
      <c r="A340" s="69" t="s">
        <v>8</v>
      </c>
      <c r="B340" s="23"/>
      <c r="C340" s="71"/>
      <c r="D340" s="71"/>
      <c r="E340" s="71"/>
      <c r="F340" s="71"/>
      <c r="G340" s="23">
        <f t="shared" ref="G340:N340" si="626">G338/B338-1</f>
        <v>0.15900621118012426</v>
      </c>
      <c r="H340" s="71">
        <f t="shared" si="626"/>
        <v>0.40465116279069768</v>
      </c>
      <c r="I340" s="71">
        <f t="shared" si="626"/>
        <v>0.20676691729323315</v>
      </c>
      <c r="J340" s="71">
        <f t="shared" si="626"/>
        <v>7.8498293515358419E-2</v>
      </c>
      <c r="K340" s="71">
        <f t="shared" si="626"/>
        <v>0.57861635220125796</v>
      </c>
      <c r="L340" s="23">
        <f t="shared" si="626"/>
        <v>0.27545551982851024</v>
      </c>
      <c r="M340" s="71">
        <f t="shared" si="626"/>
        <v>6.6225165562913801E-2</v>
      </c>
      <c r="N340" s="71">
        <f t="shared" si="626"/>
        <v>0.12772585669781922</v>
      </c>
      <c r="O340" s="71">
        <f t="shared" ref="O340:Y340" si="627">O338/J338-1</f>
        <v>0.12658227848101267</v>
      </c>
      <c r="P340" s="71">
        <f t="shared" si="627"/>
        <v>0.36653386454183257</v>
      </c>
      <c r="Q340" s="23">
        <f t="shared" si="627"/>
        <v>0.16218487394957992</v>
      </c>
      <c r="R340" s="71">
        <f t="shared" si="627"/>
        <v>0.23913043478260865</v>
      </c>
      <c r="S340" s="71">
        <f t="shared" si="627"/>
        <v>-1.3812154696132617E-2</v>
      </c>
      <c r="T340" s="71">
        <f t="shared" si="627"/>
        <v>-3.9325842696629199E-2</v>
      </c>
      <c r="U340" s="71">
        <f t="shared" si="627"/>
        <v>-0.23615160349854225</v>
      </c>
      <c r="V340" s="23">
        <f t="shared" si="627"/>
        <v>-1.6630513376717282E-2</v>
      </c>
      <c r="W340" s="71">
        <f t="shared" si="627"/>
        <v>-0.33082706766917291</v>
      </c>
      <c r="X340" s="71">
        <f t="shared" si="627"/>
        <v>-0.27450980392156865</v>
      </c>
      <c r="Y340" s="71">
        <f t="shared" si="627"/>
        <v>-0.41812865497076024</v>
      </c>
      <c r="Z340" s="71">
        <f t="shared" ref="Z340:AI340" si="628">Z338/U338-1</f>
        <v>-0.36259541984732824</v>
      </c>
      <c r="AA340" s="23">
        <f t="shared" si="628"/>
        <v>-0.34411764705882353</v>
      </c>
      <c r="AB340" s="71">
        <f t="shared" si="628"/>
        <v>-0.348314606741573</v>
      </c>
      <c r="AC340" s="71">
        <f t="shared" si="628"/>
        <v>-0.28185328185328185</v>
      </c>
      <c r="AD340" s="71">
        <f t="shared" si="628"/>
        <v>-0.13567839195979903</v>
      </c>
      <c r="AE340" s="71">
        <f t="shared" si="628"/>
        <v>-0.54491017964071853</v>
      </c>
      <c r="AF340" s="23">
        <f t="shared" si="628"/>
        <v>-0.31838565022421528</v>
      </c>
      <c r="AG340" s="71">
        <f t="shared" si="628"/>
        <v>-0.27586206896551724</v>
      </c>
      <c r="AH340" s="71">
        <f t="shared" si="628"/>
        <v>-0.31720430107526887</v>
      </c>
      <c r="AI340" s="71">
        <f t="shared" si="628"/>
        <v>-0.29069767441860461</v>
      </c>
      <c r="AJ340" s="71">
        <f t="shared" ref="AJ340:AS340" si="629">AJ338/AE338-1</f>
        <v>-2.6315789473684181E-2</v>
      </c>
      <c r="AK340" s="23">
        <f t="shared" si="629"/>
        <v>-0.26151315789473684</v>
      </c>
      <c r="AL340" s="71">
        <f t="shared" si="629"/>
        <v>-0.74603174603174605</v>
      </c>
      <c r="AM340" s="71">
        <f t="shared" si="629"/>
        <v>-0.58267716535433078</v>
      </c>
      <c r="AN340" s="71">
        <f t="shared" si="629"/>
        <v>-0.5</v>
      </c>
      <c r="AO340" s="71">
        <f t="shared" si="629"/>
        <v>-0.85135135135135132</v>
      </c>
      <c r="AP340" s="23">
        <f t="shared" si="629"/>
        <v>-0.65033407572383073</v>
      </c>
      <c r="AQ340" s="71">
        <f t="shared" si="629"/>
        <v>-0.96875</v>
      </c>
      <c r="AR340" s="71">
        <f t="shared" si="629"/>
        <v>-0.84905660377358494</v>
      </c>
      <c r="AS340" s="71">
        <f t="shared" si="629"/>
        <v>-0.55737704918032782</v>
      </c>
      <c r="AT340" s="71">
        <f t="shared" ref="AT340" si="630">AT338/AO338-1</f>
        <v>-1.3636363636363638</v>
      </c>
      <c r="AU340" s="23">
        <f t="shared" ref="AU340:AX340" si="631">AU338/AP338-1</f>
        <v>-0.79617834394904463</v>
      </c>
      <c r="AV340" s="71">
        <f t="shared" si="631"/>
        <v>4</v>
      </c>
      <c r="AW340" s="71">
        <f t="shared" si="631"/>
        <v>2.75</v>
      </c>
      <c r="AX340" s="71">
        <f t="shared" si="631"/>
        <v>-0.18518518518518523</v>
      </c>
      <c r="AY340" s="71">
        <f t="shared" ref="AY340" si="632">AY338/AT338-1</f>
        <v>-4.75</v>
      </c>
      <c r="AZ340" s="23">
        <v>1.25</v>
      </c>
      <c r="BA340" s="71">
        <v>-0.6</v>
      </c>
      <c r="BB340" s="71">
        <v>-0.93333333333333335</v>
      </c>
      <c r="BC340" s="71">
        <v>-1.0909090909090908</v>
      </c>
      <c r="BD340" s="83" t="s">
        <v>39</v>
      </c>
      <c r="BE340" s="90" t="s">
        <v>39</v>
      </c>
      <c r="BF340" s="83" t="s">
        <v>39</v>
      </c>
      <c r="BG340" s="83" t="s">
        <v>39</v>
      </c>
      <c r="BH340" s="83" t="s">
        <v>39</v>
      </c>
      <c r="BI340" s="71">
        <v>23.25</v>
      </c>
      <c r="BJ340" s="90">
        <v>48.5</v>
      </c>
      <c r="BK340" s="71">
        <v>0.30000000000000004</v>
      </c>
    </row>
    <row r="341" spans="1:63" s="35" customFormat="1">
      <c r="A341" s="67" t="s">
        <v>160</v>
      </c>
      <c r="B341" s="36">
        <v>585</v>
      </c>
      <c r="C341" s="68">
        <v>163</v>
      </c>
      <c r="D341" s="68">
        <v>180</v>
      </c>
      <c r="E341" s="68">
        <v>211</v>
      </c>
      <c r="F341" s="68">
        <f>G341-E341-D341-C341</f>
        <v>128</v>
      </c>
      <c r="G341" s="36">
        <v>682</v>
      </c>
      <c r="H341" s="68">
        <v>230</v>
      </c>
      <c r="I341" s="68">
        <v>233</v>
      </c>
      <c r="J341" s="68">
        <v>231</v>
      </c>
      <c r="K341" s="68">
        <f>L341-J341-I341-H341</f>
        <v>181</v>
      </c>
      <c r="L341" s="36">
        <v>875</v>
      </c>
      <c r="M341" s="68">
        <v>259</v>
      </c>
      <c r="N341" s="68">
        <v>267</v>
      </c>
      <c r="O341" s="68">
        <v>239</v>
      </c>
      <c r="P341" s="68">
        <f>Q341-O341-N341-M341</f>
        <v>268</v>
      </c>
      <c r="Q341" s="36">
        <v>1033</v>
      </c>
      <c r="R341" s="68">
        <v>310</v>
      </c>
      <c r="S341" s="68">
        <v>279</v>
      </c>
      <c r="T341" s="68">
        <v>263</v>
      </c>
      <c r="U341" s="68">
        <f>V341-T341-S341-R341</f>
        <v>204</v>
      </c>
      <c r="V341" s="36">
        <v>1056</v>
      </c>
      <c r="W341" s="68">
        <v>216</v>
      </c>
      <c r="X341" s="68">
        <v>194</v>
      </c>
      <c r="Y341" s="68">
        <v>154</v>
      </c>
      <c r="Z341" s="68">
        <f>AA341-Y341-X341-W341</f>
        <v>134</v>
      </c>
      <c r="AA341" s="36">
        <v>698</v>
      </c>
      <c r="AB341" s="68">
        <v>153</v>
      </c>
      <c r="AC341" s="68">
        <v>161</v>
      </c>
      <c r="AD341" s="68">
        <v>140</v>
      </c>
      <c r="AE341" s="68">
        <f>AF341-AD341-AC341-AB341</f>
        <v>67</v>
      </c>
      <c r="AF341" s="36">
        <v>521</v>
      </c>
      <c r="AG341" s="68">
        <v>108</v>
      </c>
      <c r="AH341" s="68">
        <v>106</v>
      </c>
      <c r="AI341" s="68">
        <v>100</v>
      </c>
      <c r="AJ341" s="68">
        <f>AK341-AI341-AH341-AG341</f>
        <v>59</v>
      </c>
      <c r="AK341" s="36">
        <v>373</v>
      </c>
      <c r="AL341" s="68">
        <v>36</v>
      </c>
      <c r="AM341" s="68">
        <v>49</v>
      </c>
      <c r="AN341" s="68">
        <v>55</v>
      </c>
      <c r="AO341" s="68">
        <f>AP341-AN341-AM341-AL341</f>
        <v>11</v>
      </c>
      <c r="AP341" s="36">
        <v>151</v>
      </c>
      <c r="AQ341" s="68">
        <v>13</v>
      </c>
      <c r="AR341" s="68">
        <v>13</v>
      </c>
      <c r="AS341" s="68">
        <v>32</v>
      </c>
      <c r="AT341" s="68">
        <f>AU341-AS341-AR341-AQ341</f>
        <v>3</v>
      </c>
      <c r="AU341" s="36">
        <v>61</v>
      </c>
      <c r="AV341" s="68">
        <v>16</v>
      </c>
      <c r="AW341" s="68">
        <v>34</v>
      </c>
      <c r="AX341" s="68">
        <v>24</v>
      </c>
      <c r="AY341" s="68">
        <f>AZ341-AX341-AW341-AV341</f>
        <v>21</v>
      </c>
      <c r="AZ341" s="36">
        <v>95</v>
      </c>
      <c r="BA341" s="68">
        <v>9</v>
      </c>
      <c r="BB341" s="68">
        <v>7</v>
      </c>
      <c r="BC341" s="68">
        <v>6</v>
      </c>
      <c r="BD341" s="68">
        <v>2</v>
      </c>
      <c r="BE341" s="36">
        <v>24</v>
      </c>
      <c r="BF341" s="68">
        <v>2</v>
      </c>
      <c r="BG341" s="68">
        <v>2</v>
      </c>
      <c r="BH341" s="68">
        <v>18</v>
      </c>
      <c r="BI341" s="182">
        <v>-69</v>
      </c>
      <c r="BJ341" s="174">
        <v>-47</v>
      </c>
      <c r="BK341" s="182">
        <v>-2</v>
      </c>
    </row>
    <row r="342" spans="1:63">
      <c r="A342" s="69" t="s">
        <v>7</v>
      </c>
      <c r="B342" s="23"/>
      <c r="C342" s="70"/>
      <c r="D342" s="70">
        <f>D341/C341-1</f>
        <v>0.10429447852760743</v>
      </c>
      <c r="E342" s="70">
        <f>E341/D341-1</f>
        <v>0.17222222222222228</v>
      </c>
      <c r="F342" s="70">
        <f>F341/E341-1</f>
        <v>-0.39336492890995256</v>
      </c>
      <c r="G342" s="23"/>
      <c r="H342" s="70">
        <f>H341/F341-1</f>
        <v>0.796875</v>
      </c>
      <c r="I342" s="70">
        <f>I341/H341-1</f>
        <v>1.304347826086949E-2</v>
      </c>
      <c r="J342" s="70">
        <f>J341/I341-1</f>
        <v>-8.5836909871244149E-3</v>
      </c>
      <c r="K342" s="70">
        <f>K341/J341-1</f>
        <v>-0.21645021645021645</v>
      </c>
      <c r="L342" s="23"/>
      <c r="M342" s="70">
        <f>M341/K341-1</f>
        <v>0.43093922651933703</v>
      </c>
      <c r="N342" s="70">
        <f>N341/M341-1</f>
        <v>3.0888030888030826E-2</v>
      </c>
      <c r="O342" s="70">
        <f>O341/N341-1</f>
        <v>-0.10486891385767794</v>
      </c>
      <c r="P342" s="70">
        <f>P341/O341-1</f>
        <v>0.12133891213389125</v>
      </c>
      <c r="Q342" s="23"/>
      <c r="R342" s="70">
        <f>R341/P341-1</f>
        <v>0.15671641791044766</v>
      </c>
      <c r="S342" s="70">
        <f>S341/R341-1</f>
        <v>-9.9999999999999978E-2</v>
      </c>
      <c r="T342" s="70">
        <f>T341/S341-1</f>
        <v>-5.7347670250896043E-2</v>
      </c>
      <c r="U342" s="70">
        <f>U341/T341-1</f>
        <v>-0.2243346007604563</v>
      </c>
      <c r="V342" s="23"/>
      <c r="W342" s="70">
        <f>W341/U341-1</f>
        <v>5.8823529411764719E-2</v>
      </c>
      <c r="X342" s="70">
        <f>X341/W341-1</f>
        <v>-0.10185185185185186</v>
      </c>
      <c r="Y342" s="70">
        <f>Y341/X341-1</f>
        <v>-0.20618556701030932</v>
      </c>
      <c r="Z342" s="70">
        <f>Z341/Y341-1</f>
        <v>-0.12987012987012991</v>
      </c>
      <c r="AA342" s="23"/>
      <c r="AB342" s="70">
        <f>AB341/Z341-1</f>
        <v>0.14179104477611948</v>
      </c>
      <c r="AC342" s="70">
        <f>AC341/AB341-1</f>
        <v>5.2287581699346442E-2</v>
      </c>
      <c r="AD342" s="70">
        <f>AD341/AC341-1</f>
        <v>-0.13043478260869568</v>
      </c>
      <c r="AE342" s="70">
        <f>AE341/AD341-1</f>
        <v>-0.52142857142857135</v>
      </c>
      <c r="AF342" s="23"/>
      <c r="AG342" s="70">
        <f>AG341/AE341-1</f>
        <v>0.61194029850746268</v>
      </c>
      <c r="AH342" s="70">
        <f>AH341/AG341-1</f>
        <v>-1.851851851851849E-2</v>
      </c>
      <c r="AI342" s="70">
        <f>AI341/AH341-1</f>
        <v>-5.6603773584905648E-2</v>
      </c>
      <c r="AJ342" s="70">
        <f>AJ341/AI341-1</f>
        <v>-0.41000000000000003</v>
      </c>
      <c r="AK342" s="23"/>
      <c r="AL342" s="70">
        <f>AL341/AJ341-1</f>
        <v>-0.38983050847457623</v>
      </c>
      <c r="AM342" s="70">
        <f>AM341/AL341-1</f>
        <v>0.36111111111111116</v>
      </c>
      <c r="AN342" s="70">
        <f>AN341/AM341-1</f>
        <v>0.12244897959183665</v>
      </c>
      <c r="AO342" s="70">
        <f>AO341/AN341-1</f>
        <v>-0.8</v>
      </c>
      <c r="AP342" s="23"/>
      <c r="AQ342" s="70">
        <f>AQ341/AO341-1</f>
        <v>0.18181818181818188</v>
      </c>
      <c r="AR342" s="70">
        <f>AR341/AQ341-1</f>
        <v>0</v>
      </c>
      <c r="AS342" s="70">
        <f>AS341/AR341-1</f>
        <v>1.4615384615384617</v>
      </c>
      <c r="AT342" s="70">
        <f>AT341/AS341-1</f>
        <v>-0.90625</v>
      </c>
      <c r="AU342" s="23"/>
      <c r="AV342" s="70">
        <f>AV341/AT341-1</f>
        <v>4.333333333333333</v>
      </c>
      <c r="AW342" s="70">
        <f>AW341/AV341-1</f>
        <v>1.125</v>
      </c>
      <c r="AX342" s="70">
        <f>AX341/AW341-1</f>
        <v>-0.29411764705882348</v>
      </c>
      <c r="AY342" s="70">
        <f>AY341/AX341-1</f>
        <v>-0.125</v>
      </c>
      <c r="AZ342" s="23"/>
      <c r="BA342" s="70">
        <v>-0.5714285714285714</v>
      </c>
      <c r="BB342" s="70">
        <v>-0.22222222222222221</v>
      </c>
      <c r="BC342" s="70">
        <v>-0.1428571428571429</v>
      </c>
      <c r="BD342" s="70">
        <v>-0.66666666666666674</v>
      </c>
      <c r="BE342" s="23"/>
      <c r="BF342" s="70">
        <v>0</v>
      </c>
      <c r="BG342" s="70">
        <v>0</v>
      </c>
      <c r="BH342" s="70">
        <v>8</v>
      </c>
      <c r="BI342" s="83" t="s">
        <v>39</v>
      </c>
      <c r="BJ342" s="23"/>
      <c r="BK342" s="70">
        <v>-0.97101449275362317</v>
      </c>
    </row>
    <row r="343" spans="1:63">
      <c r="A343" s="69" t="s">
        <v>8</v>
      </c>
      <c r="B343" s="23"/>
      <c r="C343" s="71"/>
      <c r="D343" s="71"/>
      <c r="E343" s="71"/>
      <c r="F343" s="71"/>
      <c r="G343" s="23">
        <f t="shared" ref="G343:N343" si="633">G341/B341-1</f>
        <v>0.16581196581196589</v>
      </c>
      <c r="H343" s="71">
        <f t="shared" si="633"/>
        <v>0.41104294478527614</v>
      </c>
      <c r="I343" s="71">
        <f t="shared" si="633"/>
        <v>0.29444444444444451</v>
      </c>
      <c r="J343" s="71">
        <f t="shared" si="633"/>
        <v>9.4786729857819996E-2</v>
      </c>
      <c r="K343" s="71">
        <f t="shared" si="633"/>
        <v>0.4140625</v>
      </c>
      <c r="L343" s="23">
        <f t="shared" si="633"/>
        <v>0.28299120234604103</v>
      </c>
      <c r="M343" s="71">
        <f t="shared" si="633"/>
        <v>0.12608695652173907</v>
      </c>
      <c r="N343" s="71">
        <f t="shared" si="633"/>
        <v>0.14592274678111594</v>
      </c>
      <c r="O343" s="71">
        <f t="shared" ref="O343:Y343" si="634">O341/J341-1</f>
        <v>3.463203463203457E-2</v>
      </c>
      <c r="P343" s="71">
        <f t="shared" si="634"/>
        <v>0.48066298342541436</v>
      </c>
      <c r="Q343" s="23">
        <f t="shared" si="634"/>
        <v>0.1805714285714286</v>
      </c>
      <c r="R343" s="71">
        <f t="shared" si="634"/>
        <v>0.19691119691119696</v>
      </c>
      <c r="S343" s="71">
        <f t="shared" si="634"/>
        <v>4.4943820224719211E-2</v>
      </c>
      <c r="T343" s="71">
        <f t="shared" si="634"/>
        <v>0.10041841004184104</v>
      </c>
      <c r="U343" s="71">
        <f t="shared" si="634"/>
        <v>-0.23880597014925375</v>
      </c>
      <c r="V343" s="23">
        <f t="shared" si="634"/>
        <v>2.2265246853823806E-2</v>
      </c>
      <c r="W343" s="71">
        <f t="shared" si="634"/>
        <v>-0.3032258064516129</v>
      </c>
      <c r="X343" s="71">
        <f t="shared" si="634"/>
        <v>-0.30465949820788529</v>
      </c>
      <c r="Y343" s="71">
        <f t="shared" si="634"/>
        <v>-0.4144486692015209</v>
      </c>
      <c r="Z343" s="71">
        <f t="shared" ref="Z343:AI343" si="635">Z341/U341-1</f>
        <v>-0.34313725490196079</v>
      </c>
      <c r="AA343" s="23">
        <f t="shared" si="635"/>
        <v>-0.33901515151515149</v>
      </c>
      <c r="AB343" s="71">
        <f t="shared" si="635"/>
        <v>-0.29166666666666663</v>
      </c>
      <c r="AC343" s="71">
        <f t="shared" si="635"/>
        <v>-0.17010309278350511</v>
      </c>
      <c r="AD343" s="71">
        <f t="shared" si="635"/>
        <v>-9.0909090909090939E-2</v>
      </c>
      <c r="AE343" s="71">
        <f t="shared" si="635"/>
        <v>-0.5</v>
      </c>
      <c r="AF343" s="23">
        <f t="shared" si="635"/>
        <v>-0.25358166189111753</v>
      </c>
      <c r="AG343" s="71">
        <f t="shared" si="635"/>
        <v>-0.29411764705882348</v>
      </c>
      <c r="AH343" s="71">
        <f t="shared" si="635"/>
        <v>-0.34161490683229812</v>
      </c>
      <c r="AI343" s="71">
        <f t="shared" si="635"/>
        <v>-0.2857142857142857</v>
      </c>
      <c r="AJ343" s="71">
        <f t="shared" ref="AJ343:AS343" si="636">AJ341/AE341-1</f>
        <v>-0.11940298507462688</v>
      </c>
      <c r="AK343" s="23">
        <f t="shared" si="636"/>
        <v>-0.28406909788867563</v>
      </c>
      <c r="AL343" s="71">
        <f t="shared" si="636"/>
        <v>-0.66666666666666674</v>
      </c>
      <c r="AM343" s="71">
        <f t="shared" si="636"/>
        <v>-0.53773584905660377</v>
      </c>
      <c r="AN343" s="71">
        <f t="shared" si="636"/>
        <v>-0.44999999999999996</v>
      </c>
      <c r="AO343" s="71">
        <f t="shared" si="636"/>
        <v>-0.81355932203389836</v>
      </c>
      <c r="AP343" s="23">
        <f t="shared" si="636"/>
        <v>-0.5951742627345844</v>
      </c>
      <c r="AQ343" s="71">
        <f t="shared" si="636"/>
        <v>-0.63888888888888884</v>
      </c>
      <c r="AR343" s="71">
        <f t="shared" si="636"/>
        <v>-0.73469387755102034</v>
      </c>
      <c r="AS343" s="71">
        <f t="shared" si="636"/>
        <v>-0.41818181818181821</v>
      </c>
      <c r="AT343" s="71">
        <f t="shared" ref="AT343" si="637">AT341/AO341-1</f>
        <v>-0.72727272727272729</v>
      </c>
      <c r="AU343" s="23">
        <f t="shared" ref="AU343:AX343" si="638">AU341/AP341-1</f>
        <v>-0.5960264900662251</v>
      </c>
      <c r="AV343" s="71">
        <f t="shared" si="638"/>
        <v>0.23076923076923084</v>
      </c>
      <c r="AW343" s="71">
        <f t="shared" si="638"/>
        <v>1.6153846153846154</v>
      </c>
      <c r="AX343" s="71">
        <f t="shared" si="638"/>
        <v>-0.25</v>
      </c>
      <c r="AY343" s="71">
        <f t="shared" ref="AY343" si="639">AY341/AT341-1</f>
        <v>6</v>
      </c>
      <c r="AZ343" s="23">
        <v>0.55737704918032782</v>
      </c>
      <c r="BA343" s="71">
        <v>-0.4375</v>
      </c>
      <c r="BB343" s="71">
        <v>-0.79411764705882359</v>
      </c>
      <c r="BC343" s="71">
        <v>-0.75</v>
      </c>
      <c r="BD343" s="71">
        <v>-0.90476190476190477</v>
      </c>
      <c r="BE343" s="23">
        <v>-0.74736842105263157</v>
      </c>
      <c r="BF343" s="71">
        <v>-0.77777777777777779</v>
      </c>
      <c r="BG343" s="71">
        <v>-0.7142857142857143</v>
      </c>
      <c r="BH343" s="71">
        <v>2</v>
      </c>
      <c r="BI343" s="83" t="s">
        <v>39</v>
      </c>
      <c r="BJ343" s="23">
        <v>-2.958333333333333</v>
      </c>
      <c r="BK343" s="83" t="s">
        <v>39</v>
      </c>
    </row>
    <row r="344" spans="1:63" s="35" customFormat="1">
      <c r="A344" s="67" t="s">
        <v>240</v>
      </c>
      <c r="B344" s="36">
        <f>B328+B338</f>
        <v>1284</v>
      </c>
      <c r="C344" s="75">
        <f>C328+C338</f>
        <v>344</v>
      </c>
      <c r="D344" s="75">
        <f>D328+D338</f>
        <v>396</v>
      </c>
      <c r="E344" s="75">
        <f>E328+E338</f>
        <v>422</v>
      </c>
      <c r="F344" s="68">
        <f>G344-E344-D344-C344</f>
        <v>294</v>
      </c>
      <c r="G344" s="36">
        <f>G328+G338</f>
        <v>1456</v>
      </c>
      <c r="H344" s="75">
        <f>H328+H338</f>
        <v>441</v>
      </c>
      <c r="I344" s="75">
        <f>I328+I338</f>
        <v>472</v>
      </c>
      <c r="J344" s="75">
        <f>J328+J338</f>
        <v>471</v>
      </c>
      <c r="K344" s="68">
        <f>L344-J344-I344-H344</f>
        <v>410</v>
      </c>
      <c r="L344" s="36">
        <v>1794</v>
      </c>
      <c r="M344" s="75">
        <f>M328+M338</f>
        <v>471</v>
      </c>
      <c r="N344" s="75">
        <f>N328+N338</f>
        <v>511</v>
      </c>
      <c r="O344" s="75">
        <f>O328+O338</f>
        <v>505</v>
      </c>
      <c r="P344" s="68">
        <f>Q344-O344-N344-M344</f>
        <v>497</v>
      </c>
      <c r="Q344" s="36">
        <f>Q338+Q328</f>
        <v>1984</v>
      </c>
      <c r="R344" s="75">
        <v>539</v>
      </c>
      <c r="S344" s="75">
        <f>S328+S338</f>
        <v>500</v>
      </c>
      <c r="T344" s="75">
        <f>T328+T338</f>
        <v>481</v>
      </c>
      <c r="U344" s="68">
        <f>V344-T344-S344-R344</f>
        <v>401</v>
      </c>
      <c r="V344" s="36">
        <f>V338+V328</f>
        <v>1921</v>
      </c>
      <c r="W344" s="75">
        <f>W338+W328</f>
        <v>402</v>
      </c>
      <c r="X344" s="75">
        <f>X338+X328</f>
        <v>396</v>
      </c>
      <c r="Y344" s="75">
        <f>Y338+Y328</f>
        <v>329</v>
      </c>
      <c r="Z344" s="68">
        <f>AA344-Y344-X344-W344</f>
        <v>296</v>
      </c>
      <c r="AA344" s="36">
        <f>AA338+AA328</f>
        <v>1423</v>
      </c>
      <c r="AB344" s="75">
        <f>AB338+AB328</f>
        <v>295</v>
      </c>
      <c r="AC344" s="75">
        <f>AC338+AC328</f>
        <v>299</v>
      </c>
      <c r="AD344" s="75">
        <f>AD338+AD328</f>
        <v>283</v>
      </c>
      <c r="AE344" s="68">
        <f>AF344-AD344-AC344-AB344</f>
        <v>188</v>
      </c>
      <c r="AF344" s="36">
        <v>1065</v>
      </c>
      <c r="AG344" s="75">
        <f>AG338+AG328</f>
        <v>232</v>
      </c>
      <c r="AH344" s="75">
        <f>AH338+AH328</f>
        <v>232</v>
      </c>
      <c r="AI344" s="75">
        <v>231</v>
      </c>
      <c r="AJ344" s="68">
        <f>AK344-AI344-AH344-AG344</f>
        <v>184</v>
      </c>
      <c r="AK344" s="36">
        <f>AK328+AK338</f>
        <v>879</v>
      </c>
      <c r="AL344" s="75">
        <f>AL338+AL328</f>
        <v>136</v>
      </c>
      <c r="AM344" s="75">
        <f>AM338+AM328</f>
        <v>159</v>
      </c>
      <c r="AN344" s="75">
        <f>AN338+AN328</f>
        <v>170</v>
      </c>
      <c r="AO344" s="68">
        <f>AP344-AN344-AM344-AL344</f>
        <v>111</v>
      </c>
      <c r="AP344" s="36">
        <f>AP328+AP338</f>
        <v>576</v>
      </c>
      <c r="AQ344" s="75">
        <f>AQ338+AQ328</f>
        <v>105</v>
      </c>
      <c r="AR344" s="75">
        <f>AR338+AR328</f>
        <v>103</v>
      </c>
      <c r="AS344" s="75">
        <f>AS338+AS328</f>
        <v>119</v>
      </c>
      <c r="AT344" s="68">
        <f>AU344-AS344-AR344-AQ344</f>
        <v>85</v>
      </c>
      <c r="AU344" s="36">
        <f>AU328+AU338</f>
        <v>412</v>
      </c>
      <c r="AV344" s="75">
        <f>AV338+AV328</f>
        <v>99</v>
      </c>
      <c r="AW344" s="75">
        <f>AW338+AW328</f>
        <v>129</v>
      </c>
      <c r="AX344" s="75">
        <f>AX338+AX328</f>
        <v>122</v>
      </c>
      <c r="AY344" s="68">
        <f>AZ344-AX344-AW344-AV344</f>
        <v>105</v>
      </c>
      <c r="AZ344" s="36">
        <v>455</v>
      </c>
      <c r="BA344" s="75">
        <v>160</v>
      </c>
      <c r="BB344" s="75">
        <v>161</v>
      </c>
      <c r="BC344" s="75">
        <v>159</v>
      </c>
      <c r="BD344" s="68">
        <v>173</v>
      </c>
      <c r="BE344" s="36">
        <v>653</v>
      </c>
      <c r="BF344" s="75">
        <v>147</v>
      </c>
      <c r="BG344" s="75">
        <v>148</v>
      </c>
      <c r="BH344" s="75">
        <v>173</v>
      </c>
      <c r="BI344" s="143">
        <v>66</v>
      </c>
      <c r="BJ344" s="36">
        <v>534</v>
      </c>
      <c r="BK344" s="75">
        <v>137</v>
      </c>
    </row>
    <row r="345" spans="1:63">
      <c r="A345" s="69" t="s">
        <v>7</v>
      </c>
      <c r="B345" s="23"/>
      <c r="C345" s="70"/>
      <c r="D345" s="70">
        <f>D344/C344-1</f>
        <v>0.15116279069767447</v>
      </c>
      <c r="E345" s="70">
        <f>E344/D344-1</f>
        <v>6.5656565656565746E-2</v>
      </c>
      <c r="F345" s="70">
        <f>F344/E344-1</f>
        <v>-0.30331753554502372</v>
      </c>
      <c r="G345" s="23"/>
      <c r="H345" s="70">
        <f>H344/F344-1</f>
        <v>0.5</v>
      </c>
      <c r="I345" s="70">
        <f>I344/H344-1</f>
        <v>7.029478458049887E-2</v>
      </c>
      <c r="J345" s="70">
        <f>J344/I344-1</f>
        <v>-2.1186440677966045E-3</v>
      </c>
      <c r="K345" s="70">
        <f>K344/J344-1</f>
        <v>-0.12951167728237789</v>
      </c>
      <c r="L345" s="23"/>
      <c r="M345" s="70">
        <f>M344/K344-1</f>
        <v>0.14878048780487796</v>
      </c>
      <c r="N345" s="70">
        <f>N344/M344-1</f>
        <v>8.4925690021231404E-2</v>
      </c>
      <c r="O345" s="70">
        <f>O344/N344-1</f>
        <v>-1.1741682974559686E-2</v>
      </c>
      <c r="P345" s="70">
        <f>P344/O344-1</f>
        <v>-1.5841584158415856E-2</v>
      </c>
      <c r="Q345" s="23"/>
      <c r="R345" s="70">
        <f>R344/P344-1</f>
        <v>8.4507042253521236E-2</v>
      </c>
      <c r="S345" s="70">
        <f>S344/R344-1</f>
        <v>-7.235621521335811E-2</v>
      </c>
      <c r="T345" s="70">
        <f>T344/S344-1</f>
        <v>-3.8000000000000034E-2</v>
      </c>
      <c r="U345" s="70">
        <f>U344/T344-1</f>
        <v>-0.16632016632016633</v>
      </c>
      <c r="V345" s="23"/>
      <c r="W345" s="70">
        <f>W344/U344-1</f>
        <v>2.4937655860348684E-3</v>
      </c>
      <c r="X345" s="70">
        <f>X344/W344-1</f>
        <v>-1.4925373134328401E-2</v>
      </c>
      <c r="Y345" s="70">
        <f>Y344/X344-1</f>
        <v>-0.16919191919191923</v>
      </c>
      <c r="Z345" s="70">
        <f>Z344/Y344-1</f>
        <v>-0.10030395136778114</v>
      </c>
      <c r="AA345" s="23"/>
      <c r="AB345" s="70">
        <f>AB344/Z344-1</f>
        <v>-3.3783783783783994E-3</v>
      </c>
      <c r="AC345" s="70">
        <f>AC344/AB344-1</f>
        <v>1.3559322033898313E-2</v>
      </c>
      <c r="AD345" s="70">
        <f>AD344/AC344-1</f>
        <v>-5.3511705685618693E-2</v>
      </c>
      <c r="AE345" s="70">
        <f>AE344/AD344-1</f>
        <v>-0.33568904593639581</v>
      </c>
      <c r="AF345" s="23"/>
      <c r="AG345" s="70">
        <f>AG344/AE344-1</f>
        <v>0.23404255319148937</v>
      </c>
      <c r="AH345" s="70">
        <f>AH344/AG344-1</f>
        <v>0</v>
      </c>
      <c r="AI345" s="70">
        <f>AI344/AH344-1</f>
        <v>-4.3103448275861878E-3</v>
      </c>
      <c r="AJ345" s="70">
        <f>AJ344/AI344-1</f>
        <v>-0.20346320346320346</v>
      </c>
      <c r="AK345" s="23"/>
      <c r="AL345" s="70">
        <f>AL344/AJ344-1</f>
        <v>-0.26086956521739135</v>
      </c>
      <c r="AM345" s="70">
        <f>AM344/AL344-1</f>
        <v>0.16911764705882359</v>
      </c>
      <c r="AN345" s="70">
        <f>AN344/AM344-1</f>
        <v>6.9182389937106903E-2</v>
      </c>
      <c r="AO345" s="70">
        <f>AO344/AN344-1</f>
        <v>-0.34705882352941175</v>
      </c>
      <c r="AP345" s="23"/>
      <c r="AQ345" s="70">
        <f>AQ344/AO344-1</f>
        <v>-5.4054054054054057E-2</v>
      </c>
      <c r="AR345" s="70">
        <f>AR344/AQ344-1</f>
        <v>-1.9047619047619091E-2</v>
      </c>
      <c r="AS345" s="70">
        <f>AS344/AR344-1</f>
        <v>0.15533980582524265</v>
      </c>
      <c r="AT345" s="70">
        <f>AT344/AS344-1</f>
        <v>-0.2857142857142857</v>
      </c>
      <c r="AU345" s="23"/>
      <c r="AV345" s="70">
        <f>AV344/AT344-1</f>
        <v>0.16470588235294126</v>
      </c>
      <c r="AW345" s="70">
        <f>AW344/AV344-1</f>
        <v>0.30303030303030298</v>
      </c>
      <c r="AX345" s="70">
        <f>AX344/AW344-1</f>
        <v>-5.4263565891472854E-2</v>
      </c>
      <c r="AY345" s="70">
        <f>AY344/AX344-1</f>
        <v>-0.13934426229508201</v>
      </c>
      <c r="AZ345" s="23"/>
      <c r="BA345" s="70">
        <v>0.52380952380952372</v>
      </c>
      <c r="BB345" s="70">
        <v>6.2500000000000888E-3</v>
      </c>
      <c r="BC345" s="70">
        <v>-1.2422360248447228E-2</v>
      </c>
      <c r="BD345" s="70">
        <v>8.8050314465408785E-2</v>
      </c>
      <c r="BE345" s="23"/>
      <c r="BF345" s="70">
        <v>-0.1502890173410405</v>
      </c>
      <c r="BG345" s="70">
        <v>6.8027210884353817E-3</v>
      </c>
      <c r="BH345" s="70">
        <v>0.16891891891891886</v>
      </c>
      <c r="BI345" s="70">
        <v>-0.61849710982658967</v>
      </c>
      <c r="BJ345" s="23"/>
      <c r="BK345" s="70">
        <v>1.0757575757575757</v>
      </c>
    </row>
    <row r="346" spans="1:63">
      <c r="A346" s="69" t="s">
        <v>8</v>
      </c>
      <c r="B346" s="23"/>
      <c r="C346" s="71"/>
      <c r="D346" s="71"/>
      <c r="E346" s="71"/>
      <c r="F346" s="71"/>
      <c r="G346" s="23">
        <f t="shared" ref="G346:N346" si="640">G344/B344-1</f>
        <v>0.13395638629283479</v>
      </c>
      <c r="H346" s="71">
        <f t="shared" si="640"/>
        <v>0.28197674418604657</v>
      </c>
      <c r="I346" s="71">
        <f t="shared" si="640"/>
        <v>0.19191919191919182</v>
      </c>
      <c r="J346" s="71">
        <f t="shared" si="640"/>
        <v>0.11611374407582931</v>
      </c>
      <c r="K346" s="71">
        <f t="shared" si="640"/>
        <v>0.39455782312925169</v>
      </c>
      <c r="L346" s="23">
        <f t="shared" si="640"/>
        <v>0.23214285714285721</v>
      </c>
      <c r="M346" s="71">
        <f t="shared" si="640"/>
        <v>6.8027210884353817E-2</v>
      </c>
      <c r="N346" s="71">
        <f t="shared" si="640"/>
        <v>8.2627118644067687E-2</v>
      </c>
      <c r="O346" s="71">
        <f t="shared" ref="O346:Y346" si="641">O344/J344-1</f>
        <v>7.2186836518046693E-2</v>
      </c>
      <c r="P346" s="71">
        <f t="shared" si="641"/>
        <v>0.21219512195121948</v>
      </c>
      <c r="Q346" s="23">
        <f t="shared" si="641"/>
        <v>0.10590858416945381</v>
      </c>
      <c r="R346" s="71">
        <f t="shared" si="641"/>
        <v>0.14437367303609339</v>
      </c>
      <c r="S346" s="71">
        <f t="shared" si="641"/>
        <v>-2.1526418786692814E-2</v>
      </c>
      <c r="T346" s="71">
        <f t="shared" si="641"/>
        <v>-4.7524752475247567E-2</v>
      </c>
      <c r="U346" s="71">
        <f t="shared" si="641"/>
        <v>-0.19315895372233405</v>
      </c>
      <c r="V346" s="23">
        <f t="shared" si="641"/>
        <v>-3.1754032258064502E-2</v>
      </c>
      <c r="W346" s="71">
        <f t="shared" si="641"/>
        <v>-0.25417439703153988</v>
      </c>
      <c r="X346" s="71">
        <f t="shared" si="641"/>
        <v>-0.20799999999999996</v>
      </c>
      <c r="Y346" s="71">
        <f t="shared" si="641"/>
        <v>-0.31600831600831603</v>
      </c>
      <c r="Z346" s="71">
        <f t="shared" ref="Z346:AI346" si="642">Z344/U344-1</f>
        <v>-0.26184538653366585</v>
      </c>
      <c r="AA346" s="23">
        <f t="shared" si="642"/>
        <v>-0.25923997917751174</v>
      </c>
      <c r="AB346" s="71">
        <f t="shared" si="642"/>
        <v>-0.26616915422885568</v>
      </c>
      <c r="AC346" s="71">
        <f t="shared" si="642"/>
        <v>-0.24494949494949492</v>
      </c>
      <c r="AD346" s="71">
        <f t="shared" si="642"/>
        <v>-0.13981762917933127</v>
      </c>
      <c r="AE346" s="71">
        <f t="shared" si="642"/>
        <v>-0.36486486486486491</v>
      </c>
      <c r="AF346" s="23">
        <f t="shared" si="642"/>
        <v>-0.25158116654954321</v>
      </c>
      <c r="AG346" s="71">
        <f t="shared" si="642"/>
        <v>-0.21355932203389827</v>
      </c>
      <c r="AH346" s="71">
        <f t="shared" si="642"/>
        <v>-0.22408026755852839</v>
      </c>
      <c r="AI346" s="71">
        <f t="shared" si="642"/>
        <v>-0.18374558303886923</v>
      </c>
      <c r="AJ346" s="71">
        <f t="shared" ref="AJ346:AS346" si="643">AJ344/AE344-1</f>
        <v>-2.1276595744680882E-2</v>
      </c>
      <c r="AK346" s="23">
        <f t="shared" si="643"/>
        <v>-0.17464788732394365</v>
      </c>
      <c r="AL346" s="71">
        <f t="shared" si="643"/>
        <v>-0.41379310344827591</v>
      </c>
      <c r="AM346" s="71">
        <f t="shared" si="643"/>
        <v>-0.31465517241379315</v>
      </c>
      <c r="AN346" s="71">
        <f t="shared" si="643"/>
        <v>-0.26406926406926412</v>
      </c>
      <c r="AO346" s="71">
        <f t="shared" si="643"/>
        <v>-0.39673913043478259</v>
      </c>
      <c r="AP346" s="23">
        <f t="shared" si="643"/>
        <v>-0.34470989761092152</v>
      </c>
      <c r="AQ346" s="71">
        <f t="shared" si="643"/>
        <v>-0.2279411764705882</v>
      </c>
      <c r="AR346" s="71">
        <f t="shared" si="643"/>
        <v>-0.35220125786163525</v>
      </c>
      <c r="AS346" s="71">
        <f t="shared" si="643"/>
        <v>-0.30000000000000004</v>
      </c>
      <c r="AT346" s="71">
        <f t="shared" ref="AT346" si="644">AT344/AO344-1</f>
        <v>-0.23423423423423428</v>
      </c>
      <c r="AU346" s="23">
        <f t="shared" ref="AU346:AX346" si="645">AU344/AP344-1</f>
        <v>-0.28472222222222221</v>
      </c>
      <c r="AV346" s="71">
        <f t="shared" si="645"/>
        <v>-5.7142857142857162E-2</v>
      </c>
      <c r="AW346" s="71">
        <f t="shared" si="645"/>
        <v>0.25242718446601953</v>
      </c>
      <c r="AX346" s="71">
        <f t="shared" si="645"/>
        <v>2.5210084033613356E-2</v>
      </c>
      <c r="AY346" s="71">
        <f t="shared" ref="AY346" si="646">AY344/AT344-1</f>
        <v>0.23529411764705888</v>
      </c>
      <c r="AZ346" s="23">
        <v>0.10436893203883502</v>
      </c>
      <c r="BA346" s="71">
        <v>0.61616161616161613</v>
      </c>
      <c r="BB346" s="71">
        <v>0.24806201550387597</v>
      </c>
      <c r="BC346" s="71">
        <v>0.30327868852459017</v>
      </c>
      <c r="BD346" s="71">
        <v>0.64761904761904754</v>
      </c>
      <c r="BE346" s="23">
        <v>0.43516483516483517</v>
      </c>
      <c r="BF346" s="71">
        <v>-8.1250000000000044E-2</v>
      </c>
      <c r="BG346" s="71">
        <v>-8.0745341614906874E-2</v>
      </c>
      <c r="BH346" s="71">
        <v>8.8050314465408785E-2</v>
      </c>
      <c r="BI346" s="71">
        <v>-0.61849710982658967</v>
      </c>
      <c r="BJ346" s="23">
        <v>-0.18223583460949466</v>
      </c>
      <c r="BK346" s="71">
        <v>-6.8027210884353706E-2</v>
      </c>
    </row>
    <row r="347" spans="1:63" ht="24">
      <c r="A347" s="87" t="s">
        <v>260</v>
      </c>
      <c r="B347" s="23"/>
      <c r="C347" s="71"/>
      <c r="D347" s="71"/>
      <c r="E347" s="71"/>
      <c r="F347" s="71"/>
      <c r="G347" s="23"/>
      <c r="H347" s="71"/>
      <c r="I347" s="71"/>
      <c r="J347" s="71"/>
      <c r="K347" s="71"/>
      <c r="L347" s="23"/>
      <c r="M347" s="71"/>
      <c r="N347" s="71"/>
      <c r="O347" s="71"/>
      <c r="P347" s="71"/>
      <c r="Q347" s="23"/>
      <c r="R347" s="71"/>
      <c r="S347" s="71"/>
      <c r="T347" s="71"/>
      <c r="U347" s="71"/>
      <c r="V347" s="23"/>
      <c r="W347" s="71"/>
      <c r="X347" s="71"/>
      <c r="Y347" s="71"/>
      <c r="Z347" s="71"/>
      <c r="AA347" s="23"/>
      <c r="AB347" s="147">
        <f>AB344</f>
        <v>295</v>
      </c>
      <c r="AC347" s="147">
        <f>AC344</f>
        <v>299</v>
      </c>
      <c r="AD347" s="147">
        <f>AD344</f>
        <v>283</v>
      </c>
      <c r="AE347" s="147">
        <f>AF347-AD347-AC347-AB347</f>
        <v>249</v>
      </c>
      <c r="AF347" s="61">
        <f>AF344+AF337</f>
        <v>1126</v>
      </c>
      <c r="AG347" s="147">
        <f>AG344</f>
        <v>232</v>
      </c>
      <c r="AH347" s="147">
        <f>AH344</f>
        <v>232</v>
      </c>
      <c r="AI347" s="147">
        <f>AI344</f>
        <v>231</v>
      </c>
      <c r="AJ347" s="147">
        <f>AK347-AI347-AH347-AG347</f>
        <v>202</v>
      </c>
      <c r="AK347" s="61">
        <f>AK344+AK337</f>
        <v>897</v>
      </c>
      <c r="AL347" s="147">
        <f>AL344</f>
        <v>136</v>
      </c>
      <c r="AM347" s="147">
        <f>AM344</f>
        <v>159</v>
      </c>
      <c r="AN347" s="147">
        <f>AN344</f>
        <v>170</v>
      </c>
      <c r="AO347" s="147">
        <f>AP347-AN347-AM347-AL347</f>
        <v>116</v>
      </c>
      <c r="AP347" s="61">
        <f>AP344+AP337</f>
        <v>581</v>
      </c>
      <c r="AQ347" s="147">
        <f>AQ344</f>
        <v>105</v>
      </c>
      <c r="AR347" s="147">
        <f>AR344</f>
        <v>103</v>
      </c>
      <c r="AS347" s="147">
        <f>AS344</f>
        <v>119</v>
      </c>
      <c r="AT347" s="147">
        <f>AU347-AS347-AR347-AQ347</f>
        <v>87</v>
      </c>
      <c r="AU347" s="61">
        <f>AU344+AU337</f>
        <v>414</v>
      </c>
      <c r="AV347" s="147">
        <f>AV344</f>
        <v>99</v>
      </c>
      <c r="AW347" s="147">
        <f>AW344</f>
        <v>129</v>
      </c>
      <c r="AX347" s="147">
        <f>AX344</f>
        <v>122</v>
      </c>
      <c r="AY347" s="147">
        <f>AZ347-AX347-AW347-AV347</f>
        <v>114</v>
      </c>
      <c r="AZ347" s="61">
        <v>464</v>
      </c>
      <c r="BA347" s="147">
        <v>160</v>
      </c>
      <c r="BB347" s="147">
        <v>162</v>
      </c>
      <c r="BC347" s="147">
        <v>166</v>
      </c>
      <c r="BD347" s="147">
        <v>174</v>
      </c>
      <c r="BE347" s="61">
        <v>662</v>
      </c>
      <c r="BF347" s="147">
        <v>147</v>
      </c>
      <c r="BG347" s="147">
        <v>151</v>
      </c>
      <c r="BH347" s="147">
        <v>175</v>
      </c>
      <c r="BI347" s="147">
        <v>143</v>
      </c>
      <c r="BJ347" s="61">
        <v>616</v>
      </c>
      <c r="BK347" s="147">
        <v>138</v>
      </c>
    </row>
    <row r="348" spans="1:63" hidden="1">
      <c r="A348" s="67" t="s">
        <v>242</v>
      </c>
      <c r="B348" s="23"/>
      <c r="C348" s="71"/>
      <c r="D348" s="71"/>
      <c r="E348" s="71"/>
      <c r="F348" s="71"/>
      <c r="G348" s="23"/>
      <c r="H348" s="71"/>
      <c r="I348" s="71"/>
      <c r="J348" s="71"/>
      <c r="K348" s="71"/>
      <c r="L348" s="23"/>
      <c r="M348" s="71"/>
      <c r="N348" s="71"/>
      <c r="O348" s="71"/>
      <c r="P348" s="71"/>
      <c r="Q348" s="23"/>
      <c r="R348" s="71"/>
      <c r="S348" s="71"/>
      <c r="T348" s="71"/>
      <c r="U348" s="71"/>
      <c r="V348" s="23"/>
      <c r="W348" s="71"/>
      <c r="X348" s="71"/>
      <c r="Y348" s="71"/>
      <c r="Z348" s="71"/>
      <c r="AA348" s="23"/>
      <c r="AB348" s="71"/>
      <c r="AC348" s="71"/>
      <c r="AD348" s="71"/>
      <c r="AE348" s="71"/>
      <c r="AF348" s="23"/>
      <c r="AG348" s="71"/>
      <c r="AH348" s="71"/>
      <c r="AI348" s="71"/>
      <c r="AJ348" s="71"/>
      <c r="AK348" s="23"/>
      <c r="AL348" s="71"/>
      <c r="AM348" s="71"/>
      <c r="AN348" s="71"/>
      <c r="AO348" s="71"/>
      <c r="AP348" s="23"/>
      <c r="AQ348" s="71"/>
      <c r="AR348" s="71"/>
      <c r="AS348" s="71"/>
      <c r="AT348" s="71"/>
      <c r="AU348" s="23"/>
      <c r="AV348" s="71"/>
      <c r="AW348" s="71"/>
      <c r="AX348" s="71"/>
      <c r="AY348" s="71"/>
      <c r="AZ348" s="23"/>
      <c r="BA348" s="75">
        <v>98</v>
      </c>
      <c r="BB348" s="75">
        <v>98</v>
      </c>
      <c r="BC348" s="75">
        <v>96</v>
      </c>
      <c r="BD348" s="68">
        <v>101</v>
      </c>
      <c r="BE348" s="36">
        <v>393</v>
      </c>
      <c r="BF348" s="75"/>
      <c r="BG348" s="75"/>
      <c r="BH348" s="75"/>
      <c r="BI348" s="68">
        <v>274</v>
      </c>
      <c r="BJ348" s="36">
        <v>274</v>
      </c>
      <c r="BK348" s="75"/>
    </row>
    <row r="349" spans="1:63">
      <c r="A349" s="39" t="s">
        <v>24</v>
      </c>
      <c r="B349" s="40"/>
      <c r="C349" s="52"/>
      <c r="D349" s="52"/>
      <c r="E349" s="52"/>
      <c r="F349" s="52"/>
      <c r="G349" s="40"/>
      <c r="H349" s="52"/>
      <c r="I349" s="52"/>
      <c r="J349" s="52"/>
      <c r="K349" s="52"/>
      <c r="L349" s="40"/>
      <c r="M349" s="52"/>
      <c r="N349" s="52"/>
      <c r="O349" s="52"/>
      <c r="P349" s="52"/>
      <c r="Q349" s="40"/>
      <c r="R349" s="52"/>
      <c r="S349" s="52"/>
      <c r="T349" s="52"/>
      <c r="U349" s="52"/>
      <c r="V349" s="40"/>
      <c r="W349" s="52"/>
      <c r="X349" s="52"/>
      <c r="Y349" s="52"/>
      <c r="Z349" s="52"/>
      <c r="AA349" s="40"/>
      <c r="AB349" s="52"/>
      <c r="AC349" s="52"/>
      <c r="AD349" s="52"/>
      <c r="AE349" s="52"/>
      <c r="AF349" s="40"/>
      <c r="AG349" s="52"/>
      <c r="AH349" s="52"/>
      <c r="AI349" s="52"/>
      <c r="AJ349" s="52"/>
      <c r="AK349" s="40"/>
      <c r="AL349" s="52"/>
      <c r="AM349" s="52"/>
      <c r="AN349" s="52"/>
      <c r="AO349" s="52"/>
      <c r="AP349" s="40"/>
      <c r="AQ349" s="52"/>
      <c r="AR349" s="52"/>
      <c r="AS349" s="52"/>
      <c r="AT349" s="52"/>
      <c r="AU349" s="40"/>
      <c r="AV349" s="52"/>
      <c r="AW349" s="52"/>
      <c r="AX349" s="52"/>
      <c r="AY349" s="52"/>
      <c r="AZ349" s="40"/>
      <c r="BA349" s="52"/>
      <c r="BB349" s="52"/>
      <c r="BC349" s="52"/>
      <c r="BD349" s="52"/>
      <c r="BE349" s="40"/>
      <c r="BF349" s="52"/>
      <c r="BG349" s="52"/>
      <c r="BH349" s="52"/>
      <c r="BI349" s="52"/>
      <c r="BJ349" s="40"/>
      <c r="BK349" s="52"/>
    </row>
    <row r="350" spans="1:63" s="35" customFormat="1">
      <c r="A350" s="67" t="s">
        <v>12</v>
      </c>
      <c r="B350" s="63">
        <v>1228</v>
      </c>
      <c r="C350" s="68">
        <v>256</v>
      </c>
      <c r="D350" s="68">
        <v>344</v>
      </c>
      <c r="E350" s="68">
        <v>379</v>
      </c>
      <c r="F350" s="68">
        <f>G350-E350-D350-C350</f>
        <v>298</v>
      </c>
      <c r="G350" s="63">
        <v>1277</v>
      </c>
      <c r="H350" s="68">
        <v>375</v>
      </c>
      <c r="I350" s="68">
        <v>290</v>
      </c>
      <c r="J350" s="68">
        <v>395</v>
      </c>
      <c r="K350" s="68">
        <f>L350-J350-I350-H350</f>
        <v>55</v>
      </c>
      <c r="L350" s="63">
        <v>1115</v>
      </c>
      <c r="M350" s="68">
        <v>350</v>
      </c>
      <c r="N350" s="68">
        <v>378</v>
      </c>
      <c r="O350" s="68">
        <v>400</v>
      </c>
      <c r="P350" s="68">
        <f>Q350-O350-N350-M350</f>
        <v>91</v>
      </c>
      <c r="Q350" s="63">
        <v>1219</v>
      </c>
      <c r="R350" s="68">
        <v>308</v>
      </c>
      <c r="S350" s="68">
        <v>101</v>
      </c>
      <c r="T350" s="68">
        <v>168</v>
      </c>
      <c r="U350" s="68">
        <f>V350-T350-S350-R350</f>
        <v>223</v>
      </c>
      <c r="V350" s="63">
        <v>800</v>
      </c>
      <c r="W350" s="68">
        <v>294</v>
      </c>
      <c r="X350" s="68">
        <v>556</v>
      </c>
      <c r="Y350" s="68">
        <v>490</v>
      </c>
      <c r="Z350" s="68">
        <f>AA350-Y350-X350-W350</f>
        <v>388</v>
      </c>
      <c r="AA350" s="63">
        <v>1728</v>
      </c>
      <c r="AB350" s="68">
        <v>354</v>
      </c>
      <c r="AC350" s="68">
        <v>468</v>
      </c>
      <c r="AD350" s="68">
        <v>442</v>
      </c>
      <c r="AE350" s="68">
        <f>AF350-AD350-AC350-AB350</f>
        <v>327</v>
      </c>
      <c r="AF350" s="63">
        <v>1591</v>
      </c>
      <c r="AG350" s="68">
        <v>349</v>
      </c>
      <c r="AH350" s="68">
        <v>420</v>
      </c>
      <c r="AI350" s="68">
        <v>286</v>
      </c>
      <c r="AJ350" s="68">
        <f>AK350-AI350-AH350-AG350</f>
        <v>158</v>
      </c>
      <c r="AK350" s="63">
        <v>1213</v>
      </c>
      <c r="AL350" s="68">
        <v>351</v>
      </c>
      <c r="AM350" s="68">
        <v>202</v>
      </c>
      <c r="AN350" s="68">
        <v>163</v>
      </c>
      <c r="AO350" s="68">
        <f>AP350-AN350-AM350-AL350</f>
        <v>14</v>
      </c>
      <c r="AP350" s="63">
        <v>730</v>
      </c>
      <c r="AQ350" s="68">
        <v>185</v>
      </c>
      <c r="AR350" s="68">
        <v>180</v>
      </c>
      <c r="AS350" s="68">
        <v>152</v>
      </c>
      <c r="AT350" s="68">
        <f>AU350-AS350-AR350-AQ350</f>
        <v>65</v>
      </c>
      <c r="AU350" s="63">
        <v>582</v>
      </c>
      <c r="AV350" s="68">
        <v>117</v>
      </c>
      <c r="AW350" s="68">
        <v>193</v>
      </c>
      <c r="AX350" s="68">
        <v>209</v>
      </c>
      <c r="AY350" s="68">
        <f>AZ350-AX350-AW350-AV350</f>
        <v>86</v>
      </c>
      <c r="AZ350" s="63">
        <v>605</v>
      </c>
      <c r="BA350" s="68">
        <v>239</v>
      </c>
      <c r="BB350" s="68">
        <v>181</v>
      </c>
      <c r="BC350" s="68">
        <v>194</v>
      </c>
      <c r="BD350" s="68">
        <v>156</v>
      </c>
      <c r="BE350" s="63">
        <v>770</v>
      </c>
      <c r="BF350" s="68">
        <v>195</v>
      </c>
      <c r="BG350" s="68">
        <v>136</v>
      </c>
      <c r="BH350" s="68">
        <v>200</v>
      </c>
      <c r="BI350" s="68">
        <v>146</v>
      </c>
      <c r="BJ350" s="63">
        <v>677</v>
      </c>
      <c r="BK350" s="68">
        <v>164</v>
      </c>
    </row>
    <row r="351" spans="1:63">
      <c r="A351" s="80" t="s">
        <v>7</v>
      </c>
      <c r="B351" s="23"/>
      <c r="C351" s="70"/>
      <c r="D351" s="70">
        <f>D350/C350-1</f>
        <v>0.34375</v>
      </c>
      <c r="E351" s="70">
        <f>E350/D350-1</f>
        <v>0.10174418604651159</v>
      </c>
      <c r="F351" s="70">
        <f>F350/E350-1</f>
        <v>-0.21372031662269131</v>
      </c>
      <c r="G351" s="23"/>
      <c r="H351" s="70">
        <f>H350/F350-1</f>
        <v>0.25838926174496635</v>
      </c>
      <c r="I351" s="70">
        <f>I350/H350-1</f>
        <v>-0.22666666666666668</v>
      </c>
      <c r="J351" s="70">
        <f>J350/I350-1</f>
        <v>0.36206896551724133</v>
      </c>
      <c r="K351" s="70">
        <f>K350/J350-1</f>
        <v>-0.86075949367088611</v>
      </c>
      <c r="L351" s="23"/>
      <c r="M351" s="70">
        <f>M350/K350-1</f>
        <v>5.3636363636363633</v>
      </c>
      <c r="N351" s="70">
        <f>N350/M350-1</f>
        <v>8.0000000000000071E-2</v>
      </c>
      <c r="O351" s="70">
        <f>O350/N350-1</f>
        <v>5.8201058201058142E-2</v>
      </c>
      <c r="P351" s="70">
        <f>P350/O350-1</f>
        <v>-0.77249999999999996</v>
      </c>
      <c r="Q351" s="23"/>
      <c r="R351" s="70">
        <f>R350/P350-1</f>
        <v>2.3846153846153846</v>
      </c>
      <c r="S351" s="70">
        <f>S350/R350-1</f>
        <v>-0.67207792207792205</v>
      </c>
      <c r="T351" s="70">
        <f>T350/S350-1</f>
        <v>0.66336633663366329</v>
      </c>
      <c r="U351" s="70">
        <f>U350/T350-1</f>
        <v>0.32738095238095233</v>
      </c>
      <c r="V351" s="23"/>
      <c r="W351" s="70">
        <f>W350/U350-1</f>
        <v>0.31838565022421528</v>
      </c>
      <c r="X351" s="70">
        <f>X350/W350-1</f>
        <v>0.89115646258503411</v>
      </c>
      <c r="Y351" s="70">
        <f>Y350/X350-1</f>
        <v>-0.11870503597122306</v>
      </c>
      <c r="Z351" s="70">
        <f>Z350/Y350-1</f>
        <v>-0.2081632653061225</v>
      </c>
      <c r="AA351" s="23"/>
      <c r="AB351" s="70">
        <f>AB350/Z350-1</f>
        <v>-8.7628865979381465E-2</v>
      </c>
      <c r="AC351" s="70">
        <f>AC350/AB350-1</f>
        <v>0.32203389830508478</v>
      </c>
      <c r="AD351" s="70">
        <f>AD350/AC350-1</f>
        <v>-5.555555555555558E-2</v>
      </c>
      <c r="AE351" s="70">
        <f>AE350/AD350-1</f>
        <v>-0.26018099547511309</v>
      </c>
      <c r="AF351" s="23"/>
      <c r="AG351" s="70">
        <f>AG350/AE350-1</f>
        <v>6.7278287461773667E-2</v>
      </c>
      <c r="AH351" s="70">
        <f>AH350/AG350-1</f>
        <v>0.20343839541547282</v>
      </c>
      <c r="AI351" s="70">
        <f>AI350/AH350-1</f>
        <v>-0.31904761904761902</v>
      </c>
      <c r="AJ351" s="70">
        <f>AJ350/AI350-1</f>
        <v>-0.44755244755244761</v>
      </c>
      <c r="AK351" s="23"/>
      <c r="AL351" s="70">
        <f>AL350/AJ350-1</f>
        <v>1.221518987341772</v>
      </c>
      <c r="AM351" s="70">
        <f>AM350/AL350-1</f>
        <v>-0.42450142450142447</v>
      </c>
      <c r="AN351" s="70">
        <f>AN350/AM350-1</f>
        <v>-0.19306930693069302</v>
      </c>
      <c r="AO351" s="70">
        <f>AO350/AN350-1</f>
        <v>-0.91411042944785281</v>
      </c>
      <c r="AP351" s="23"/>
      <c r="AQ351" s="70">
        <f>AQ350/AO350-1</f>
        <v>12.214285714285714</v>
      </c>
      <c r="AR351" s="70">
        <f>AR350/AQ350-1</f>
        <v>-2.7027027027026973E-2</v>
      </c>
      <c r="AS351" s="70">
        <f>AS350/AR350-1</f>
        <v>-0.15555555555555556</v>
      </c>
      <c r="AT351" s="70">
        <f>AT350/AS350-1</f>
        <v>-0.57236842105263164</v>
      </c>
      <c r="AU351" s="23"/>
      <c r="AV351" s="70">
        <f>AV350/AT350-1</f>
        <v>0.8</v>
      </c>
      <c r="AW351" s="70">
        <f>AW350/AV350-1</f>
        <v>0.64957264957264949</v>
      </c>
      <c r="AX351" s="70">
        <f>AX350/AW350-1</f>
        <v>8.290155440414515E-2</v>
      </c>
      <c r="AY351" s="70">
        <f>AY350/AX350-1</f>
        <v>-0.58851674641148333</v>
      </c>
      <c r="AZ351" s="23"/>
      <c r="BA351" s="70">
        <v>1.7790697674418605</v>
      </c>
      <c r="BB351" s="70">
        <v>-0.24267782426778239</v>
      </c>
      <c r="BC351" s="70">
        <v>7.182320441988943E-2</v>
      </c>
      <c r="BD351" s="70">
        <v>-0.19587628865979378</v>
      </c>
      <c r="BE351" s="23"/>
      <c r="BF351" s="70">
        <v>0.25</v>
      </c>
      <c r="BG351" s="70">
        <v>-0.3025641025641026</v>
      </c>
      <c r="BH351" s="70">
        <v>0.47058823529411775</v>
      </c>
      <c r="BI351" s="70">
        <v>-0.27</v>
      </c>
      <c r="BJ351" s="23"/>
      <c r="BK351" s="70">
        <v>0.12328767123287676</v>
      </c>
    </row>
    <row r="352" spans="1:63">
      <c r="A352" s="80" t="s">
        <v>8</v>
      </c>
      <c r="B352" s="23"/>
      <c r="C352" s="71"/>
      <c r="D352" s="71"/>
      <c r="E352" s="71"/>
      <c r="F352" s="71"/>
      <c r="G352" s="23">
        <f t="shared" ref="G352:N352" si="647">G350/B350-1</f>
        <v>3.9902280130293066E-2</v>
      </c>
      <c r="H352" s="71">
        <f t="shared" si="647"/>
        <v>0.46484375</v>
      </c>
      <c r="I352" s="71">
        <f t="shared" si="647"/>
        <v>-0.15697674418604646</v>
      </c>
      <c r="J352" s="71">
        <f t="shared" si="647"/>
        <v>4.2216358839050061E-2</v>
      </c>
      <c r="K352" s="71">
        <f t="shared" si="647"/>
        <v>-0.81543624161073824</v>
      </c>
      <c r="L352" s="23">
        <f t="shared" si="647"/>
        <v>-0.12685982772122162</v>
      </c>
      <c r="M352" s="71">
        <f t="shared" si="647"/>
        <v>-6.6666666666666652E-2</v>
      </c>
      <c r="N352" s="71">
        <f t="shared" si="647"/>
        <v>0.30344827586206891</v>
      </c>
      <c r="O352" s="71">
        <f t="shared" ref="O352:Y352" si="648">O350/J350-1</f>
        <v>1.2658227848101333E-2</v>
      </c>
      <c r="P352" s="71">
        <f t="shared" si="648"/>
        <v>0.65454545454545454</v>
      </c>
      <c r="Q352" s="23">
        <f t="shared" si="648"/>
        <v>9.3273542600896819E-2</v>
      </c>
      <c r="R352" s="71">
        <f t="shared" si="648"/>
        <v>-0.12</v>
      </c>
      <c r="S352" s="71">
        <f t="shared" si="648"/>
        <v>-0.73280423280423279</v>
      </c>
      <c r="T352" s="71">
        <f t="shared" si="648"/>
        <v>-0.58000000000000007</v>
      </c>
      <c r="U352" s="71">
        <f t="shared" si="648"/>
        <v>1.4505494505494507</v>
      </c>
      <c r="V352" s="23">
        <f t="shared" si="648"/>
        <v>-0.34372436423297781</v>
      </c>
      <c r="W352" s="71">
        <f t="shared" si="648"/>
        <v>-4.5454545454545414E-2</v>
      </c>
      <c r="X352" s="71">
        <f t="shared" si="648"/>
        <v>4.5049504950495045</v>
      </c>
      <c r="Y352" s="71">
        <f t="shared" si="648"/>
        <v>1.9166666666666665</v>
      </c>
      <c r="Z352" s="71">
        <f t="shared" ref="Z352:AI352" si="649">Z350/U350-1</f>
        <v>0.73991031390134521</v>
      </c>
      <c r="AA352" s="23">
        <f t="shared" si="649"/>
        <v>1.1600000000000001</v>
      </c>
      <c r="AB352" s="71">
        <f t="shared" si="649"/>
        <v>0.20408163265306123</v>
      </c>
      <c r="AC352" s="71">
        <f t="shared" si="649"/>
        <v>-0.15827338129496404</v>
      </c>
      <c r="AD352" s="71">
        <f t="shared" si="649"/>
        <v>-9.7959183673469341E-2</v>
      </c>
      <c r="AE352" s="71">
        <f t="shared" si="649"/>
        <v>-0.15721649484536082</v>
      </c>
      <c r="AF352" s="23">
        <f t="shared" si="649"/>
        <v>-7.928240740740744E-2</v>
      </c>
      <c r="AG352" s="71">
        <f t="shared" si="649"/>
        <v>-1.4124293785310771E-2</v>
      </c>
      <c r="AH352" s="71">
        <f t="shared" si="649"/>
        <v>-0.10256410256410253</v>
      </c>
      <c r="AI352" s="71">
        <f t="shared" si="649"/>
        <v>-0.3529411764705882</v>
      </c>
      <c r="AJ352" s="71">
        <f t="shared" ref="AJ352:AS352" si="650">AJ350/AE350-1</f>
        <v>-0.51681957186544336</v>
      </c>
      <c r="AK352" s="23">
        <f t="shared" si="650"/>
        <v>-0.23758642363293525</v>
      </c>
      <c r="AL352" s="71">
        <f t="shared" si="650"/>
        <v>5.7306590257879542E-3</v>
      </c>
      <c r="AM352" s="71">
        <f t="shared" si="650"/>
        <v>-0.51904761904761898</v>
      </c>
      <c r="AN352" s="71">
        <f t="shared" si="650"/>
        <v>-0.43006993006993011</v>
      </c>
      <c r="AO352" s="71">
        <f t="shared" si="650"/>
        <v>-0.91139240506329111</v>
      </c>
      <c r="AP352" s="23">
        <f t="shared" si="650"/>
        <v>-0.39818631492168177</v>
      </c>
      <c r="AQ352" s="71">
        <f t="shared" si="650"/>
        <v>-0.47293447293447288</v>
      </c>
      <c r="AR352" s="71">
        <f t="shared" si="650"/>
        <v>-0.1089108910891089</v>
      </c>
      <c r="AS352" s="71">
        <f t="shared" si="650"/>
        <v>-6.7484662576687171E-2</v>
      </c>
      <c r="AT352" s="71">
        <f t="shared" ref="AT352" si="651">AT350/AO350-1</f>
        <v>3.6428571428571432</v>
      </c>
      <c r="AU352" s="23">
        <f t="shared" ref="AU352:AX352" si="652">AU350/AP350-1</f>
        <v>-0.20273972602739732</v>
      </c>
      <c r="AV352" s="71">
        <f t="shared" si="652"/>
        <v>-0.36756756756756759</v>
      </c>
      <c r="AW352" s="71">
        <f t="shared" si="652"/>
        <v>7.2222222222222188E-2</v>
      </c>
      <c r="AX352" s="71">
        <f t="shared" si="652"/>
        <v>0.375</v>
      </c>
      <c r="AY352" s="71">
        <f t="shared" ref="AY352" si="653">AY350/AT350-1</f>
        <v>0.32307692307692304</v>
      </c>
      <c r="AZ352" s="23">
        <v>3.9518900343642693E-2</v>
      </c>
      <c r="BA352" s="71">
        <v>1.0427350427350426</v>
      </c>
      <c r="BB352" s="71">
        <v>-6.2176165803108807E-2</v>
      </c>
      <c r="BC352" s="71">
        <v>-7.1770334928229707E-2</v>
      </c>
      <c r="BD352" s="71">
        <v>0.81395348837209291</v>
      </c>
      <c r="BE352" s="23">
        <v>0.27272727272727271</v>
      </c>
      <c r="BF352" s="71">
        <v>-0.18410041841004188</v>
      </c>
      <c r="BG352" s="71">
        <v>-0.24861878453038677</v>
      </c>
      <c r="BH352" s="71">
        <v>3.0927835051546282E-2</v>
      </c>
      <c r="BI352" s="71">
        <v>-6.4102564102564097E-2</v>
      </c>
      <c r="BJ352" s="23">
        <v>-0.12077922077922076</v>
      </c>
      <c r="BK352" s="71">
        <v>-0.15897435897435896</v>
      </c>
    </row>
    <row r="353" spans="1:63" hidden="1">
      <c r="A353" s="67" t="s">
        <v>45</v>
      </c>
      <c r="B353" s="36">
        <f>433+7</f>
        <v>440</v>
      </c>
      <c r="C353" s="68">
        <v>108</v>
      </c>
      <c r="D353" s="68">
        <v>374</v>
      </c>
      <c r="E353" s="68">
        <v>172</v>
      </c>
      <c r="F353" s="68">
        <f>G353-E353-D353-C353</f>
        <v>257</v>
      </c>
      <c r="G353" s="36">
        <f>302+609</f>
        <v>911</v>
      </c>
      <c r="H353" s="68">
        <v>165</v>
      </c>
      <c r="I353" s="68">
        <v>127</v>
      </c>
      <c r="J353" s="68">
        <v>107</v>
      </c>
      <c r="K353" s="68">
        <f>L353-J353-I353-H353</f>
        <v>109</v>
      </c>
      <c r="L353" s="36">
        <v>508</v>
      </c>
      <c r="M353" s="68">
        <v>110</v>
      </c>
      <c r="N353" s="68">
        <v>112</v>
      </c>
      <c r="O353" s="68">
        <v>99</v>
      </c>
      <c r="P353" s="68">
        <v>110</v>
      </c>
      <c r="Q353" s="36">
        <f>P353+O353+N353+M353</f>
        <v>431</v>
      </c>
      <c r="R353" s="68">
        <v>122</v>
      </c>
      <c r="S353" s="68">
        <v>109</v>
      </c>
      <c r="T353" s="68">
        <v>98</v>
      </c>
      <c r="U353" s="68">
        <f>V353-T353-S353-R353</f>
        <v>113</v>
      </c>
      <c r="V353" s="36">
        <v>442</v>
      </c>
      <c r="W353" s="68">
        <v>121</v>
      </c>
      <c r="X353" s="68">
        <v>113</v>
      </c>
      <c r="Y353" s="68">
        <v>77</v>
      </c>
      <c r="Z353" s="68">
        <f>AA353-Y353-X353-W353</f>
        <v>86</v>
      </c>
      <c r="AA353" s="36">
        <f>342+55</f>
        <v>397</v>
      </c>
      <c r="AB353" s="68">
        <v>56</v>
      </c>
      <c r="AC353" s="68">
        <v>91</v>
      </c>
      <c r="AD353" s="68">
        <v>94</v>
      </c>
      <c r="AE353" s="68">
        <v>94</v>
      </c>
      <c r="AF353" s="36">
        <f>AE353+AD353+AC353+AB353</f>
        <v>335</v>
      </c>
      <c r="AG353" s="68">
        <v>67</v>
      </c>
      <c r="AH353" s="68">
        <v>96</v>
      </c>
      <c r="AI353" s="68">
        <v>87</v>
      </c>
      <c r="AJ353" s="68">
        <f>AK353-AI353-AH353-AG353</f>
        <v>89</v>
      </c>
      <c r="AK353" s="36">
        <v>339</v>
      </c>
      <c r="AL353" s="68">
        <v>97</v>
      </c>
      <c r="AM353" s="68">
        <v>196</v>
      </c>
      <c r="AN353" s="68">
        <v>70</v>
      </c>
      <c r="AO353" s="68">
        <v>56</v>
      </c>
      <c r="AP353" s="36">
        <f>AO353+AN353+AM353+AL353</f>
        <v>419</v>
      </c>
      <c r="AQ353" s="68">
        <v>57</v>
      </c>
      <c r="AR353" s="68">
        <v>77</v>
      </c>
      <c r="AS353" s="68">
        <v>66</v>
      </c>
      <c r="AT353" s="68"/>
      <c r="AU353" s="36"/>
      <c r="AV353" s="68"/>
      <c r="AW353" s="68"/>
      <c r="AX353" s="68"/>
      <c r="AY353" s="68"/>
      <c r="AZ353" s="36"/>
      <c r="BA353" s="68"/>
      <c r="BB353" s="68"/>
      <c r="BC353" s="68"/>
      <c r="BD353" s="68"/>
      <c r="BE353" s="36"/>
      <c r="BF353" s="68"/>
      <c r="BG353" s="68"/>
      <c r="BH353" s="68"/>
      <c r="BI353" s="68"/>
      <c r="BJ353" s="36"/>
      <c r="BK353" s="68"/>
    </row>
    <row r="354" spans="1:63" hidden="1">
      <c r="A354" s="69" t="s">
        <v>7</v>
      </c>
      <c r="B354" s="23"/>
      <c r="C354" s="70"/>
      <c r="D354" s="70">
        <f>D353/C353-1</f>
        <v>2.4629629629629628</v>
      </c>
      <c r="E354" s="70">
        <f>E353/D353-1</f>
        <v>-0.54010695187165769</v>
      </c>
      <c r="F354" s="70">
        <f>F353/E353-1</f>
        <v>0.4941860465116279</v>
      </c>
      <c r="G354" s="23"/>
      <c r="H354" s="70">
        <f>H353/F353-1</f>
        <v>-0.357976653696498</v>
      </c>
      <c r="I354" s="70">
        <f>I353/H353-1</f>
        <v>-0.23030303030303034</v>
      </c>
      <c r="J354" s="70">
        <f>J353/I353-1</f>
        <v>-0.15748031496062997</v>
      </c>
      <c r="K354" s="70">
        <f>K353/J353-1</f>
        <v>1.8691588785046731E-2</v>
      </c>
      <c r="L354" s="23"/>
      <c r="M354" s="70">
        <f>M353/K353-1</f>
        <v>9.1743119266054496E-3</v>
      </c>
      <c r="N354" s="70">
        <f>N353/M353-1</f>
        <v>1.8181818181818077E-2</v>
      </c>
      <c r="O354" s="70">
        <f>O353/N353-1</f>
        <v>-0.1160714285714286</v>
      </c>
      <c r="P354" s="70">
        <f>P353/O353-1</f>
        <v>0.11111111111111116</v>
      </c>
      <c r="Q354" s="23"/>
      <c r="R354" s="70">
        <f>R353/P353-1</f>
        <v>0.10909090909090913</v>
      </c>
      <c r="S354" s="70">
        <f>S353/R353-1</f>
        <v>-0.10655737704918034</v>
      </c>
      <c r="T354" s="70">
        <f>T353/S353-1</f>
        <v>-0.1009174311926605</v>
      </c>
      <c r="U354" s="70">
        <f>U353/T353-1</f>
        <v>0.15306122448979598</v>
      </c>
      <c r="V354" s="23"/>
      <c r="W354" s="70">
        <f>W353/U353-1</f>
        <v>7.079646017699126E-2</v>
      </c>
      <c r="X354" s="70">
        <f>X353/W353-1</f>
        <v>-6.6115702479338845E-2</v>
      </c>
      <c r="Y354" s="70">
        <f>Y353/X353-1</f>
        <v>-0.31858407079646023</v>
      </c>
      <c r="Z354" s="70">
        <f>Z353/Y353-1</f>
        <v>0.11688311688311681</v>
      </c>
      <c r="AA354" s="23"/>
      <c r="AB354" s="70">
        <f>AB353/Z353-1</f>
        <v>-0.34883720930232553</v>
      </c>
      <c r="AC354" s="70">
        <f>AC353/AB353-1</f>
        <v>0.625</v>
      </c>
      <c r="AD354" s="70">
        <f>AD353/AC353-1</f>
        <v>3.2967032967033072E-2</v>
      </c>
      <c r="AE354" s="70">
        <f>AE353/AD353-1</f>
        <v>0</v>
      </c>
      <c r="AF354" s="23"/>
      <c r="AG354" s="70">
        <f>AG353/AE353-1</f>
        <v>-0.28723404255319152</v>
      </c>
      <c r="AH354" s="70">
        <f>AH353/AG353-1</f>
        <v>0.43283582089552231</v>
      </c>
      <c r="AI354" s="70">
        <f>AI353/AH353-1</f>
        <v>-9.375E-2</v>
      </c>
      <c r="AJ354" s="70">
        <f>AJ353/AI353-1</f>
        <v>2.2988505747126409E-2</v>
      </c>
      <c r="AK354" s="23"/>
      <c r="AL354" s="70">
        <f>AL353/AJ353-1</f>
        <v>8.98876404494382E-2</v>
      </c>
      <c r="AM354" s="70">
        <f>AM353/AL353-1</f>
        <v>1.0206185567010309</v>
      </c>
      <c r="AN354" s="70">
        <f>AN353/AM353-1</f>
        <v>-0.64285714285714279</v>
      </c>
      <c r="AO354" s="70">
        <f>AO353/AN353-1</f>
        <v>-0.19999999999999996</v>
      </c>
      <c r="AP354" s="23"/>
      <c r="AQ354" s="70">
        <f>AQ353/AO353-1</f>
        <v>1.7857142857142794E-2</v>
      </c>
      <c r="AR354" s="70">
        <f>AR353/AQ353-1</f>
        <v>0.35087719298245612</v>
      </c>
      <c r="AS354" s="70">
        <f>AS353/AR353-1</f>
        <v>-0.1428571428571429</v>
      </c>
      <c r="AT354" s="70"/>
      <c r="AU354" s="23"/>
      <c r="AV354" s="70"/>
      <c r="AW354" s="70"/>
      <c r="AX354" s="70"/>
      <c r="AY354" s="70"/>
      <c r="AZ354" s="23"/>
      <c r="BA354" s="70"/>
      <c r="BB354" s="70"/>
      <c r="BC354" s="70"/>
      <c r="BD354" s="70"/>
      <c r="BE354" s="23"/>
      <c r="BF354" s="70"/>
      <c r="BG354" s="70"/>
      <c r="BH354" s="70"/>
      <c r="BI354" s="70"/>
      <c r="BJ354" s="23"/>
      <c r="BK354" s="70"/>
    </row>
    <row r="355" spans="1:63" hidden="1">
      <c r="A355" s="69" t="s">
        <v>8</v>
      </c>
      <c r="B355" s="23"/>
      <c r="C355" s="71"/>
      <c r="D355" s="71"/>
      <c r="E355" s="71"/>
      <c r="F355" s="71"/>
      <c r="G355" s="23">
        <f t="shared" ref="G355:N355" si="654">G353/B353-1</f>
        <v>1.0704545454545453</v>
      </c>
      <c r="H355" s="71">
        <f t="shared" si="654"/>
        <v>0.52777777777777768</v>
      </c>
      <c r="I355" s="71">
        <f t="shared" si="654"/>
        <v>-0.66042780748663099</v>
      </c>
      <c r="J355" s="71">
        <f t="shared" si="654"/>
        <v>-0.37790697674418605</v>
      </c>
      <c r="K355" s="71">
        <f t="shared" si="654"/>
        <v>-0.57587548638132291</v>
      </c>
      <c r="L355" s="23">
        <f t="shared" si="654"/>
        <v>-0.44237102085620195</v>
      </c>
      <c r="M355" s="71">
        <f t="shared" si="654"/>
        <v>-0.33333333333333337</v>
      </c>
      <c r="N355" s="71">
        <f t="shared" si="654"/>
        <v>-0.11811023622047245</v>
      </c>
      <c r="O355" s="71">
        <f t="shared" ref="O355:Y355" si="655">O353/J353-1</f>
        <v>-7.4766355140186924E-2</v>
      </c>
      <c r="P355" s="71">
        <f t="shared" si="655"/>
        <v>9.1743119266054496E-3</v>
      </c>
      <c r="Q355" s="23">
        <f t="shared" si="655"/>
        <v>-0.15157480314960625</v>
      </c>
      <c r="R355" s="71">
        <f t="shared" si="655"/>
        <v>0.10909090909090913</v>
      </c>
      <c r="S355" s="71">
        <f t="shared" si="655"/>
        <v>-2.6785714285714302E-2</v>
      </c>
      <c r="T355" s="71">
        <f t="shared" si="655"/>
        <v>-1.0101010101010055E-2</v>
      </c>
      <c r="U355" s="71">
        <f t="shared" si="655"/>
        <v>2.7272727272727337E-2</v>
      </c>
      <c r="V355" s="23">
        <f t="shared" si="655"/>
        <v>2.5522041763341052E-2</v>
      </c>
      <c r="W355" s="71">
        <f t="shared" si="655"/>
        <v>-8.1967213114754189E-3</v>
      </c>
      <c r="X355" s="71">
        <f t="shared" si="655"/>
        <v>3.669724770642202E-2</v>
      </c>
      <c r="Y355" s="71">
        <f t="shared" si="655"/>
        <v>-0.2142857142857143</v>
      </c>
      <c r="Z355" s="71">
        <f t="shared" ref="Z355:AI355" si="656">Z353/U353-1</f>
        <v>-0.23893805309734517</v>
      </c>
      <c r="AA355" s="23">
        <f t="shared" si="656"/>
        <v>-0.10180995475113119</v>
      </c>
      <c r="AB355" s="71">
        <f t="shared" si="656"/>
        <v>-0.53719008264462809</v>
      </c>
      <c r="AC355" s="71">
        <f t="shared" si="656"/>
        <v>-0.19469026548672563</v>
      </c>
      <c r="AD355" s="71">
        <f t="shared" si="656"/>
        <v>0.22077922077922074</v>
      </c>
      <c r="AE355" s="71">
        <f t="shared" si="656"/>
        <v>9.3023255813953432E-2</v>
      </c>
      <c r="AF355" s="23">
        <f t="shared" si="656"/>
        <v>-0.15617128463476071</v>
      </c>
      <c r="AG355" s="71">
        <f t="shared" si="656"/>
        <v>0.1964285714285714</v>
      </c>
      <c r="AH355" s="71">
        <f t="shared" si="656"/>
        <v>5.4945054945054972E-2</v>
      </c>
      <c r="AI355" s="71">
        <f t="shared" si="656"/>
        <v>-7.4468085106383031E-2</v>
      </c>
      <c r="AJ355" s="71">
        <f t="shared" ref="AJ355:AS355" si="657">AJ353/AE353-1</f>
        <v>-5.3191489361702149E-2</v>
      </c>
      <c r="AK355" s="23">
        <f t="shared" si="657"/>
        <v>1.1940298507462588E-2</v>
      </c>
      <c r="AL355" s="71">
        <f t="shared" si="657"/>
        <v>0.44776119402985071</v>
      </c>
      <c r="AM355" s="71">
        <f t="shared" si="657"/>
        <v>1.0416666666666665</v>
      </c>
      <c r="AN355" s="71">
        <f t="shared" si="657"/>
        <v>-0.1954022988505747</v>
      </c>
      <c r="AO355" s="71">
        <f t="shared" si="657"/>
        <v>-0.3707865168539326</v>
      </c>
      <c r="AP355" s="23">
        <f t="shared" si="657"/>
        <v>0.2359882005899705</v>
      </c>
      <c r="AQ355" s="71">
        <f t="shared" si="657"/>
        <v>-0.41237113402061853</v>
      </c>
      <c r="AR355" s="71">
        <f t="shared" si="657"/>
        <v>-0.60714285714285721</v>
      </c>
      <c r="AS355" s="71">
        <f t="shared" si="657"/>
        <v>-5.7142857142857162E-2</v>
      </c>
      <c r="AT355" s="71"/>
      <c r="AU355" s="23"/>
      <c r="AV355" s="71"/>
      <c r="AW355" s="71"/>
      <c r="AX355" s="71"/>
      <c r="AY355" s="71"/>
      <c r="AZ355" s="23"/>
      <c r="BA355" s="71"/>
      <c r="BB355" s="71"/>
      <c r="BC355" s="71"/>
      <c r="BD355" s="71"/>
      <c r="BE355" s="23"/>
      <c r="BF355" s="71"/>
      <c r="BG355" s="71"/>
      <c r="BH355" s="71"/>
      <c r="BI355" s="71"/>
      <c r="BJ355" s="23"/>
      <c r="BK355" s="71"/>
    </row>
    <row r="356" spans="1:63">
      <c r="A356" s="67" t="s">
        <v>46</v>
      </c>
      <c r="B356" s="28">
        <f>296+85</f>
        <v>381</v>
      </c>
      <c r="C356" s="68">
        <v>103</v>
      </c>
      <c r="D356" s="68">
        <f>164+18</f>
        <v>182</v>
      </c>
      <c r="E356" s="68">
        <v>350</v>
      </c>
      <c r="F356" s="68">
        <f>G356-E356-D356-C356</f>
        <v>163</v>
      </c>
      <c r="G356" s="28">
        <f>538+260</f>
        <v>798</v>
      </c>
      <c r="H356" s="68">
        <v>149</v>
      </c>
      <c r="I356" s="68">
        <f>139+24</f>
        <v>163</v>
      </c>
      <c r="J356" s="68">
        <v>146</v>
      </c>
      <c r="K356" s="68">
        <f>L356-J356-I356-H356</f>
        <v>101</v>
      </c>
      <c r="L356" s="28">
        <f>457+102</f>
        <v>559</v>
      </c>
      <c r="M356" s="68">
        <f>68+24</f>
        <v>92</v>
      </c>
      <c r="N356" s="68">
        <f>86+28</f>
        <v>114</v>
      </c>
      <c r="O356" s="68">
        <f>73+26</f>
        <v>99</v>
      </c>
      <c r="P356" s="68">
        <f>Q356-O356-N356-M356</f>
        <v>92</v>
      </c>
      <c r="Q356" s="28">
        <f>292+105</f>
        <v>397</v>
      </c>
      <c r="R356" s="68">
        <v>133</v>
      </c>
      <c r="S356" s="68">
        <v>86</v>
      </c>
      <c r="T356" s="68">
        <f>83+24</f>
        <v>107</v>
      </c>
      <c r="U356" s="68">
        <f>V356-T356-S356-R356</f>
        <v>93</v>
      </c>
      <c r="V356" s="28">
        <f>321+98</f>
        <v>419</v>
      </c>
      <c r="W356" s="68">
        <v>115</v>
      </c>
      <c r="X356" s="68">
        <f>94+15</f>
        <v>109</v>
      </c>
      <c r="Y356" s="68">
        <v>84</v>
      </c>
      <c r="Z356" s="68">
        <f>AA356-Y356-X356-W356</f>
        <v>76</v>
      </c>
      <c r="AA356" s="94">
        <v>384</v>
      </c>
      <c r="AB356" s="68">
        <v>66</v>
      </c>
      <c r="AC356" s="68">
        <f>71+13</f>
        <v>84</v>
      </c>
      <c r="AD356" s="68">
        <v>92</v>
      </c>
      <c r="AE356" s="68">
        <f>AF356-AD356-AC356-AB356</f>
        <v>78</v>
      </c>
      <c r="AF356" s="94">
        <v>320</v>
      </c>
      <c r="AG356" s="68">
        <f>62+11</f>
        <v>73</v>
      </c>
      <c r="AH356" s="68">
        <v>90</v>
      </c>
      <c r="AI356" s="68">
        <f>71+13</f>
        <v>84</v>
      </c>
      <c r="AJ356" s="68">
        <f>AK356-AI356-AH356-AG356</f>
        <v>82</v>
      </c>
      <c r="AK356" s="94">
        <f>283+46</f>
        <v>329</v>
      </c>
      <c r="AL356" s="68">
        <f>64+9</f>
        <v>73</v>
      </c>
      <c r="AM356" s="68">
        <v>199</v>
      </c>
      <c r="AN356" s="68">
        <f>82+9</f>
        <v>91</v>
      </c>
      <c r="AO356" s="68">
        <f>AP356-AN356-AM356-AL356</f>
        <v>65</v>
      </c>
      <c r="AP356" s="94">
        <f>297+131</f>
        <v>428</v>
      </c>
      <c r="AQ356" s="68">
        <f>44+8</f>
        <v>52</v>
      </c>
      <c r="AR356" s="68">
        <f>56+7</f>
        <v>63</v>
      </c>
      <c r="AS356" s="68">
        <v>64</v>
      </c>
      <c r="AT356" s="68">
        <f>AU356-AS356-AR356-AQ356</f>
        <v>64</v>
      </c>
      <c r="AU356" s="94">
        <f>208+35</f>
        <v>243</v>
      </c>
      <c r="AV356" s="68">
        <v>73</v>
      </c>
      <c r="AW356" s="68">
        <f>48+11+23</f>
        <v>82</v>
      </c>
      <c r="AX356" s="68">
        <v>78</v>
      </c>
      <c r="AY356" s="68">
        <f>AZ356-AX356-AW356-AV356</f>
        <v>77</v>
      </c>
      <c r="AZ356" s="94">
        <v>310</v>
      </c>
      <c r="BA356" s="68">
        <v>69</v>
      </c>
      <c r="BB356" s="68">
        <v>90</v>
      </c>
      <c r="BC356" s="68">
        <v>73</v>
      </c>
      <c r="BD356" s="68">
        <v>78</v>
      </c>
      <c r="BE356" s="94">
        <v>310</v>
      </c>
      <c r="BF356" s="68">
        <v>63</v>
      </c>
      <c r="BG356" s="68">
        <v>83</v>
      </c>
      <c r="BH356" s="68">
        <v>72</v>
      </c>
      <c r="BI356" s="68">
        <v>75</v>
      </c>
      <c r="BJ356" s="94">
        <v>293</v>
      </c>
      <c r="BK356" s="68">
        <v>65</v>
      </c>
    </row>
    <row r="357" spans="1:63">
      <c r="A357" s="69" t="s">
        <v>7</v>
      </c>
      <c r="B357" s="23"/>
      <c r="C357" s="70"/>
      <c r="D357" s="70">
        <f>D356/C356-1</f>
        <v>0.76699029126213603</v>
      </c>
      <c r="E357" s="70">
        <f>E356/D356-1</f>
        <v>0.92307692307692313</v>
      </c>
      <c r="F357" s="70">
        <f>F356/E356-1</f>
        <v>-0.53428571428571425</v>
      </c>
      <c r="G357" s="23"/>
      <c r="H357" s="70">
        <f>H356/F356-1</f>
        <v>-8.5889570552147187E-2</v>
      </c>
      <c r="I357" s="70">
        <f>I356/H356-1</f>
        <v>9.3959731543624248E-2</v>
      </c>
      <c r="J357" s="70">
        <f>J356/I356-1</f>
        <v>-0.10429447852760731</v>
      </c>
      <c r="K357" s="70">
        <f>K356/J356-1</f>
        <v>-0.30821917808219179</v>
      </c>
      <c r="L357" s="23"/>
      <c r="M357" s="70">
        <f>M356/K356-1</f>
        <v>-8.9108910891089077E-2</v>
      </c>
      <c r="N357" s="70">
        <f>N356/M356-1</f>
        <v>0.23913043478260865</v>
      </c>
      <c r="O357" s="70">
        <f>O356/N356-1</f>
        <v>-0.13157894736842102</v>
      </c>
      <c r="P357" s="70">
        <f>P356/O356-1</f>
        <v>-7.0707070707070718E-2</v>
      </c>
      <c r="Q357" s="23"/>
      <c r="R357" s="70">
        <f>R356/P356-1</f>
        <v>0.44565217391304346</v>
      </c>
      <c r="S357" s="70">
        <f>S356/R356-1</f>
        <v>-0.35338345864661658</v>
      </c>
      <c r="T357" s="70">
        <f>T356/S356-1</f>
        <v>0.2441860465116279</v>
      </c>
      <c r="U357" s="70">
        <f>U356/T356-1</f>
        <v>-0.13084112149532712</v>
      </c>
      <c r="V357" s="23"/>
      <c r="W357" s="70">
        <f>W356/U356-1</f>
        <v>0.23655913978494625</v>
      </c>
      <c r="X357" s="70">
        <f>X356/W356-1</f>
        <v>-5.2173913043478293E-2</v>
      </c>
      <c r="Y357" s="70">
        <f>Y356/X356-1</f>
        <v>-0.22935779816513757</v>
      </c>
      <c r="Z357" s="70">
        <f>Z356/Y356-1</f>
        <v>-9.5238095238095233E-2</v>
      </c>
      <c r="AA357" s="23"/>
      <c r="AB357" s="70">
        <f>AB356/Z356-1</f>
        <v>-0.13157894736842102</v>
      </c>
      <c r="AC357" s="70">
        <f>AC356/AB356-1</f>
        <v>0.27272727272727271</v>
      </c>
      <c r="AD357" s="70">
        <f>AD356/AC356-1</f>
        <v>9.5238095238095344E-2</v>
      </c>
      <c r="AE357" s="70">
        <f>AE356/AD356-1</f>
        <v>-0.15217391304347827</v>
      </c>
      <c r="AF357" s="23"/>
      <c r="AG357" s="70">
        <f>AG356/AE356-1</f>
        <v>-6.4102564102564097E-2</v>
      </c>
      <c r="AH357" s="70">
        <f>AH356/AG356-1</f>
        <v>0.23287671232876717</v>
      </c>
      <c r="AI357" s="70">
        <f>AI356/AH356-1</f>
        <v>-6.6666666666666652E-2</v>
      </c>
      <c r="AJ357" s="70">
        <f>AJ356/AI356-1</f>
        <v>-2.3809523809523836E-2</v>
      </c>
      <c r="AK357" s="23"/>
      <c r="AL357" s="70">
        <f>AL356/AJ356-1</f>
        <v>-0.1097560975609756</v>
      </c>
      <c r="AM357" s="70">
        <f>AM356/AL356-1</f>
        <v>1.7260273972602738</v>
      </c>
      <c r="AN357" s="70">
        <f>AN356/AM356-1</f>
        <v>-0.542713567839196</v>
      </c>
      <c r="AO357" s="70">
        <f>AO356/AN356-1</f>
        <v>-0.2857142857142857</v>
      </c>
      <c r="AP357" s="23"/>
      <c r="AQ357" s="70">
        <f>AQ356/AO356-1</f>
        <v>-0.19999999999999996</v>
      </c>
      <c r="AR357" s="70">
        <f>AR356/AQ356-1</f>
        <v>0.21153846153846145</v>
      </c>
      <c r="AS357" s="70">
        <f>AS356/AR356-1</f>
        <v>1.5873015873015817E-2</v>
      </c>
      <c r="AT357" s="70">
        <f>AT356/AS356-1</f>
        <v>0</v>
      </c>
      <c r="AU357" s="23"/>
      <c r="AV357" s="70">
        <f>AV356/AT356-1</f>
        <v>0.140625</v>
      </c>
      <c r="AW357" s="70">
        <f>AW356/AV356-1</f>
        <v>0.12328767123287676</v>
      </c>
      <c r="AX357" s="70">
        <f>AX356/AW356-1</f>
        <v>-4.8780487804878092E-2</v>
      </c>
      <c r="AY357" s="70">
        <f>AY356/AX356-1</f>
        <v>-1.2820512820512775E-2</v>
      </c>
      <c r="AZ357" s="23"/>
      <c r="BA357" s="70">
        <v>-0.10389610389610393</v>
      </c>
      <c r="BB357" s="70">
        <v>0.30434782608695654</v>
      </c>
      <c r="BC357" s="70">
        <v>-0.18888888888888888</v>
      </c>
      <c r="BD357" s="70">
        <v>6.8493150684931559E-2</v>
      </c>
      <c r="BE357" s="23"/>
      <c r="BF357" s="70">
        <v>-0.19230769230769229</v>
      </c>
      <c r="BG357" s="70">
        <v>0.31746031746031744</v>
      </c>
      <c r="BH357" s="70">
        <v>-0.13253012048192769</v>
      </c>
      <c r="BI357" s="70">
        <v>4.1666666666666741E-2</v>
      </c>
      <c r="BJ357" s="23"/>
      <c r="BK357" s="70">
        <v>-0.1333333333333333</v>
      </c>
    </row>
    <row r="358" spans="1:63">
      <c r="A358" s="69" t="s">
        <v>8</v>
      </c>
      <c r="B358" s="23"/>
      <c r="C358" s="71"/>
      <c r="D358" s="71"/>
      <c r="E358" s="71"/>
      <c r="F358" s="71"/>
      <c r="G358" s="23">
        <f t="shared" ref="G358:N358" si="658">G356/B356-1</f>
        <v>1.0944881889763778</v>
      </c>
      <c r="H358" s="71">
        <f t="shared" si="658"/>
        <v>0.44660194174757284</v>
      </c>
      <c r="I358" s="71">
        <f t="shared" si="658"/>
        <v>-0.10439560439560436</v>
      </c>
      <c r="J358" s="71">
        <f t="shared" si="658"/>
        <v>-0.58285714285714285</v>
      </c>
      <c r="K358" s="71">
        <f t="shared" si="658"/>
        <v>-0.38036809815950923</v>
      </c>
      <c r="L358" s="23">
        <f t="shared" si="658"/>
        <v>-0.29949874686716793</v>
      </c>
      <c r="M358" s="71">
        <f t="shared" si="658"/>
        <v>-0.3825503355704698</v>
      </c>
      <c r="N358" s="71">
        <f t="shared" si="658"/>
        <v>-0.30061349693251538</v>
      </c>
      <c r="O358" s="71">
        <f t="shared" ref="O358:Y358" si="659">O356/J356-1</f>
        <v>-0.32191780821917804</v>
      </c>
      <c r="P358" s="71">
        <f t="shared" si="659"/>
        <v>-8.9108910891089077E-2</v>
      </c>
      <c r="Q358" s="23">
        <f t="shared" si="659"/>
        <v>-0.28980322003577819</v>
      </c>
      <c r="R358" s="71">
        <f t="shared" si="659"/>
        <v>0.44565217391304346</v>
      </c>
      <c r="S358" s="71">
        <f t="shared" si="659"/>
        <v>-0.24561403508771928</v>
      </c>
      <c r="T358" s="71">
        <f t="shared" si="659"/>
        <v>8.0808080808080884E-2</v>
      </c>
      <c r="U358" s="71">
        <f t="shared" si="659"/>
        <v>1.0869565217391353E-2</v>
      </c>
      <c r="V358" s="23">
        <f t="shared" si="659"/>
        <v>5.5415617128463435E-2</v>
      </c>
      <c r="W358" s="71">
        <f t="shared" si="659"/>
        <v>-0.13533834586466165</v>
      </c>
      <c r="X358" s="71">
        <f t="shared" si="659"/>
        <v>0.26744186046511631</v>
      </c>
      <c r="Y358" s="71">
        <f t="shared" si="659"/>
        <v>-0.21495327102803741</v>
      </c>
      <c r="Z358" s="71">
        <f t="shared" ref="Z358:AI358" si="660">Z356/U356-1</f>
        <v>-0.18279569892473113</v>
      </c>
      <c r="AA358" s="23">
        <f t="shared" si="660"/>
        <v>-8.3532219570405686E-2</v>
      </c>
      <c r="AB358" s="71">
        <f t="shared" si="660"/>
        <v>-0.42608695652173911</v>
      </c>
      <c r="AC358" s="71">
        <f t="shared" si="660"/>
        <v>-0.22935779816513757</v>
      </c>
      <c r="AD358" s="71">
        <f t="shared" si="660"/>
        <v>9.5238095238095344E-2</v>
      </c>
      <c r="AE358" s="71">
        <f t="shared" si="660"/>
        <v>2.6315789473684292E-2</v>
      </c>
      <c r="AF358" s="23">
        <f t="shared" si="660"/>
        <v>-0.16666666666666663</v>
      </c>
      <c r="AG358" s="71">
        <f t="shared" si="660"/>
        <v>0.10606060606060597</v>
      </c>
      <c r="AH358" s="71">
        <f t="shared" si="660"/>
        <v>7.1428571428571397E-2</v>
      </c>
      <c r="AI358" s="71">
        <f t="shared" si="660"/>
        <v>-8.6956521739130488E-2</v>
      </c>
      <c r="AJ358" s="71">
        <f t="shared" ref="AJ358:AS358" si="661">AJ356/AE356-1</f>
        <v>5.1282051282051322E-2</v>
      </c>
      <c r="AK358" s="23">
        <f t="shared" si="661"/>
        <v>2.8124999999999956E-2</v>
      </c>
      <c r="AL358" s="71">
        <f t="shared" si="661"/>
        <v>0</v>
      </c>
      <c r="AM358" s="71">
        <f t="shared" si="661"/>
        <v>1.2111111111111112</v>
      </c>
      <c r="AN358" s="71">
        <f t="shared" si="661"/>
        <v>8.3333333333333259E-2</v>
      </c>
      <c r="AO358" s="71">
        <f t="shared" si="661"/>
        <v>-0.20731707317073167</v>
      </c>
      <c r="AP358" s="23">
        <f t="shared" si="661"/>
        <v>0.30091185410334353</v>
      </c>
      <c r="AQ358" s="71">
        <f t="shared" si="661"/>
        <v>-0.28767123287671237</v>
      </c>
      <c r="AR358" s="71">
        <f t="shared" si="661"/>
        <v>-0.68341708542713575</v>
      </c>
      <c r="AS358" s="71">
        <f t="shared" si="661"/>
        <v>-0.29670329670329665</v>
      </c>
      <c r="AT358" s="71">
        <f t="shared" ref="AT358" si="662">AT356/AO356-1</f>
        <v>-1.538461538461533E-2</v>
      </c>
      <c r="AU358" s="23">
        <f t="shared" ref="AU358:AX358" si="663">AU356/AP356-1</f>
        <v>-0.43224299065420557</v>
      </c>
      <c r="AV358" s="71">
        <f t="shared" si="663"/>
        <v>0.40384615384615374</v>
      </c>
      <c r="AW358" s="71">
        <f t="shared" si="663"/>
        <v>0.30158730158730163</v>
      </c>
      <c r="AX358" s="71">
        <f t="shared" si="663"/>
        <v>0.21875</v>
      </c>
      <c r="AY358" s="71">
        <f t="shared" ref="AY358" si="664">AY356/AT356-1</f>
        <v>0.203125</v>
      </c>
      <c r="AZ358" s="23">
        <v>0.27572016460905346</v>
      </c>
      <c r="BA358" s="71">
        <v>-5.4794520547945202E-2</v>
      </c>
      <c r="BB358" s="71">
        <v>9.7560975609756184E-2</v>
      </c>
      <c r="BC358" s="71">
        <v>-6.4102564102564097E-2</v>
      </c>
      <c r="BD358" s="71">
        <v>1.298701298701288E-2</v>
      </c>
      <c r="BE358" s="23">
        <v>0</v>
      </c>
      <c r="BF358" s="71">
        <v>-8.6956521739130488E-2</v>
      </c>
      <c r="BG358" s="71">
        <v>-7.7777777777777724E-2</v>
      </c>
      <c r="BH358" s="71">
        <v>-1.3698630136986356E-2</v>
      </c>
      <c r="BI358" s="71">
        <v>-3.8461538461538436E-2</v>
      </c>
      <c r="BJ358" s="23">
        <v>-5.4838709677419328E-2</v>
      </c>
      <c r="BK358" s="71">
        <v>3.1746031746031855E-2</v>
      </c>
    </row>
    <row r="359" spans="1:63" s="35" customFormat="1">
      <c r="A359" s="67" t="s">
        <v>47</v>
      </c>
      <c r="B359" s="28">
        <f>B356-5</f>
        <v>376</v>
      </c>
      <c r="C359" s="68">
        <f>C356-1</f>
        <v>102</v>
      </c>
      <c r="D359" s="68">
        <f>D356-1</f>
        <v>181</v>
      </c>
      <c r="E359" s="68">
        <v>350</v>
      </c>
      <c r="F359" s="68">
        <f>G359-E359-D359-C359</f>
        <v>162</v>
      </c>
      <c r="G359" s="28">
        <f>G356-3</f>
        <v>795</v>
      </c>
      <c r="H359" s="68">
        <v>149</v>
      </c>
      <c r="I359" s="68">
        <f>I356-4</f>
        <v>159</v>
      </c>
      <c r="J359" s="68">
        <v>146</v>
      </c>
      <c r="K359" s="68">
        <f>L359-J359-I359-H359</f>
        <v>101</v>
      </c>
      <c r="L359" s="28">
        <f>L356-4</f>
        <v>555</v>
      </c>
      <c r="M359" s="68">
        <f>M356</f>
        <v>92</v>
      </c>
      <c r="N359" s="68">
        <f>N356</f>
        <v>114</v>
      </c>
      <c r="O359" s="68">
        <f>O356</f>
        <v>99</v>
      </c>
      <c r="P359" s="68">
        <f>Q359-O359-N359-M359</f>
        <v>92</v>
      </c>
      <c r="Q359" s="28">
        <f>Q356</f>
        <v>397</v>
      </c>
      <c r="R359" s="68">
        <f>R356</f>
        <v>133</v>
      </c>
      <c r="S359" s="68">
        <v>86</v>
      </c>
      <c r="T359" s="68">
        <f>T356-36</f>
        <v>71</v>
      </c>
      <c r="U359" s="68">
        <f>V359-T359-S359-R359</f>
        <v>92</v>
      </c>
      <c r="V359" s="28">
        <f>V356-1-36</f>
        <v>382</v>
      </c>
      <c r="W359" s="68">
        <f>W356</f>
        <v>115</v>
      </c>
      <c r="X359" s="68">
        <f>X356</f>
        <v>109</v>
      </c>
      <c r="Y359" s="68">
        <f>Y356</f>
        <v>84</v>
      </c>
      <c r="Z359" s="68">
        <f>AA359-Y359-X359-W359</f>
        <v>73</v>
      </c>
      <c r="AA359" s="94">
        <f>AA356-3</f>
        <v>381</v>
      </c>
      <c r="AB359" s="68">
        <f>AB356</f>
        <v>66</v>
      </c>
      <c r="AC359" s="68">
        <f>AC356</f>
        <v>84</v>
      </c>
      <c r="AD359" s="68">
        <v>88</v>
      </c>
      <c r="AE359" s="68">
        <v>77</v>
      </c>
      <c r="AF359" s="94">
        <v>315</v>
      </c>
      <c r="AG359" s="68">
        <f>AG356</f>
        <v>73</v>
      </c>
      <c r="AH359" s="68">
        <f>AH356-5</f>
        <v>85</v>
      </c>
      <c r="AI359" s="68">
        <f>AI356-1</f>
        <v>83</v>
      </c>
      <c r="AJ359" s="68">
        <f>AK359-AI359-AH359-AG359</f>
        <v>80</v>
      </c>
      <c r="AK359" s="94">
        <f>AK356-8</f>
        <v>321</v>
      </c>
      <c r="AL359" s="68">
        <f>AL356-1</f>
        <v>72</v>
      </c>
      <c r="AM359" s="68">
        <f>AM356</f>
        <v>199</v>
      </c>
      <c r="AN359" s="68">
        <f>AN356-1</f>
        <v>90</v>
      </c>
      <c r="AO359" s="68">
        <f>AP359-AN359-AM359-AL359</f>
        <v>65</v>
      </c>
      <c r="AP359" s="94">
        <f>AP356-2</f>
        <v>426</v>
      </c>
      <c r="AQ359" s="68">
        <f>AQ356-1</f>
        <v>51</v>
      </c>
      <c r="AR359" s="68">
        <f>AR356</f>
        <v>63</v>
      </c>
      <c r="AS359" s="68">
        <f>AS356</f>
        <v>64</v>
      </c>
      <c r="AT359" s="68">
        <f>AU359-AS359-AR359-AQ359</f>
        <v>63</v>
      </c>
      <c r="AU359" s="94">
        <f>AU356-2</f>
        <v>241</v>
      </c>
      <c r="AV359" s="68">
        <f>AV356</f>
        <v>73</v>
      </c>
      <c r="AW359" s="68">
        <f>AW356</f>
        <v>82</v>
      </c>
      <c r="AX359" s="68">
        <f>AX356</f>
        <v>78</v>
      </c>
      <c r="AY359" s="68">
        <f>AZ359-AX359-AW359-AV359</f>
        <v>76</v>
      </c>
      <c r="AZ359" s="94">
        <v>309</v>
      </c>
      <c r="BA359" s="68">
        <v>69</v>
      </c>
      <c r="BB359" s="68">
        <v>90</v>
      </c>
      <c r="BC359" s="68">
        <v>69</v>
      </c>
      <c r="BD359" s="68">
        <v>78</v>
      </c>
      <c r="BE359" s="94">
        <v>306</v>
      </c>
      <c r="BF359" s="68">
        <v>63</v>
      </c>
      <c r="BG359" s="68">
        <v>82</v>
      </c>
      <c r="BH359" s="68">
        <v>72</v>
      </c>
      <c r="BI359" s="68">
        <v>75</v>
      </c>
      <c r="BJ359" s="94">
        <v>292</v>
      </c>
      <c r="BK359" s="68">
        <v>65</v>
      </c>
    </row>
    <row r="360" spans="1:63">
      <c r="A360" s="69" t="s">
        <v>7</v>
      </c>
      <c r="B360" s="23"/>
      <c r="C360" s="70"/>
      <c r="D360" s="70">
        <f>D359/C359-1</f>
        <v>0.77450980392156854</v>
      </c>
      <c r="E360" s="70">
        <f>E359/D359-1</f>
        <v>0.93370165745856348</v>
      </c>
      <c r="F360" s="70">
        <f>F359/E359-1</f>
        <v>-0.53714285714285714</v>
      </c>
      <c r="G360" s="23"/>
      <c r="H360" s="70">
        <f>H359/F359-1</f>
        <v>-8.0246913580246937E-2</v>
      </c>
      <c r="I360" s="70">
        <f>I359/H359-1</f>
        <v>6.7114093959731447E-2</v>
      </c>
      <c r="J360" s="70">
        <f>J359/I359-1</f>
        <v>-8.1761006289308158E-2</v>
      </c>
      <c r="K360" s="70">
        <f>K359/J359-1</f>
        <v>-0.30821917808219179</v>
      </c>
      <c r="L360" s="23"/>
      <c r="M360" s="70">
        <f>M359/K359-1</f>
        <v>-8.9108910891089077E-2</v>
      </c>
      <c r="N360" s="70">
        <f>N359/M359-1</f>
        <v>0.23913043478260865</v>
      </c>
      <c r="O360" s="70">
        <f>O359/N359-1</f>
        <v>-0.13157894736842102</v>
      </c>
      <c r="P360" s="70">
        <f>P359/O359-1</f>
        <v>-7.0707070707070718E-2</v>
      </c>
      <c r="Q360" s="23"/>
      <c r="R360" s="70">
        <f>R359/P359-1</f>
        <v>0.44565217391304346</v>
      </c>
      <c r="S360" s="70">
        <f>S359/R359-1</f>
        <v>-0.35338345864661658</v>
      </c>
      <c r="T360" s="70">
        <f>T359/S359-1</f>
        <v>-0.17441860465116277</v>
      </c>
      <c r="U360" s="70">
        <f>U359/T359-1</f>
        <v>0.29577464788732399</v>
      </c>
      <c r="V360" s="23"/>
      <c r="W360" s="70">
        <f>W359/U359-1</f>
        <v>0.25</v>
      </c>
      <c r="X360" s="70">
        <f>X359/W359-1</f>
        <v>-5.2173913043478293E-2</v>
      </c>
      <c r="Y360" s="70">
        <f>Y359/X359-1</f>
        <v>-0.22935779816513757</v>
      </c>
      <c r="Z360" s="70">
        <f>Z359/Y359-1</f>
        <v>-0.13095238095238093</v>
      </c>
      <c r="AA360" s="23"/>
      <c r="AB360" s="70">
        <f>AB359/Z359-1</f>
        <v>-9.589041095890416E-2</v>
      </c>
      <c r="AC360" s="70">
        <f>AC359/AB359-1</f>
        <v>0.27272727272727271</v>
      </c>
      <c r="AD360" s="70">
        <f>AD359/AC359-1</f>
        <v>4.7619047619047672E-2</v>
      </c>
      <c r="AE360" s="70">
        <f>AE359/AD359-1</f>
        <v>-0.125</v>
      </c>
      <c r="AF360" s="23"/>
      <c r="AG360" s="70">
        <f>AG359/AE359-1</f>
        <v>-5.1948051948051965E-2</v>
      </c>
      <c r="AH360" s="70">
        <f>AH359/AG359-1</f>
        <v>0.16438356164383561</v>
      </c>
      <c r="AI360" s="70">
        <f>AI359/AH359-1</f>
        <v>-2.352941176470591E-2</v>
      </c>
      <c r="AJ360" s="70">
        <f>AJ359/AI359-1</f>
        <v>-3.6144578313253017E-2</v>
      </c>
      <c r="AK360" s="23"/>
      <c r="AL360" s="70">
        <f>AL359/AJ359-1</f>
        <v>-9.9999999999999978E-2</v>
      </c>
      <c r="AM360" s="70">
        <f>AM359/AL359-1</f>
        <v>1.7638888888888888</v>
      </c>
      <c r="AN360" s="70">
        <f>AN359/AM359-1</f>
        <v>-0.54773869346733672</v>
      </c>
      <c r="AO360" s="70">
        <f>AO359/AN359-1</f>
        <v>-0.27777777777777779</v>
      </c>
      <c r="AP360" s="23"/>
      <c r="AQ360" s="70">
        <f>AQ359/AO359-1</f>
        <v>-0.2153846153846154</v>
      </c>
      <c r="AR360" s="70">
        <f>AR359/AQ359-1</f>
        <v>0.23529411764705888</v>
      </c>
      <c r="AS360" s="70">
        <f>AS359/AR359-1</f>
        <v>1.5873015873015817E-2</v>
      </c>
      <c r="AT360" s="70">
        <f>AT359/AS359-1</f>
        <v>-1.5625E-2</v>
      </c>
      <c r="AU360" s="23"/>
      <c r="AV360" s="70">
        <f>AV359/AT359-1</f>
        <v>0.15873015873015883</v>
      </c>
      <c r="AW360" s="70">
        <f>AW359/AV359-1</f>
        <v>0.12328767123287676</v>
      </c>
      <c r="AX360" s="70">
        <f>AX359/AW359-1</f>
        <v>-4.8780487804878092E-2</v>
      </c>
      <c r="AY360" s="70">
        <f>AY359/AX359-1</f>
        <v>-2.5641025641025661E-2</v>
      </c>
      <c r="AZ360" s="23"/>
      <c r="BA360" s="70">
        <v>-9.210526315789469E-2</v>
      </c>
      <c r="BB360" s="70">
        <v>0.30434782608695654</v>
      </c>
      <c r="BC360" s="70">
        <v>-0.23333333333333328</v>
      </c>
      <c r="BD360" s="70">
        <v>0.13043478260869557</v>
      </c>
      <c r="BE360" s="23"/>
      <c r="BF360" s="70">
        <v>-0.19230769230769229</v>
      </c>
      <c r="BG360" s="70">
        <v>0.30158730158730163</v>
      </c>
      <c r="BH360" s="70">
        <v>-0.12195121951219512</v>
      </c>
      <c r="BI360" s="70">
        <v>4.1666666666666741E-2</v>
      </c>
      <c r="BJ360" s="23"/>
      <c r="BK360" s="70">
        <v>-0.1333333333333333</v>
      </c>
    </row>
    <row r="361" spans="1:63">
      <c r="A361" s="69" t="s">
        <v>8</v>
      </c>
      <c r="B361" s="23"/>
      <c r="C361" s="71"/>
      <c r="D361" s="71"/>
      <c r="E361" s="71"/>
      <c r="F361" s="71"/>
      <c r="G361" s="23">
        <f t="shared" ref="G361:N361" si="665">G359/B359-1</f>
        <v>1.1143617021276597</v>
      </c>
      <c r="H361" s="71">
        <f t="shared" si="665"/>
        <v>0.46078431372549011</v>
      </c>
      <c r="I361" s="71">
        <f t="shared" si="665"/>
        <v>-0.12154696132596687</v>
      </c>
      <c r="J361" s="71">
        <f t="shared" si="665"/>
        <v>-0.58285714285714285</v>
      </c>
      <c r="K361" s="71">
        <f t="shared" si="665"/>
        <v>-0.37654320987654322</v>
      </c>
      <c r="L361" s="23">
        <f t="shared" si="665"/>
        <v>-0.30188679245283023</v>
      </c>
      <c r="M361" s="71">
        <f t="shared" si="665"/>
        <v>-0.3825503355704698</v>
      </c>
      <c r="N361" s="71">
        <f t="shared" si="665"/>
        <v>-0.28301886792452835</v>
      </c>
      <c r="O361" s="71">
        <f t="shared" ref="O361:Y361" si="666">O359/J359-1</f>
        <v>-0.32191780821917804</v>
      </c>
      <c r="P361" s="71">
        <f t="shared" si="666"/>
        <v>-8.9108910891089077E-2</v>
      </c>
      <c r="Q361" s="23">
        <f t="shared" si="666"/>
        <v>-0.28468468468468466</v>
      </c>
      <c r="R361" s="71">
        <f t="shared" si="666"/>
        <v>0.44565217391304346</v>
      </c>
      <c r="S361" s="71">
        <f t="shared" si="666"/>
        <v>-0.24561403508771928</v>
      </c>
      <c r="T361" s="71">
        <f t="shared" si="666"/>
        <v>-0.28282828282828287</v>
      </c>
      <c r="U361" s="71">
        <f t="shared" si="666"/>
        <v>0</v>
      </c>
      <c r="V361" s="23">
        <f t="shared" si="666"/>
        <v>-3.7783375314861423E-2</v>
      </c>
      <c r="W361" s="71">
        <f t="shared" si="666"/>
        <v>-0.13533834586466165</v>
      </c>
      <c r="X361" s="71">
        <f t="shared" si="666"/>
        <v>0.26744186046511631</v>
      </c>
      <c r="Y361" s="71">
        <f t="shared" si="666"/>
        <v>0.18309859154929575</v>
      </c>
      <c r="Z361" s="71">
        <f t="shared" ref="Z361:AI361" si="667">Z359/U359-1</f>
        <v>-0.20652173913043481</v>
      </c>
      <c r="AA361" s="23">
        <f t="shared" si="667"/>
        <v>-2.6178010471203939E-3</v>
      </c>
      <c r="AB361" s="71">
        <f t="shared" si="667"/>
        <v>-0.42608695652173911</v>
      </c>
      <c r="AC361" s="71">
        <f t="shared" si="667"/>
        <v>-0.22935779816513757</v>
      </c>
      <c r="AD361" s="71">
        <f t="shared" si="667"/>
        <v>4.7619047619047672E-2</v>
      </c>
      <c r="AE361" s="71">
        <f t="shared" si="667"/>
        <v>5.4794520547945202E-2</v>
      </c>
      <c r="AF361" s="23">
        <f t="shared" si="667"/>
        <v>-0.17322834645669294</v>
      </c>
      <c r="AG361" s="71">
        <f t="shared" si="667"/>
        <v>0.10606060606060597</v>
      </c>
      <c r="AH361" s="71">
        <f t="shared" si="667"/>
        <v>1.1904761904761862E-2</v>
      </c>
      <c r="AI361" s="71">
        <f t="shared" si="667"/>
        <v>-5.6818181818181768E-2</v>
      </c>
      <c r="AJ361" s="71">
        <f t="shared" ref="AJ361:AS361" si="668">AJ359/AE359-1</f>
        <v>3.8961038961038863E-2</v>
      </c>
      <c r="AK361" s="23">
        <f t="shared" si="668"/>
        <v>1.904761904761898E-2</v>
      </c>
      <c r="AL361" s="71">
        <f t="shared" si="668"/>
        <v>-1.3698630136986356E-2</v>
      </c>
      <c r="AM361" s="71">
        <f t="shared" si="668"/>
        <v>1.3411764705882354</v>
      </c>
      <c r="AN361" s="71">
        <f t="shared" si="668"/>
        <v>8.43373493975903E-2</v>
      </c>
      <c r="AO361" s="71">
        <f t="shared" si="668"/>
        <v>-0.1875</v>
      </c>
      <c r="AP361" s="23">
        <f t="shared" si="668"/>
        <v>0.32710280373831768</v>
      </c>
      <c r="AQ361" s="71">
        <f t="shared" si="668"/>
        <v>-0.29166666666666663</v>
      </c>
      <c r="AR361" s="71">
        <f t="shared" si="668"/>
        <v>-0.68341708542713575</v>
      </c>
      <c r="AS361" s="71">
        <f t="shared" si="668"/>
        <v>-0.28888888888888886</v>
      </c>
      <c r="AT361" s="71">
        <f t="shared" ref="AT361" si="669">AT359/AO359-1</f>
        <v>-3.0769230769230771E-2</v>
      </c>
      <c r="AU361" s="23">
        <f t="shared" ref="AU361:AX361" si="670">AU359/AP359-1</f>
        <v>-0.43427230046948362</v>
      </c>
      <c r="AV361" s="71">
        <f t="shared" si="670"/>
        <v>0.43137254901960786</v>
      </c>
      <c r="AW361" s="71">
        <f t="shared" si="670"/>
        <v>0.30158730158730163</v>
      </c>
      <c r="AX361" s="71">
        <f t="shared" si="670"/>
        <v>0.21875</v>
      </c>
      <c r="AY361" s="71">
        <f t="shared" ref="AY361" si="671">AY359/AT359-1</f>
        <v>0.20634920634920628</v>
      </c>
      <c r="AZ361" s="23">
        <v>0.28215767634854783</v>
      </c>
      <c r="BA361" s="71">
        <v>-5.4794520547945202E-2</v>
      </c>
      <c r="BB361" s="71">
        <v>9.7560975609756184E-2</v>
      </c>
      <c r="BC361" s="71">
        <v>-0.11538461538461542</v>
      </c>
      <c r="BD361" s="71">
        <v>2.6315789473684292E-2</v>
      </c>
      <c r="BE361" s="23">
        <v>-9.7087378640776656E-3</v>
      </c>
      <c r="BF361" s="71">
        <v>-8.6956521739130488E-2</v>
      </c>
      <c r="BG361" s="71">
        <v>-8.8888888888888906E-2</v>
      </c>
      <c r="BH361" s="71">
        <v>4.3478260869565188E-2</v>
      </c>
      <c r="BI361" s="71">
        <v>-3.8461538461538436E-2</v>
      </c>
      <c r="BJ361" s="23">
        <v>-4.5751633986928053E-2</v>
      </c>
      <c r="BK361" s="71">
        <v>3.1746031746031855E-2</v>
      </c>
    </row>
    <row r="362" spans="1:63">
      <c r="A362" s="67" t="s">
        <v>241</v>
      </c>
      <c r="B362" s="23"/>
      <c r="C362" s="71"/>
      <c r="D362" s="71"/>
      <c r="E362" s="71"/>
      <c r="F362" s="71"/>
      <c r="G362" s="23"/>
      <c r="H362" s="71"/>
      <c r="I362" s="71"/>
      <c r="J362" s="71"/>
      <c r="K362" s="71"/>
      <c r="L362" s="23"/>
      <c r="M362" s="71"/>
      <c r="N362" s="71"/>
      <c r="O362" s="71"/>
      <c r="P362" s="71"/>
      <c r="Q362" s="23"/>
      <c r="R362" s="71"/>
      <c r="S362" s="71"/>
      <c r="T362" s="71"/>
      <c r="U362" s="71"/>
      <c r="V362" s="23"/>
      <c r="W362" s="71"/>
      <c r="X362" s="71"/>
      <c r="Y362" s="71"/>
      <c r="Z362" s="71"/>
      <c r="AA362" s="23"/>
      <c r="AB362" s="71"/>
      <c r="AC362" s="71"/>
      <c r="AD362" s="71"/>
      <c r="AE362" s="71"/>
      <c r="AF362" s="23"/>
      <c r="AG362" s="71"/>
      <c r="AH362" s="71"/>
      <c r="AI362" s="71"/>
      <c r="AJ362" s="71"/>
      <c r="AK362" s="23"/>
      <c r="AL362" s="71"/>
      <c r="AM362" s="71"/>
      <c r="AN362" s="71"/>
      <c r="AO362" s="71"/>
      <c r="AP362" s="23"/>
      <c r="AQ362" s="71"/>
      <c r="AR362" s="71"/>
      <c r="AS362" s="71"/>
      <c r="AT362" s="71"/>
      <c r="AU362" s="23"/>
      <c r="AV362" s="71"/>
      <c r="AW362" s="71"/>
      <c r="AX362" s="71"/>
      <c r="AY362" s="71"/>
      <c r="AZ362" s="23"/>
      <c r="BA362" s="68">
        <v>75</v>
      </c>
      <c r="BB362" s="68">
        <v>50</v>
      </c>
      <c r="BC362" s="68">
        <v>64</v>
      </c>
      <c r="BD362" s="68">
        <v>70</v>
      </c>
      <c r="BE362" s="94">
        <v>259</v>
      </c>
      <c r="BF362" s="68">
        <v>69</v>
      </c>
      <c r="BG362" s="68">
        <v>46</v>
      </c>
      <c r="BH362" s="68">
        <v>76</v>
      </c>
      <c r="BI362" s="68">
        <v>51</v>
      </c>
      <c r="BJ362" s="94">
        <v>242</v>
      </c>
      <c r="BK362" s="68">
        <v>67</v>
      </c>
    </row>
    <row r="363" spans="1:63" s="35" customFormat="1" ht="18" customHeight="1">
      <c r="A363" s="67" t="s">
        <v>13</v>
      </c>
      <c r="B363" s="28">
        <f>B350-B359</f>
        <v>852</v>
      </c>
      <c r="C363" s="75">
        <f>C350-C359</f>
        <v>154</v>
      </c>
      <c r="D363" s="75">
        <f>D350-D359</f>
        <v>163</v>
      </c>
      <c r="E363" s="75">
        <f>E350-E359</f>
        <v>29</v>
      </c>
      <c r="F363" s="68">
        <f>G363-E363-D363-C363</f>
        <v>136</v>
      </c>
      <c r="G363" s="28">
        <f>G350-G359</f>
        <v>482</v>
      </c>
      <c r="H363" s="75">
        <f>H350-H359</f>
        <v>226</v>
      </c>
      <c r="I363" s="75">
        <f>I350-I359</f>
        <v>131</v>
      </c>
      <c r="J363" s="75">
        <f>J350-J359</f>
        <v>249</v>
      </c>
      <c r="K363" s="68">
        <v>-45</v>
      </c>
      <c r="L363" s="28">
        <f>L350-L359</f>
        <v>560</v>
      </c>
      <c r="M363" s="75">
        <f>M350-M359</f>
        <v>258</v>
      </c>
      <c r="N363" s="75">
        <f>N350-N359</f>
        <v>264</v>
      </c>
      <c r="O363" s="75">
        <f>O350-O359</f>
        <v>301</v>
      </c>
      <c r="P363" s="68">
        <f>Q363-O363-N363-M363</f>
        <v>-1</v>
      </c>
      <c r="Q363" s="94">
        <f>Q350-Q359</f>
        <v>822</v>
      </c>
      <c r="R363" s="75">
        <f>R350-R359</f>
        <v>175</v>
      </c>
      <c r="S363" s="75">
        <f>S350-S359</f>
        <v>15</v>
      </c>
      <c r="T363" s="75">
        <f>T350-T359</f>
        <v>97</v>
      </c>
      <c r="U363" s="68">
        <f>V363-T363-S363-R363</f>
        <v>131</v>
      </c>
      <c r="V363" s="94">
        <f>V350-V359</f>
        <v>418</v>
      </c>
      <c r="W363" s="75">
        <f>W350-W359</f>
        <v>179</v>
      </c>
      <c r="X363" s="75">
        <f>X350-X359</f>
        <v>447</v>
      </c>
      <c r="Y363" s="75">
        <f>Y350-Y359</f>
        <v>406</v>
      </c>
      <c r="Z363" s="68">
        <f>AA363-Y363-X363-W363</f>
        <v>315</v>
      </c>
      <c r="AA363" s="94">
        <f>AA350-AA359</f>
        <v>1347</v>
      </c>
      <c r="AB363" s="75">
        <f>AB350-AB359</f>
        <v>288</v>
      </c>
      <c r="AC363" s="75">
        <f>AC350-AC359</f>
        <v>384</v>
      </c>
      <c r="AD363" s="75">
        <f>AD350-AD359</f>
        <v>354</v>
      </c>
      <c r="AE363" s="68">
        <f>AF363-AD363-AC363-AB363</f>
        <v>250</v>
      </c>
      <c r="AF363" s="94">
        <f>AF350-AF359</f>
        <v>1276</v>
      </c>
      <c r="AG363" s="75">
        <f>AG350-AG359</f>
        <v>276</v>
      </c>
      <c r="AH363" s="75">
        <f>AH350-AH359</f>
        <v>335</v>
      </c>
      <c r="AI363" s="75">
        <f>AI350-AI359</f>
        <v>203</v>
      </c>
      <c r="AJ363" s="68">
        <f>AK363-AI363-AH363-AG363</f>
        <v>78</v>
      </c>
      <c r="AK363" s="94">
        <f>AK350-AK359</f>
        <v>892</v>
      </c>
      <c r="AL363" s="75">
        <f>AL350-AL359</f>
        <v>279</v>
      </c>
      <c r="AM363" s="75">
        <f>AM350-AM359</f>
        <v>3</v>
      </c>
      <c r="AN363" s="75">
        <f>AN350-AN359</f>
        <v>73</v>
      </c>
      <c r="AO363" s="68">
        <f>AP363-AN363-AM363-AL363</f>
        <v>-51</v>
      </c>
      <c r="AP363" s="94">
        <f>AP350-AP359</f>
        <v>304</v>
      </c>
      <c r="AQ363" s="75">
        <f>AQ350-AQ359</f>
        <v>134</v>
      </c>
      <c r="AR363" s="75">
        <f>AR350-AR359</f>
        <v>117</v>
      </c>
      <c r="AS363" s="75">
        <f>AS350-AS359</f>
        <v>88</v>
      </c>
      <c r="AT363" s="68">
        <f>AU363-AS363-AR363-AQ363</f>
        <v>2</v>
      </c>
      <c r="AU363" s="94">
        <f>AU350-AU359</f>
        <v>341</v>
      </c>
      <c r="AV363" s="75">
        <f>AV350-AV359</f>
        <v>44</v>
      </c>
      <c r="AW363" s="75">
        <f>AW350-AW359</f>
        <v>111</v>
      </c>
      <c r="AX363" s="75">
        <f>AX350-AX359</f>
        <v>131</v>
      </c>
      <c r="AY363" s="68">
        <f>AZ363-AX363-AW363-AV363</f>
        <v>10</v>
      </c>
      <c r="AZ363" s="94">
        <v>296</v>
      </c>
      <c r="BA363" s="75">
        <v>95</v>
      </c>
      <c r="BB363" s="75">
        <v>41</v>
      </c>
      <c r="BC363" s="75">
        <v>61</v>
      </c>
      <c r="BD363" s="68">
        <v>8</v>
      </c>
      <c r="BE363" s="94">
        <v>205</v>
      </c>
      <c r="BF363" s="75">
        <v>63</v>
      </c>
      <c r="BG363" s="75">
        <v>8</v>
      </c>
      <c r="BH363" s="75">
        <v>52</v>
      </c>
      <c r="BI363" s="68">
        <v>20</v>
      </c>
      <c r="BJ363" s="94">
        <v>143</v>
      </c>
      <c r="BK363" s="75">
        <v>32</v>
      </c>
    </row>
    <row r="364" spans="1:63">
      <c r="A364" s="69" t="s">
        <v>7</v>
      </c>
      <c r="B364" s="23"/>
      <c r="C364" s="70"/>
      <c r="D364" s="70">
        <f>D363/C363-1</f>
        <v>5.8441558441558517E-2</v>
      </c>
      <c r="E364" s="70">
        <f>E363/D363-1</f>
        <v>-0.82208588957055218</v>
      </c>
      <c r="F364" s="70">
        <f>F363/E363-1</f>
        <v>3.6896551724137927</v>
      </c>
      <c r="G364" s="23"/>
      <c r="H364" s="70">
        <f>H363/F363-1</f>
        <v>0.66176470588235303</v>
      </c>
      <c r="I364" s="70">
        <f>I363/H363-1</f>
        <v>-0.42035398230088494</v>
      </c>
      <c r="J364" s="70">
        <f>J363/I363-1</f>
        <v>0.9007633587786259</v>
      </c>
      <c r="K364" s="70">
        <f>K363/J363-1</f>
        <v>-1.1807228915662651</v>
      </c>
      <c r="L364" s="23"/>
      <c r="M364" s="70">
        <f>M363/K363-1</f>
        <v>-6.7333333333333334</v>
      </c>
      <c r="N364" s="70">
        <f>N363/M363-1</f>
        <v>2.3255813953488413E-2</v>
      </c>
      <c r="O364" s="70">
        <f>O363/N363-1</f>
        <v>0.14015151515151514</v>
      </c>
      <c r="P364" s="70">
        <f>P363/O363-1</f>
        <v>-1.0033222591362125</v>
      </c>
      <c r="Q364" s="23"/>
      <c r="R364" s="115" t="s">
        <v>39</v>
      </c>
      <c r="S364" s="70">
        <f>S363/R363-1</f>
        <v>-0.91428571428571426</v>
      </c>
      <c r="T364" s="70">
        <f>T363/S363-1</f>
        <v>5.4666666666666668</v>
      </c>
      <c r="U364" s="70">
        <f>U363/T363-1</f>
        <v>0.35051546391752586</v>
      </c>
      <c r="V364" s="23"/>
      <c r="W364" s="70">
        <f>W363/U363-1</f>
        <v>0.36641221374045796</v>
      </c>
      <c r="X364" s="70">
        <f>X363/W363-1</f>
        <v>1.4972067039106145</v>
      </c>
      <c r="Y364" s="70">
        <f>Y363/X363-1</f>
        <v>-9.1722595078299829E-2</v>
      </c>
      <c r="Z364" s="70">
        <f>Z363/Y363-1</f>
        <v>-0.22413793103448276</v>
      </c>
      <c r="AA364" s="23"/>
      <c r="AB364" s="70">
        <f>AB363/Z363-1</f>
        <v>-8.5714285714285743E-2</v>
      </c>
      <c r="AC364" s="70">
        <f>AC363/AB363-1</f>
        <v>0.33333333333333326</v>
      </c>
      <c r="AD364" s="70">
        <f>AD363/AC363-1</f>
        <v>-7.8125E-2</v>
      </c>
      <c r="AE364" s="70">
        <f>AE363/AD363-1</f>
        <v>-0.29378531073446323</v>
      </c>
      <c r="AF364" s="23"/>
      <c r="AG364" s="70">
        <f>AG363/AE363-1</f>
        <v>0.10400000000000009</v>
      </c>
      <c r="AH364" s="70">
        <f>AH363/AG363-1</f>
        <v>0.21376811594202905</v>
      </c>
      <c r="AI364" s="70">
        <f>AI363/AH363-1</f>
        <v>-0.39402985074626862</v>
      </c>
      <c r="AJ364" s="70">
        <f>AJ363/AI363-1</f>
        <v>-0.61576354679802958</v>
      </c>
      <c r="AK364" s="23"/>
      <c r="AL364" s="70">
        <f>AL363/AJ363-1</f>
        <v>2.5769230769230771</v>
      </c>
      <c r="AM364" s="70">
        <f>AM363/AL363-1</f>
        <v>-0.989247311827957</v>
      </c>
      <c r="AN364" s="70">
        <f>AN363/AM363-1</f>
        <v>23.333333333333332</v>
      </c>
      <c r="AO364" s="83" t="s">
        <v>39</v>
      </c>
      <c r="AP364" s="23"/>
      <c r="AQ364" s="83" t="s">
        <v>39</v>
      </c>
      <c r="AR364" s="70">
        <f>AR363/AQ363-1</f>
        <v>-0.12686567164179108</v>
      </c>
      <c r="AS364" s="70">
        <f>AS363/AR363-1</f>
        <v>-0.24786324786324787</v>
      </c>
      <c r="AT364" s="70">
        <f>AT363/AS363-1</f>
        <v>-0.97727272727272729</v>
      </c>
      <c r="AU364" s="23"/>
      <c r="AV364" s="70">
        <f>AV363/AT363-1</f>
        <v>21</v>
      </c>
      <c r="AW364" s="70">
        <f>AW363/AV363-1</f>
        <v>1.5227272727272729</v>
      </c>
      <c r="AX364" s="70">
        <f>AX363/AW363-1</f>
        <v>0.18018018018018012</v>
      </c>
      <c r="AY364" s="70">
        <f>AY363/AX363-1</f>
        <v>-0.92366412213740456</v>
      </c>
      <c r="AZ364" s="23"/>
      <c r="BA364" s="70">
        <v>8.5</v>
      </c>
      <c r="BB364" s="70">
        <v>-0.56842105263157894</v>
      </c>
      <c r="BC364" s="70">
        <v>0.48780487804878048</v>
      </c>
      <c r="BD364" s="70">
        <v>-0.86885245901639341</v>
      </c>
      <c r="BE364" s="23"/>
      <c r="BF364" s="70">
        <v>6.875</v>
      </c>
      <c r="BG364" s="70">
        <v>-0.87301587301587302</v>
      </c>
      <c r="BH364" s="70">
        <v>5.5</v>
      </c>
      <c r="BI364" s="70">
        <v>-0.61538461538461542</v>
      </c>
      <c r="BJ364" s="23"/>
      <c r="BK364" s="70">
        <v>0.60000000000000009</v>
      </c>
    </row>
    <row r="365" spans="1:63">
      <c r="A365" s="69" t="s">
        <v>8</v>
      </c>
      <c r="B365" s="23"/>
      <c r="C365" s="71"/>
      <c r="D365" s="71"/>
      <c r="E365" s="71"/>
      <c r="F365" s="71"/>
      <c r="G365" s="23">
        <f t="shared" ref="G365:N365" si="672">G363/B363-1</f>
        <v>-0.43427230046948362</v>
      </c>
      <c r="H365" s="71">
        <f t="shared" si="672"/>
        <v>0.46753246753246747</v>
      </c>
      <c r="I365" s="71">
        <f t="shared" si="672"/>
        <v>-0.19631901840490795</v>
      </c>
      <c r="J365" s="71">
        <f t="shared" si="672"/>
        <v>7.5862068965517242</v>
      </c>
      <c r="K365" s="71">
        <f t="shared" si="672"/>
        <v>-1.3308823529411764</v>
      </c>
      <c r="L365" s="23">
        <f t="shared" si="672"/>
        <v>0.16182572614107893</v>
      </c>
      <c r="M365" s="71">
        <f t="shared" si="672"/>
        <v>0.1415929203539823</v>
      </c>
      <c r="N365" s="71">
        <f t="shared" si="672"/>
        <v>1.0152671755725189</v>
      </c>
      <c r="O365" s="71">
        <f t="shared" ref="O365:Y365" si="673">O363/J363-1</f>
        <v>0.20883534136546178</v>
      </c>
      <c r="P365" s="71">
        <f t="shared" si="673"/>
        <v>-0.97777777777777775</v>
      </c>
      <c r="Q365" s="23">
        <f t="shared" si="673"/>
        <v>0.46785714285714275</v>
      </c>
      <c r="R365" s="71">
        <f t="shared" si="673"/>
        <v>-0.32170542635658916</v>
      </c>
      <c r="S365" s="71">
        <f t="shared" si="673"/>
        <v>-0.94318181818181823</v>
      </c>
      <c r="T365" s="71">
        <f t="shared" si="673"/>
        <v>-0.67774086378737541</v>
      </c>
      <c r="U365" s="81" t="s">
        <v>39</v>
      </c>
      <c r="V365" s="23">
        <f t="shared" si="673"/>
        <v>-0.4914841849148418</v>
      </c>
      <c r="W365" s="71">
        <f t="shared" si="673"/>
        <v>2.2857142857142909E-2</v>
      </c>
      <c r="X365" s="71">
        <f t="shared" si="673"/>
        <v>28.8</v>
      </c>
      <c r="Y365" s="71">
        <f t="shared" si="673"/>
        <v>3.1855670103092786</v>
      </c>
      <c r="Z365" s="71">
        <f t="shared" ref="Z365:AI365" si="674">Z363/U363-1</f>
        <v>1.4045801526717558</v>
      </c>
      <c r="AA365" s="23">
        <f t="shared" si="674"/>
        <v>2.2224880382775121</v>
      </c>
      <c r="AB365" s="71">
        <f t="shared" si="674"/>
        <v>0.6089385474860336</v>
      </c>
      <c r="AC365" s="71">
        <f t="shared" si="674"/>
        <v>-0.14093959731543626</v>
      </c>
      <c r="AD365" s="71">
        <f t="shared" si="674"/>
        <v>-0.1280788177339901</v>
      </c>
      <c r="AE365" s="71">
        <f t="shared" si="674"/>
        <v>-0.20634920634920639</v>
      </c>
      <c r="AF365" s="23">
        <f t="shared" si="674"/>
        <v>-5.2709725315515987E-2</v>
      </c>
      <c r="AG365" s="71">
        <f t="shared" si="674"/>
        <v>-4.166666666666663E-2</v>
      </c>
      <c r="AH365" s="71">
        <f t="shared" si="674"/>
        <v>-0.12760416666666663</v>
      </c>
      <c r="AI365" s="71">
        <f t="shared" si="674"/>
        <v>-0.42655367231638419</v>
      </c>
      <c r="AJ365" s="71">
        <f t="shared" ref="AJ365:AT365" si="675">AJ363/AE363-1</f>
        <v>-0.68799999999999994</v>
      </c>
      <c r="AK365" s="23">
        <f t="shared" si="675"/>
        <v>-0.30094043887147337</v>
      </c>
      <c r="AL365" s="71">
        <f t="shared" si="675"/>
        <v>1.0869565217391353E-2</v>
      </c>
      <c r="AM365" s="71">
        <f t="shared" si="675"/>
        <v>-0.991044776119403</v>
      </c>
      <c r="AN365" s="71">
        <f t="shared" si="675"/>
        <v>-0.64039408866995073</v>
      </c>
      <c r="AO365" s="83" t="s">
        <v>39</v>
      </c>
      <c r="AP365" s="23">
        <f t="shared" si="675"/>
        <v>-0.65919282511210764</v>
      </c>
      <c r="AQ365" s="71">
        <f t="shared" si="675"/>
        <v>-0.51971326164874554</v>
      </c>
      <c r="AR365" s="71">
        <f t="shared" si="675"/>
        <v>38</v>
      </c>
      <c r="AS365" s="71">
        <f t="shared" si="675"/>
        <v>0.20547945205479445</v>
      </c>
      <c r="AT365" s="71">
        <f t="shared" si="675"/>
        <v>-1.0392156862745099</v>
      </c>
      <c r="AU365" s="23">
        <f t="shared" ref="AU365:AY365" si="676">AU363/AP363-1</f>
        <v>0.12171052631578938</v>
      </c>
      <c r="AV365" s="71">
        <f t="shared" si="676"/>
        <v>-0.67164179104477606</v>
      </c>
      <c r="AW365" s="71">
        <f t="shared" si="676"/>
        <v>-5.1282051282051322E-2</v>
      </c>
      <c r="AX365" s="71">
        <f t="shared" si="676"/>
        <v>0.48863636363636354</v>
      </c>
      <c r="AY365" s="71">
        <f t="shared" si="676"/>
        <v>4</v>
      </c>
      <c r="AZ365" s="23">
        <v>-0.13196480938416422</v>
      </c>
      <c r="BA365" s="71">
        <v>1.1590909090909092</v>
      </c>
      <c r="BB365" s="71">
        <v>-0.63063063063063063</v>
      </c>
      <c r="BC365" s="71">
        <v>-0.53435114503816794</v>
      </c>
      <c r="BD365" s="71">
        <v>-0.19999999999999996</v>
      </c>
      <c r="BE365" s="23">
        <v>-0.30743243243243246</v>
      </c>
      <c r="BF365" s="71">
        <v>-0.33684210526315794</v>
      </c>
      <c r="BG365" s="71">
        <v>-0.80487804878048785</v>
      </c>
      <c r="BH365" s="71">
        <v>-0.14754098360655743</v>
      </c>
      <c r="BI365" s="71">
        <v>1.5</v>
      </c>
      <c r="BJ365" s="23">
        <v>-0.30243902439024395</v>
      </c>
      <c r="BK365" s="71">
        <v>-0.49206349206349209</v>
      </c>
    </row>
    <row r="366" spans="1:63">
      <c r="A366" s="49" t="s">
        <v>19</v>
      </c>
      <c r="B366" s="39"/>
      <c r="C366" s="51"/>
      <c r="D366" s="51"/>
      <c r="E366" s="51"/>
      <c r="F366" s="51"/>
      <c r="G366" s="39"/>
      <c r="H366" s="51"/>
      <c r="I366" s="51"/>
      <c r="J366" s="51"/>
      <c r="K366" s="51"/>
      <c r="L366" s="39"/>
      <c r="M366" s="51"/>
      <c r="N366" s="51"/>
      <c r="O366" s="51"/>
      <c r="P366" s="51"/>
      <c r="Q366" s="39"/>
      <c r="R366" s="51"/>
      <c r="S366" s="51"/>
      <c r="T366" s="51"/>
      <c r="U366" s="51"/>
      <c r="V366" s="39"/>
      <c r="W366" s="51"/>
      <c r="X366" s="51"/>
      <c r="Y366" s="51"/>
      <c r="Z366" s="51"/>
      <c r="AA366" s="39"/>
      <c r="AB366" s="51"/>
      <c r="AC366" s="51"/>
      <c r="AD366" s="51"/>
      <c r="AE366" s="51"/>
      <c r="AF366" s="39"/>
      <c r="AG366" s="51"/>
      <c r="AH366" s="51"/>
      <c r="AI366" s="51"/>
      <c r="AJ366" s="51"/>
      <c r="AK366" s="39"/>
      <c r="AL366" s="51"/>
      <c r="AM366" s="51"/>
      <c r="AN366" s="51"/>
      <c r="AO366" s="51"/>
      <c r="AP366" s="39"/>
      <c r="AQ366" s="51"/>
      <c r="AR366" s="51"/>
      <c r="AS366" s="51"/>
      <c r="AT366" s="51"/>
      <c r="AU366" s="39"/>
      <c r="AV366" s="51"/>
      <c r="AW366" s="51"/>
      <c r="AX366" s="51"/>
      <c r="AY366" s="51"/>
      <c r="AZ366" s="39"/>
      <c r="BA366" s="51"/>
      <c r="BB366" s="51"/>
      <c r="BC366" s="51"/>
      <c r="BD366" s="51"/>
      <c r="BE366" s="39"/>
      <c r="BF366" s="51"/>
      <c r="BG366" s="51"/>
      <c r="BH366" s="51"/>
      <c r="BI366" s="51"/>
      <c r="BJ366" s="39"/>
      <c r="BK366" s="51"/>
    </row>
    <row r="367" spans="1:63" s="35" customFormat="1">
      <c r="A367" s="67" t="s">
        <v>28</v>
      </c>
      <c r="B367" s="54">
        <f t="shared" ref="B367:AG367" si="677">B338/B301</f>
        <v>0.17186165670367207</v>
      </c>
      <c r="C367" s="76">
        <f t="shared" si="677"/>
        <v>0.18329070758738278</v>
      </c>
      <c r="D367" s="76">
        <f t="shared" si="677"/>
        <v>0.22390572390572391</v>
      </c>
      <c r="E367" s="76">
        <f t="shared" si="677"/>
        <v>0.2413509060955519</v>
      </c>
      <c r="F367" s="76">
        <f t="shared" si="677"/>
        <v>0.13971880492091387</v>
      </c>
      <c r="G367" s="54">
        <f t="shared" si="677"/>
        <v>0.19796308084022915</v>
      </c>
      <c r="H367" s="76">
        <f t="shared" si="677"/>
        <v>0.23873517786561266</v>
      </c>
      <c r="I367" s="76">
        <f t="shared" si="677"/>
        <v>0.23848439821693909</v>
      </c>
      <c r="J367" s="76">
        <f t="shared" si="677"/>
        <v>0.23032069970845481</v>
      </c>
      <c r="K367" s="76">
        <f t="shared" si="677"/>
        <v>0.18018664752333094</v>
      </c>
      <c r="L367" s="54">
        <f t="shared" si="677"/>
        <v>0.22135416666666666</v>
      </c>
      <c r="M367" s="76">
        <f t="shared" si="677"/>
        <v>0.23115577889447236</v>
      </c>
      <c r="N367" s="76">
        <f t="shared" si="677"/>
        <v>0.25332400279916023</v>
      </c>
      <c r="O367" s="76">
        <f t="shared" si="677"/>
        <v>0.24687933425797504</v>
      </c>
      <c r="P367" s="76">
        <f t="shared" si="677"/>
        <v>0.23365122615803816</v>
      </c>
      <c r="Q367" s="54">
        <f t="shared" si="677"/>
        <v>0.24127704117236567</v>
      </c>
      <c r="R367" s="76">
        <f t="shared" si="677"/>
        <v>0.27517241379310342</v>
      </c>
      <c r="S367" s="76">
        <f t="shared" si="677"/>
        <v>0.2482614742698192</v>
      </c>
      <c r="T367" s="76">
        <f t="shared" si="677"/>
        <v>0.2406755805770584</v>
      </c>
      <c r="U367" s="76">
        <f t="shared" si="677"/>
        <v>0.21146085552865213</v>
      </c>
      <c r="V367" s="54">
        <f t="shared" si="677"/>
        <v>0.24513338139870222</v>
      </c>
      <c r="W367" s="76">
        <f t="shared" si="677"/>
        <v>0.21463022508038584</v>
      </c>
      <c r="X367" s="76">
        <f t="shared" si="677"/>
        <v>0.22560975609756098</v>
      </c>
      <c r="Y367" s="76">
        <f t="shared" si="677"/>
        <v>0.18970448045757865</v>
      </c>
      <c r="Z367" s="76">
        <f t="shared" si="677"/>
        <v>0.16260954235637781</v>
      </c>
      <c r="AA367" s="54">
        <f t="shared" si="677"/>
        <v>0.19964189794091317</v>
      </c>
      <c r="AB367" s="76">
        <f t="shared" si="677"/>
        <v>0.18049792531120332</v>
      </c>
      <c r="AC367" s="76">
        <f t="shared" si="677"/>
        <v>0.20327868852459016</v>
      </c>
      <c r="AD367" s="76">
        <f t="shared" si="677"/>
        <v>0.18162618796198521</v>
      </c>
      <c r="AE367" s="76">
        <f t="shared" si="677"/>
        <v>7.7314343845371308E-2</v>
      </c>
      <c r="AF367" s="54">
        <f t="shared" si="677"/>
        <v>0.15962194801785246</v>
      </c>
      <c r="AG367" s="76">
        <f t="shared" si="677"/>
        <v>0.13740458015267176</v>
      </c>
      <c r="AH367" s="76">
        <f t="shared" ref="AH367:AY367" si="678">AH338/AH301</f>
        <v>0.15065243179122181</v>
      </c>
      <c r="AI367" s="76">
        <f t="shared" si="678"/>
        <v>0.14805825242718446</v>
      </c>
      <c r="AJ367" s="76">
        <f t="shared" si="678"/>
        <v>8.862275449101796E-2</v>
      </c>
      <c r="AK367" s="54">
        <f t="shared" si="678"/>
        <v>0.1313249488154431</v>
      </c>
      <c r="AL367" s="76">
        <f t="shared" si="678"/>
        <v>4.4016506189821183E-2</v>
      </c>
      <c r="AM367" s="76">
        <f t="shared" si="678"/>
        <v>7.3509015256588067E-2</v>
      </c>
      <c r="AN367" s="76">
        <f t="shared" si="678"/>
        <v>8.3676268861454045E-2</v>
      </c>
      <c r="AO367" s="76">
        <f t="shared" si="678"/>
        <v>1.5427769985974754E-2</v>
      </c>
      <c r="AP367" s="54">
        <f t="shared" si="678"/>
        <v>5.4325259515570934E-2</v>
      </c>
      <c r="AQ367" s="76">
        <f t="shared" si="678"/>
        <v>1.4903129657228018E-3</v>
      </c>
      <c r="AR367" s="76">
        <f t="shared" si="678"/>
        <v>1.2158054711246201E-2</v>
      </c>
      <c r="AS367" s="76">
        <f t="shared" si="678"/>
        <v>4.1602465331278891E-2</v>
      </c>
      <c r="AT367" s="76">
        <f t="shared" si="678"/>
        <v>-6.1349693251533744E-3</v>
      </c>
      <c r="AU367" s="54">
        <f t="shared" si="678"/>
        <v>1.2167300380228136E-2</v>
      </c>
      <c r="AV367" s="76">
        <f t="shared" si="678"/>
        <v>7.9617834394904458E-3</v>
      </c>
      <c r="AW367" s="76">
        <f t="shared" si="678"/>
        <v>4.746835443037975E-2</v>
      </c>
      <c r="AX367" s="76">
        <f t="shared" si="678"/>
        <v>3.4645669291338582E-2</v>
      </c>
      <c r="AY367" s="76">
        <f t="shared" si="678"/>
        <v>2.3041474654377881E-2</v>
      </c>
      <c r="AZ367" s="54">
        <v>2.8279654359780047E-2</v>
      </c>
      <c r="BA367" s="76">
        <v>3.2310177705977385E-3</v>
      </c>
      <c r="BB367" s="76">
        <v>3.3222591362126247E-3</v>
      </c>
      <c r="BC367" s="76">
        <v>-3.3112582781456954E-3</v>
      </c>
      <c r="BD367" s="76">
        <v>-6.4724919093851136E-3</v>
      </c>
      <c r="BE367" s="54">
        <v>-8.1866557511256651E-4</v>
      </c>
      <c r="BF367" s="76">
        <v>-1.7301038062283738E-2</v>
      </c>
      <c r="BG367" s="76">
        <v>-1.4035087719298246E-2</v>
      </c>
      <c r="BH367" s="76">
        <v>2.6143790849673203E-2</v>
      </c>
      <c r="BI367" s="76">
        <v>-0.16112956810631229</v>
      </c>
      <c r="BJ367" s="54">
        <v>-4.1913632514817951E-2</v>
      </c>
      <c r="BK367" s="76">
        <v>-2.2687609075043629E-2</v>
      </c>
    </row>
    <row r="368" spans="1:63" s="35" customFormat="1">
      <c r="A368" s="67" t="s">
        <v>36</v>
      </c>
      <c r="B368" s="54">
        <f t="shared" ref="B368:AG368" si="679">B341/B301</f>
        <v>0.1248932536293766</v>
      </c>
      <c r="C368" s="76">
        <f t="shared" si="679"/>
        <v>0.13895993179880647</v>
      </c>
      <c r="D368" s="76">
        <f t="shared" si="679"/>
        <v>0.15151515151515152</v>
      </c>
      <c r="E368" s="76">
        <f t="shared" si="679"/>
        <v>0.17380560131795716</v>
      </c>
      <c r="F368" s="76">
        <f t="shared" si="679"/>
        <v>0.11247803163444639</v>
      </c>
      <c r="G368" s="54">
        <f t="shared" si="679"/>
        <v>0.14470613197538723</v>
      </c>
      <c r="H368" s="76">
        <f t="shared" si="679"/>
        <v>0.18181818181818182</v>
      </c>
      <c r="I368" s="76">
        <f t="shared" si="679"/>
        <v>0.17310549777117384</v>
      </c>
      <c r="J368" s="76">
        <f t="shared" si="679"/>
        <v>0.1683673469387755</v>
      </c>
      <c r="K368" s="76">
        <f t="shared" si="679"/>
        <v>0.12993539124192391</v>
      </c>
      <c r="L368" s="54">
        <f t="shared" si="679"/>
        <v>0.16276041666666666</v>
      </c>
      <c r="M368" s="76">
        <f t="shared" si="679"/>
        <v>0.18592964824120603</v>
      </c>
      <c r="N368" s="76">
        <f t="shared" si="679"/>
        <v>0.1868439468159552</v>
      </c>
      <c r="O368" s="76">
        <f t="shared" si="679"/>
        <v>0.16574202496532595</v>
      </c>
      <c r="P368" s="76">
        <f t="shared" si="679"/>
        <v>0.18256130790190736</v>
      </c>
      <c r="Q368" s="54">
        <f t="shared" si="679"/>
        <v>0.18021632937892534</v>
      </c>
      <c r="R368" s="76">
        <f t="shared" si="679"/>
        <v>0.21379310344827587</v>
      </c>
      <c r="S368" s="76">
        <f t="shared" si="679"/>
        <v>0.19401947148817802</v>
      </c>
      <c r="T368" s="76">
        <f t="shared" si="679"/>
        <v>0.18508092892329345</v>
      </c>
      <c r="U368" s="76">
        <f t="shared" si="679"/>
        <v>0.16464891041162227</v>
      </c>
      <c r="V368" s="54">
        <f t="shared" si="679"/>
        <v>0.19033886085075702</v>
      </c>
      <c r="W368" s="76">
        <f t="shared" si="679"/>
        <v>0.17363344051446947</v>
      </c>
      <c r="X368" s="76">
        <f t="shared" si="679"/>
        <v>0.16898954703832753</v>
      </c>
      <c r="Y368" s="76">
        <f t="shared" si="679"/>
        <v>0.14680648236415633</v>
      </c>
      <c r="Z368" s="76">
        <f t="shared" si="679"/>
        <v>0.13047711781888996</v>
      </c>
      <c r="AA368" s="54">
        <f t="shared" si="679"/>
        <v>0.15622202327663384</v>
      </c>
      <c r="AB368" s="76">
        <f t="shared" si="679"/>
        <v>0.15871369294605808</v>
      </c>
      <c r="AC368" s="76">
        <f t="shared" si="679"/>
        <v>0.17595628415300546</v>
      </c>
      <c r="AD368" s="76">
        <f t="shared" si="679"/>
        <v>0.14783526927138332</v>
      </c>
      <c r="AE368" s="76">
        <f t="shared" si="679"/>
        <v>6.8158697863682602E-2</v>
      </c>
      <c r="AF368" s="54">
        <f t="shared" si="679"/>
        <v>0.1367813074297716</v>
      </c>
      <c r="AG368" s="76">
        <f t="shared" si="679"/>
        <v>0.11777535441657579</v>
      </c>
      <c r="AH368" s="76">
        <f t="shared" ref="AH368:AY368" si="680">AH341/AH301</f>
        <v>0.12574139976275209</v>
      </c>
      <c r="AI368" s="76">
        <f t="shared" si="680"/>
        <v>0.12135922330097088</v>
      </c>
      <c r="AJ368" s="76">
        <f t="shared" si="680"/>
        <v>7.0658682634730532E-2</v>
      </c>
      <c r="AK368" s="54">
        <f t="shared" si="680"/>
        <v>0.1090962269669494</v>
      </c>
      <c r="AL368" s="76">
        <f t="shared" si="680"/>
        <v>4.951856946354883E-2</v>
      </c>
      <c r="AM368" s="76">
        <f t="shared" si="680"/>
        <v>6.7961165048543687E-2</v>
      </c>
      <c r="AN368" s="76">
        <f t="shared" si="680"/>
        <v>7.5445816186556922E-2</v>
      </c>
      <c r="AO368" s="76">
        <f t="shared" si="680"/>
        <v>1.5427769985974754E-2</v>
      </c>
      <c r="AP368" s="54">
        <f t="shared" si="680"/>
        <v>5.2249134948096888E-2</v>
      </c>
      <c r="AQ368" s="76">
        <f t="shared" si="680"/>
        <v>1.9374068554396422E-2</v>
      </c>
      <c r="AR368" s="76">
        <f t="shared" si="680"/>
        <v>1.9756838905775075E-2</v>
      </c>
      <c r="AS368" s="76">
        <f t="shared" si="680"/>
        <v>4.930662557781202E-2</v>
      </c>
      <c r="AT368" s="76">
        <f t="shared" si="680"/>
        <v>4.601226993865031E-3</v>
      </c>
      <c r="AU368" s="54">
        <f t="shared" si="680"/>
        <v>2.3193916349809884E-2</v>
      </c>
      <c r="AV368" s="76">
        <f t="shared" si="680"/>
        <v>2.5477707006369428E-2</v>
      </c>
      <c r="AW368" s="76">
        <f t="shared" si="680"/>
        <v>5.3797468354430382E-2</v>
      </c>
      <c r="AX368" s="76">
        <f t="shared" si="680"/>
        <v>3.7795275590551181E-2</v>
      </c>
      <c r="AY368" s="76">
        <f t="shared" si="680"/>
        <v>3.2258064516129031E-2</v>
      </c>
      <c r="AZ368" s="54">
        <v>3.7313432835820892E-2</v>
      </c>
      <c r="BA368" s="76">
        <v>1.4539579967689823E-2</v>
      </c>
      <c r="BB368" s="76">
        <v>1.1627906976744186E-2</v>
      </c>
      <c r="BC368" s="76">
        <v>9.9337748344370865E-3</v>
      </c>
      <c r="BD368" s="76">
        <v>3.2362459546925568E-3</v>
      </c>
      <c r="BE368" s="54">
        <v>9.8239869013507976E-3</v>
      </c>
      <c r="BF368" s="76">
        <v>3.4602076124567475E-3</v>
      </c>
      <c r="BG368" s="76">
        <v>3.5087719298245615E-3</v>
      </c>
      <c r="BH368" s="76">
        <v>2.9411764705882353E-2</v>
      </c>
      <c r="BI368" s="76">
        <v>-0.11461794019933555</v>
      </c>
      <c r="BJ368" s="54">
        <v>-1.9898391193903471E-2</v>
      </c>
      <c r="BK368" s="76">
        <v>-3.4904013961605585E-3</v>
      </c>
    </row>
    <row r="369" spans="1:63" s="35" customFormat="1">
      <c r="A369" s="67" t="s">
        <v>10</v>
      </c>
      <c r="B369" s="54">
        <f t="shared" ref="B369:M369" si="681">B344/B301</f>
        <v>0.27412467976088811</v>
      </c>
      <c r="C369" s="76">
        <f t="shared" si="681"/>
        <v>0.29326513213981242</v>
      </c>
      <c r="D369" s="76">
        <f t="shared" si="681"/>
        <v>0.33333333333333331</v>
      </c>
      <c r="E369" s="76">
        <f t="shared" si="681"/>
        <v>0.34761120263591433</v>
      </c>
      <c r="F369" s="76">
        <f t="shared" si="681"/>
        <v>0.25834797891036909</v>
      </c>
      <c r="G369" s="54">
        <f t="shared" si="681"/>
        <v>0.30893273923191172</v>
      </c>
      <c r="H369" s="76">
        <f t="shared" si="681"/>
        <v>0.34861660079051382</v>
      </c>
      <c r="I369" s="76">
        <f t="shared" si="681"/>
        <v>0.35066864784546803</v>
      </c>
      <c r="J369" s="76">
        <f t="shared" si="681"/>
        <v>0.3432944606413994</v>
      </c>
      <c r="K369" s="76">
        <f t="shared" si="681"/>
        <v>0.29432878679109836</v>
      </c>
      <c r="L369" s="54">
        <f t="shared" si="681"/>
        <v>0.33370535714285715</v>
      </c>
      <c r="M369" s="76">
        <f t="shared" si="681"/>
        <v>0.33811916726489588</v>
      </c>
      <c r="N369" s="76">
        <v>0.35799999999999998</v>
      </c>
      <c r="O369" s="76">
        <f t="shared" ref="O369:Z369" si="682">O344/O301</f>
        <v>0.35020804438280168</v>
      </c>
      <c r="P369" s="76">
        <f t="shared" si="682"/>
        <v>0.33855585831062668</v>
      </c>
      <c r="Q369" s="54">
        <f t="shared" si="682"/>
        <v>0.34612700628053034</v>
      </c>
      <c r="R369" s="76">
        <f t="shared" si="682"/>
        <v>0.37172413793103448</v>
      </c>
      <c r="S369" s="76">
        <f t="shared" si="682"/>
        <v>0.34770514603616132</v>
      </c>
      <c r="T369" s="76">
        <f t="shared" si="682"/>
        <v>0.33849401829697395</v>
      </c>
      <c r="U369" s="76">
        <f t="shared" si="682"/>
        <v>0.32364810330912025</v>
      </c>
      <c r="V369" s="54">
        <f t="shared" si="682"/>
        <v>0.34625090122566693</v>
      </c>
      <c r="W369" s="76">
        <f t="shared" si="682"/>
        <v>0.32315112540192925</v>
      </c>
      <c r="X369" s="76">
        <f t="shared" si="682"/>
        <v>0.34494773519163763</v>
      </c>
      <c r="Y369" s="76">
        <f t="shared" si="682"/>
        <v>0.31363203050524308</v>
      </c>
      <c r="Z369" s="76">
        <f t="shared" si="682"/>
        <v>0.28821811100292111</v>
      </c>
      <c r="AA369" s="54">
        <v>0.31900000000000001</v>
      </c>
      <c r="AB369" s="76">
        <f t="shared" ref="AB369:AY369" si="683">AB344/AB301</f>
        <v>0.30601659751037347</v>
      </c>
      <c r="AC369" s="76">
        <f t="shared" si="683"/>
        <v>0.32677595628415301</v>
      </c>
      <c r="AD369" s="76">
        <f t="shared" si="683"/>
        <v>0.29883843717001057</v>
      </c>
      <c r="AE369" s="76">
        <f t="shared" si="683"/>
        <v>0.19125127161749747</v>
      </c>
      <c r="AF369" s="54">
        <f t="shared" si="683"/>
        <v>0.27960094512995537</v>
      </c>
      <c r="AG369" s="76">
        <f t="shared" si="683"/>
        <v>0.25299890948745912</v>
      </c>
      <c r="AH369" s="76">
        <f t="shared" si="683"/>
        <v>0.27520759193357058</v>
      </c>
      <c r="AI369" s="76">
        <f t="shared" si="683"/>
        <v>0.2803398058252427</v>
      </c>
      <c r="AJ369" s="76">
        <f t="shared" si="683"/>
        <v>0.22035928143712574</v>
      </c>
      <c r="AK369" s="54">
        <f t="shared" si="683"/>
        <v>0.25709271716876281</v>
      </c>
      <c r="AL369" s="76">
        <f t="shared" si="683"/>
        <v>0.18707015130674004</v>
      </c>
      <c r="AM369" s="76">
        <f t="shared" si="683"/>
        <v>0.22052704576976423</v>
      </c>
      <c r="AN369" s="76">
        <f t="shared" si="683"/>
        <v>0.23319615912208505</v>
      </c>
      <c r="AO369" s="76">
        <f t="shared" si="683"/>
        <v>0.15568022440392706</v>
      </c>
      <c r="AP369" s="54">
        <f t="shared" si="683"/>
        <v>0.19930795847750865</v>
      </c>
      <c r="AQ369" s="76">
        <f t="shared" si="683"/>
        <v>0.15648286140089418</v>
      </c>
      <c r="AR369" s="76">
        <f t="shared" si="683"/>
        <v>0.15653495440729484</v>
      </c>
      <c r="AS369" s="76">
        <f t="shared" si="683"/>
        <v>0.18335901386748846</v>
      </c>
      <c r="AT369" s="76">
        <f t="shared" si="683"/>
        <v>0.1303680981595092</v>
      </c>
      <c r="AU369" s="54">
        <f t="shared" si="683"/>
        <v>0.15665399239543726</v>
      </c>
      <c r="AV369" s="76">
        <f t="shared" si="683"/>
        <v>0.15764331210191082</v>
      </c>
      <c r="AW369" s="76">
        <f t="shared" si="683"/>
        <v>0.20411392405063292</v>
      </c>
      <c r="AX369" s="76">
        <f t="shared" si="683"/>
        <v>0.1921259842519685</v>
      </c>
      <c r="AY369" s="76">
        <f t="shared" si="683"/>
        <v>0.16129032258064516</v>
      </c>
      <c r="AZ369" s="54">
        <v>0.17871170463472114</v>
      </c>
      <c r="BA369" s="76">
        <v>0.25848142164781907</v>
      </c>
      <c r="BB369" s="76">
        <v>0.26800000000000002</v>
      </c>
      <c r="BC369" s="76">
        <v>0.26400000000000001</v>
      </c>
      <c r="BD369" s="76">
        <v>0.27993527508090615</v>
      </c>
      <c r="BE369" s="54">
        <v>0.26800000000000002</v>
      </c>
      <c r="BF369" s="76">
        <v>0.25432525951557095</v>
      </c>
      <c r="BG369" s="76">
        <v>0.25900000000000001</v>
      </c>
      <c r="BH369" s="76">
        <v>0.2826797385620915</v>
      </c>
      <c r="BI369" s="76">
        <v>0.10963455149501661</v>
      </c>
      <c r="BJ369" s="54">
        <v>0.22607959356477561</v>
      </c>
      <c r="BK369" s="76">
        <v>0.23909249563699825</v>
      </c>
    </row>
    <row r="370" spans="1:63" s="35" customFormat="1">
      <c r="A370" s="67" t="s">
        <v>18</v>
      </c>
      <c r="B370" s="54">
        <f t="shared" ref="B370:AG370" si="684">B356/B301</f>
        <v>8.1340734415029883E-2</v>
      </c>
      <c r="C370" s="76">
        <f t="shared" si="684"/>
        <v>8.780903665814152E-2</v>
      </c>
      <c r="D370" s="76">
        <f t="shared" si="684"/>
        <v>0.1531986531986532</v>
      </c>
      <c r="E370" s="76">
        <f t="shared" si="684"/>
        <v>0.28830313014827019</v>
      </c>
      <c r="F370" s="76">
        <f t="shared" si="684"/>
        <v>0.14323374340949033</v>
      </c>
      <c r="G370" s="54">
        <f t="shared" si="684"/>
        <v>0.16931890515595163</v>
      </c>
      <c r="H370" s="76">
        <f t="shared" si="684"/>
        <v>0.11778656126482213</v>
      </c>
      <c r="I370" s="76">
        <f t="shared" si="684"/>
        <v>0.12109955423476969</v>
      </c>
      <c r="J370" s="76">
        <f t="shared" si="684"/>
        <v>0.10641399416909621</v>
      </c>
      <c r="K370" s="76">
        <f t="shared" si="684"/>
        <v>7.2505384063173015E-2</v>
      </c>
      <c r="L370" s="54">
        <f t="shared" si="684"/>
        <v>0.10398065476190477</v>
      </c>
      <c r="M370" s="76">
        <f t="shared" si="684"/>
        <v>6.604450825556353E-2</v>
      </c>
      <c r="N370" s="76">
        <f t="shared" si="684"/>
        <v>7.9776067179846047E-2</v>
      </c>
      <c r="O370" s="76">
        <f t="shared" si="684"/>
        <v>6.8654646324549234E-2</v>
      </c>
      <c r="P370" s="76">
        <f t="shared" si="684"/>
        <v>6.2670299727520432E-2</v>
      </c>
      <c r="Q370" s="54">
        <f t="shared" si="684"/>
        <v>6.9260293091416611E-2</v>
      </c>
      <c r="R370" s="76">
        <f t="shared" si="684"/>
        <v>9.1724137931034483E-2</v>
      </c>
      <c r="S370" s="76">
        <f t="shared" si="684"/>
        <v>5.9805285118219746E-2</v>
      </c>
      <c r="T370" s="76">
        <f t="shared" si="684"/>
        <v>7.5299085151301903E-2</v>
      </c>
      <c r="U370" s="76">
        <f t="shared" si="684"/>
        <v>7.5060532687651338E-2</v>
      </c>
      <c r="V370" s="54">
        <f t="shared" si="684"/>
        <v>7.5522710886806052E-2</v>
      </c>
      <c r="W370" s="76">
        <f t="shared" si="684"/>
        <v>9.2443729903536984E-2</v>
      </c>
      <c r="X370" s="76">
        <f t="shared" si="684"/>
        <v>9.4947735191637628E-2</v>
      </c>
      <c r="Y370" s="76">
        <f t="shared" si="684"/>
        <v>8.0076263107721646E-2</v>
      </c>
      <c r="Z370" s="76">
        <f t="shared" si="684"/>
        <v>7.4001947419668937E-2</v>
      </c>
      <c r="AA370" s="54">
        <f t="shared" si="684"/>
        <v>8.5944494180841546E-2</v>
      </c>
      <c r="AB370" s="76">
        <f t="shared" si="684"/>
        <v>6.8464730290456438E-2</v>
      </c>
      <c r="AC370" s="76">
        <f t="shared" si="684"/>
        <v>9.1803278688524587E-2</v>
      </c>
      <c r="AD370" s="76">
        <f t="shared" si="684"/>
        <v>9.714889123548047E-2</v>
      </c>
      <c r="AE370" s="76">
        <f t="shared" si="684"/>
        <v>7.9348931841302137E-2</v>
      </c>
      <c r="AF370" s="54">
        <f t="shared" si="684"/>
        <v>8.4011551588343392E-2</v>
      </c>
      <c r="AG370" s="76">
        <f t="shared" si="684"/>
        <v>7.9607415485278082E-2</v>
      </c>
      <c r="AH370" s="76">
        <f t="shared" ref="AH370:AY370" si="685">AH356/AH301</f>
        <v>0.10676156583629894</v>
      </c>
      <c r="AI370" s="76">
        <f t="shared" si="685"/>
        <v>0.10194174757281553</v>
      </c>
      <c r="AJ370" s="76">
        <f t="shared" si="685"/>
        <v>9.8203592814371257E-2</v>
      </c>
      <c r="AK370" s="54">
        <f t="shared" si="685"/>
        <v>9.6226966949400403E-2</v>
      </c>
      <c r="AL370" s="76">
        <f t="shared" si="685"/>
        <v>0.10041265474552957</v>
      </c>
      <c r="AM370" s="76">
        <f t="shared" si="685"/>
        <v>0.27600554785020803</v>
      </c>
      <c r="AN370" s="76">
        <f t="shared" si="685"/>
        <v>0.12482853223593965</v>
      </c>
      <c r="AO370" s="76">
        <f t="shared" si="685"/>
        <v>9.1164095371669002E-2</v>
      </c>
      <c r="AP370" s="54">
        <f t="shared" si="685"/>
        <v>0.14809688581314878</v>
      </c>
      <c r="AQ370" s="76">
        <f t="shared" si="685"/>
        <v>7.7496274217585689E-2</v>
      </c>
      <c r="AR370" s="76">
        <f t="shared" si="685"/>
        <v>9.5744680851063829E-2</v>
      </c>
      <c r="AS370" s="76">
        <f t="shared" si="685"/>
        <v>9.861325115562404E-2</v>
      </c>
      <c r="AT370" s="76">
        <f t="shared" si="685"/>
        <v>9.815950920245399E-2</v>
      </c>
      <c r="AU370" s="54">
        <f t="shared" si="685"/>
        <v>9.2395437262357411E-2</v>
      </c>
      <c r="AV370" s="76">
        <f t="shared" si="685"/>
        <v>0.11624203821656051</v>
      </c>
      <c r="AW370" s="76">
        <f t="shared" si="685"/>
        <v>0.12974683544303797</v>
      </c>
      <c r="AX370" s="76">
        <f t="shared" si="685"/>
        <v>0.12283464566929134</v>
      </c>
      <c r="AY370" s="76">
        <f t="shared" si="685"/>
        <v>0.11827956989247312</v>
      </c>
      <c r="AZ370" s="54">
        <v>0.12175962293794187</v>
      </c>
      <c r="BA370" s="76">
        <v>0.11147011308562198</v>
      </c>
      <c r="BB370" s="76">
        <v>0.14950166112956811</v>
      </c>
      <c r="BC370" s="76">
        <v>0.12086092715231789</v>
      </c>
      <c r="BD370" s="76">
        <v>0.12621359223300971</v>
      </c>
      <c r="BE370" s="54">
        <v>0.12689316414244781</v>
      </c>
      <c r="BF370" s="76">
        <v>0.10899653979238755</v>
      </c>
      <c r="BG370" s="76">
        <v>0.14561403508771931</v>
      </c>
      <c r="BH370" s="76">
        <v>0.11764705882352941</v>
      </c>
      <c r="BI370" s="76">
        <v>0.12458471760797342</v>
      </c>
      <c r="BJ370" s="54">
        <v>0.12404741744284505</v>
      </c>
      <c r="BK370" s="76">
        <v>0.11343804537521815</v>
      </c>
    </row>
    <row r="371" spans="1:63" ht="12.75" hidden="1" customHeight="1">
      <c r="A371" s="67" t="s">
        <v>135</v>
      </c>
      <c r="B371" s="119" t="s">
        <v>40</v>
      </c>
      <c r="C371" s="78" t="s">
        <v>48</v>
      </c>
      <c r="D371" s="78" t="s">
        <v>48</v>
      </c>
      <c r="E371" s="78" t="s">
        <v>48</v>
      </c>
      <c r="F371" s="78" t="s">
        <v>48</v>
      </c>
      <c r="G371" s="119" t="s">
        <v>40</v>
      </c>
      <c r="H371" s="78" t="s">
        <v>48</v>
      </c>
      <c r="I371" s="78" t="s">
        <v>48</v>
      </c>
      <c r="J371" s="78" t="s">
        <v>48</v>
      </c>
      <c r="K371" s="78" t="s">
        <v>48</v>
      </c>
      <c r="L371" s="36">
        <v>51</v>
      </c>
      <c r="M371" s="78" t="s">
        <v>48</v>
      </c>
      <c r="N371" s="78" t="s">
        <v>48</v>
      </c>
      <c r="O371" s="78" t="s">
        <v>48</v>
      </c>
      <c r="P371" s="78" t="s">
        <v>48</v>
      </c>
      <c r="Q371" s="36">
        <v>53</v>
      </c>
      <c r="R371" s="68">
        <v>20</v>
      </c>
      <c r="S371" s="68">
        <v>18</v>
      </c>
      <c r="T371" s="68">
        <v>20</v>
      </c>
      <c r="U371" s="68">
        <f>V371-R371-S371-T371</f>
        <v>18</v>
      </c>
      <c r="V371" s="36">
        <v>76</v>
      </c>
      <c r="W371" s="68">
        <v>28</v>
      </c>
      <c r="X371" s="68">
        <v>26</v>
      </c>
      <c r="Y371" s="68">
        <v>16</v>
      </c>
      <c r="Z371" s="68">
        <f>AA371-W371-X371-Y371</f>
        <v>11</v>
      </c>
      <c r="AA371" s="36">
        <v>81</v>
      </c>
      <c r="AB371" s="68">
        <v>7</v>
      </c>
      <c r="AC371" s="68">
        <v>6</v>
      </c>
      <c r="AD371" s="68">
        <v>6</v>
      </c>
      <c r="AE371" s="68">
        <f>AF371-AB371-AC371-AD371</f>
        <v>7</v>
      </c>
      <c r="AF371" s="36">
        <v>26</v>
      </c>
      <c r="AG371" s="68">
        <v>0</v>
      </c>
      <c r="AH371" s="74">
        <v>0</v>
      </c>
      <c r="AI371" s="74">
        <v>0</v>
      </c>
      <c r="AJ371" s="74">
        <v>0</v>
      </c>
      <c r="AK371" s="61"/>
      <c r="AL371" s="74"/>
      <c r="AM371" s="74"/>
      <c r="AN371" s="74"/>
      <c r="AO371" s="74"/>
      <c r="AP371" s="61"/>
      <c r="AQ371" s="74"/>
      <c r="AR371" s="74"/>
      <c r="AS371" s="74"/>
      <c r="AT371" s="74"/>
      <c r="AU371" s="61"/>
      <c r="AV371" s="74"/>
      <c r="AW371" s="74"/>
      <c r="AX371" s="74"/>
      <c r="AY371" s="74"/>
      <c r="AZ371" s="61"/>
      <c r="BA371" s="74"/>
      <c r="BB371" s="74"/>
      <c r="BC371" s="74"/>
      <c r="BD371" s="74"/>
      <c r="BE371" s="61"/>
      <c r="BF371" s="74"/>
      <c r="BG371" s="74"/>
      <c r="BH371" s="74"/>
      <c r="BI371" s="74"/>
      <c r="BJ371" s="61"/>
      <c r="BK371" s="74"/>
    </row>
    <row r="372" spans="1:63" ht="12.75" hidden="1" customHeight="1">
      <c r="A372" s="69" t="s">
        <v>7</v>
      </c>
      <c r="B372" s="23"/>
      <c r="C372" s="70"/>
      <c r="D372" s="70"/>
      <c r="E372" s="70"/>
      <c r="F372" s="70"/>
      <c r="G372" s="23"/>
      <c r="H372" s="70"/>
      <c r="I372" s="70"/>
      <c r="J372" s="70"/>
      <c r="K372" s="70"/>
      <c r="L372" s="23"/>
      <c r="M372" s="70"/>
      <c r="N372" s="70"/>
      <c r="O372" s="70"/>
      <c r="P372" s="70"/>
      <c r="Q372" s="23"/>
      <c r="R372" s="70"/>
      <c r="S372" s="70">
        <f>S371/R371-1</f>
        <v>-9.9999999999999978E-2</v>
      </c>
      <c r="T372" s="70">
        <f>T371/S371-1</f>
        <v>0.11111111111111116</v>
      </c>
      <c r="U372" s="70">
        <f>U371/T371-1</f>
        <v>-9.9999999999999978E-2</v>
      </c>
      <c r="V372" s="23"/>
      <c r="W372" s="70">
        <f>W371/U371-1</f>
        <v>0.55555555555555558</v>
      </c>
      <c r="X372" s="70">
        <f>X371/W371-1</f>
        <v>-7.1428571428571397E-2</v>
      </c>
      <c r="Y372" s="70">
        <f>Y371/X371-1</f>
        <v>-0.38461538461538458</v>
      </c>
      <c r="Z372" s="70">
        <f>Z371/Y371-1</f>
        <v>-0.3125</v>
      </c>
      <c r="AA372" s="23"/>
      <c r="AB372" s="70">
        <f>AB371/Z371-1</f>
        <v>-0.36363636363636365</v>
      </c>
      <c r="AC372" s="70">
        <f>AC371/AB371-1</f>
        <v>-0.1428571428571429</v>
      </c>
      <c r="AD372" s="70">
        <f>AD371/AC371-1</f>
        <v>0</v>
      </c>
      <c r="AE372" s="70">
        <f>AE371/AD371-1</f>
        <v>0.16666666666666674</v>
      </c>
      <c r="AF372" s="23"/>
      <c r="AG372" s="83" t="s">
        <v>39</v>
      </c>
      <c r="AH372" s="83" t="s">
        <v>39</v>
      </c>
      <c r="AI372" s="83" t="s">
        <v>39</v>
      </c>
      <c r="AJ372" s="83" t="s">
        <v>39</v>
      </c>
      <c r="AK372" s="23"/>
      <c r="AL372" s="83"/>
      <c r="AM372" s="83"/>
      <c r="AN372" s="83"/>
      <c r="AO372" s="83"/>
      <c r="AP372" s="23"/>
      <c r="AQ372" s="83"/>
      <c r="AR372" s="83"/>
      <c r="AS372" s="83"/>
      <c r="AT372" s="83"/>
      <c r="AU372" s="23"/>
      <c r="AV372" s="83"/>
      <c r="AW372" s="83"/>
      <c r="AX372" s="83"/>
      <c r="AY372" s="83"/>
      <c r="AZ372" s="23"/>
      <c r="BA372" s="83"/>
      <c r="BB372" s="83"/>
      <c r="BC372" s="83"/>
      <c r="BD372" s="83"/>
      <c r="BE372" s="23"/>
      <c r="BF372" s="83"/>
      <c r="BG372" s="83"/>
      <c r="BH372" s="83"/>
      <c r="BI372" s="83"/>
      <c r="BJ372" s="23"/>
      <c r="BK372" s="83"/>
    </row>
    <row r="373" spans="1:63" ht="11.65" hidden="1" customHeight="1">
      <c r="A373" s="69" t="s">
        <v>8</v>
      </c>
      <c r="B373" s="23"/>
      <c r="C373" s="71"/>
      <c r="D373" s="71"/>
      <c r="E373" s="71"/>
      <c r="F373" s="71"/>
      <c r="G373" s="23"/>
      <c r="H373" s="71"/>
      <c r="I373" s="71"/>
      <c r="J373" s="71"/>
      <c r="K373" s="71"/>
      <c r="L373" s="23"/>
      <c r="M373" s="71"/>
      <c r="N373" s="71"/>
      <c r="O373" s="71"/>
      <c r="P373" s="71"/>
      <c r="Q373" s="23">
        <f>Q371/L371-1</f>
        <v>3.9215686274509887E-2</v>
      </c>
      <c r="R373" s="71"/>
      <c r="S373" s="71"/>
      <c r="T373" s="71"/>
      <c r="U373" s="71"/>
      <c r="V373" s="23">
        <f t="shared" ref="V373" si="686">V371/Q371-1</f>
        <v>0.4339622641509433</v>
      </c>
      <c r="W373" s="71">
        <f t="shared" ref="W373" si="687">W371/R371-1</f>
        <v>0.39999999999999991</v>
      </c>
      <c r="X373" s="71">
        <f t="shared" ref="X373" si="688">X371/S371-1</f>
        <v>0.44444444444444442</v>
      </c>
      <c r="Y373" s="71">
        <f t="shared" ref="Y373" si="689">Y371/T371-1</f>
        <v>-0.19999999999999996</v>
      </c>
      <c r="Z373" s="71">
        <f t="shared" ref="Z373" si="690">Z371/U371-1</f>
        <v>-0.38888888888888884</v>
      </c>
      <c r="AA373" s="23">
        <f t="shared" ref="AA373" si="691">AA371/V371-1</f>
        <v>6.578947368421062E-2</v>
      </c>
      <c r="AB373" s="71">
        <f t="shared" ref="AB373" si="692">AB371/W371-1</f>
        <v>-0.75</v>
      </c>
      <c r="AC373" s="71">
        <f t="shared" ref="AC373" si="693">AC371/X371-1</f>
        <v>-0.76923076923076916</v>
      </c>
      <c r="AD373" s="71">
        <f t="shared" ref="AD373" si="694">AD371/Y371-1</f>
        <v>-0.625</v>
      </c>
      <c r="AE373" s="71">
        <f>AE371/Z371-1</f>
        <v>-0.36363636363636365</v>
      </c>
      <c r="AF373" s="23">
        <f>AF371/AA371-1</f>
        <v>-0.67901234567901236</v>
      </c>
      <c r="AG373" s="83" t="s">
        <v>39</v>
      </c>
      <c r="AH373" s="83" t="s">
        <v>39</v>
      </c>
      <c r="AI373" s="83" t="s">
        <v>39</v>
      </c>
      <c r="AJ373" s="83" t="s">
        <v>39</v>
      </c>
      <c r="AK373" s="90"/>
      <c r="AL373" s="83"/>
      <c r="AM373" s="83"/>
      <c r="AN373" s="83"/>
      <c r="AO373" s="83"/>
      <c r="AP373" s="90"/>
      <c r="AQ373" s="83"/>
      <c r="AR373" s="83"/>
      <c r="AS373" s="83"/>
      <c r="AT373" s="83"/>
      <c r="AU373" s="90"/>
      <c r="AV373" s="83"/>
      <c r="AW373" s="83"/>
      <c r="AX373" s="83"/>
      <c r="AY373" s="83"/>
      <c r="AZ373" s="90"/>
      <c r="BA373" s="83"/>
      <c r="BB373" s="83"/>
      <c r="BC373" s="83"/>
      <c r="BD373" s="83"/>
      <c r="BE373" s="90"/>
      <c r="BF373" s="83"/>
      <c r="BG373" s="83"/>
      <c r="BH373" s="83"/>
      <c r="BI373" s="83"/>
      <c r="BJ373" s="90"/>
      <c r="BK373" s="83"/>
    </row>
    <row r="374" spans="1:63" ht="6" customHeight="1">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c r="AJ374" s="53"/>
      <c r="AK374" s="53"/>
      <c r="AL374" s="53"/>
      <c r="AM374" s="53"/>
      <c r="AN374" s="53"/>
      <c r="AO374" s="53"/>
      <c r="AP374" s="53"/>
      <c r="AQ374" s="53"/>
      <c r="AR374" s="53"/>
      <c r="AS374" s="53"/>
      <c r="AT374" s="53"/>
      <c r="AU374" s="53"/>
      <c r="AV374" s="53"/>
      <c r="AW374" s="53"/>
      <c r="AX374" s="53"/>
      <c r="AY374" s="53"/>
      <c r="AZ374" s="53"/>
      <c r="BA374" s="53"/>
      <c r="BB374" s="53"/>
      <c r="BC374" s="53"/>
      <c r="BD374" s="53"/>
      <c r="BE374" s="53"/>
      <c r="BF374" s="53"/>
      <c r="BG374" s="53"/>
      <c r="BH374" s="53"/>
      <c r="BI374" s="53"/>
      <c r="BJ374" s="53"/>
      <c r="BK374" s="53"/>
    </row>
    <row r="375" spans="1:63" ht="20.25">
      <c r="A375" s="34" t="s">
        <v>15</v>
      </c>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row>
    <row r="376" spans="1:63">
      <c r="A376" s="39" t="s">
        <v>71</v>
      </c>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row>
    <row r="377" spans="1:63" s="35" customFormat="1">
      <c r="A377" s="67" t="s">
        <v>58</v>
      </c>
      <c r="B377" s="36">
        <v>1303.623</v>
      </c>
      <c r="C377" s="68">
        <v>313.89999999999998</v>
      </c>
      <c r="D377" s="68">
        <v>325.858</v>
      </c>
      <c r="E377" s="68">
        <v>328.83300000000003</v>
      </c>
      <c r="F377" s="68">
        <f>G377-E377-D377-C377</f>
        <v>337.18799999999999</v>
      </c>
      <c r="G377" s="36">
        <v>1305.779</v>
      </c>
      <c r="H377" s="68">
        <v>324.49</v>
      </c>
      <c r="I377" s="68">
        <v>326.71300000000002</v>
      </c>
      <c r="J377" s="68">
        <v>332.48399999999998</v>
      </c>
      <c r="K377" s="68">
        <f>L377-J377-I377-H377</f>
        <v>333.98099999999999</v>
      </c>
      <c r="L377" s="36">
        <v>1317.6679999999999</v>
      </c>
      <c r="M377" s="68">
        <v>343.12</v>
      </c>
      <c r="N377" s="68">
        <v>340</v>
      </c>
      <c r="O377" s="68">
        <v>347.37700000000001</v>
      </c>
      <c r="P377" s="68">
        <f>Q377-O377-N377-M377</f>
        <v>349.97200000000009</v>
      </c>
      <c r="Q377" s="36">
        <v>1380.4690000000001</v>
      </c>
      <c r="R377" s="68">
        <v>329.40699999999998</v>
      </c>
      <c r="S377" s="68">
        <v>332.44099999999997</v>
      </c>
      <c r="T377" s="68">
        <v>350.678</v>
      </c>
      <c r="U377" s="68">
        <f>V377-T377-S377-R377</f>
        <v>341.07600000000019</v>
      </c>
      <c r="V377" s="36">
        <v>1353.6020000000001</v>
      </c>
      <c r="W377" s="68">
        <v>332.22199999999998</v>
      </c>
      <c r="X377" s="68">
        <v>329.83300000000003</v>
      </c>
      <c r="Y377" s="68">
        <v>338.55399999999997</v>
      </c>
      <c r="Z377" s="68">
        <f>AA377-Y377-X377-W377</f>
        <v>339.50800000000004</v>
      </c>
      <c r="AA377" s="36">
        <v>1340.117</v>
      </c>
      <c r="AB377" s="68">
        <v>345.57600000000002</v>
      </c>
      <c r="AC377" s="68">
        <v>358.74400000000003</v>
      </c>
      <c r="AD377" s="68">
        <v>359.62400000000002</v>
      </c>
      <c r="AE377" s="68">
        <f>AF377-AD377-AC377-AB377</f>
        <v>368.81699999999989</v>
      </c>
      <c r="AF377" s="36">
        <v>1432.761</v>
      </c>
      <c r="AG377" s="68">
        <v>355</v>
      </c>
      <c r="AH377" s="68">
        <v>365</v>
      </c>
      <c r="AI377" s="68">
        <v>385</v>
      </c>
      <c r="AJ377" s="68">
        <f>AK377-AI377-AH377-AG377</f>
        <v>399</v>
      </c>
      <c r="AK377" s="36">
        <v>1504</v>
      </c>
      <c r="AL377" s="68">
        <v>393</v>
      </c>
      <c r="AM377" s="68">
        <v>391</v>
      </c>
      <c r="AN377" s="68">
        <v>389</v>
      </c>
      <c r="AO377" s="68">
        <f>AP377-AN377-AM377-AL377</f>
        <v>405</v>
      </c>
      <c r="AP377" s="36">
        <v>1578</v>
      </c>
      <c r="AQ377" s="68">
        <v>395</v>
      </c>
      <c r="AR377" s="68">
        <v>377</v>
      </c>
      <c r="AS377" s="68">
        <v>384</v>
      </c>
      <c r="AT377" s="68">
        <f>AU377-AS377-AR377-AQ377</f>
        <v>392</v>
      </c>
      <c r="AU377" s="36">
        <v>1548</v>
      </c>
      <c r="AV377" s="68">
        <v>384</v>
      </c>
      <c r="AW377" s="68">
        <v>407</v>
      </c>
      <c r="AX377" s="68">
        <v>367</v>
      </c>
      <c r="AY377" s="68">
        <f>AZ377-AX377-AW377-AV377</f>
        <v>379</v>
      </c>
      <c r="AZ377" s="36">
        <v>1537</v>
      </c>
      <c r="BA377" s="68">
        <v>352</v>
      </c>
      <c r="BB377" s="68">
        <v>336</v>
      </c>
      <c r="BC377" s="68">
        <v>333</v>
      </c>
      <c r="BD377" s="68">
        <v>370</v>
      </c>
      <c r="BE377" s="36">
        <v>1391</v>
      </c>
      <c r="BF377" s="68">
        <v>341</v>
      </c>
      <c r="BG377" s="68">
        <v>339</v>
      </c>
      <c r="BH377" s="68">
        <v>329</v>
      </c>
      <c r="BI377" s="68">
        <v>330</v>
      </c>
      <c r="BJ377" s="36">
        <v>1339</v>
      </c>
      <c r="BK377" s="68">
        <v>317</v>
      </c>
    </row>
    <row r="378" spans="1:63" ht="10.5" customHeight="1">
      <c r="A378" s="69" t="s">
        <v>7</v>
      </c>
      <c r="B378" s="23"/>
      <c r="C378" s="70"/>
      <c r="D378" s="70">
        <f>D377/C377-1</f>
        <v>3.8094934692577409E-2</v>
      </c>
      <c r="E378" s="70">
        <f>E377/D377-1</f>
        <v>9.1297436306612134E-3</v>
      </c>
      <c r="F378" s="70">
        <f>F377/E377-1</f>
        <v>2.5408033865214064E-2</v>
      </c>
      <c r="G378" s="23"/>
      <c r="H378" s="70">
        <f>H377/F377-1</f>
        <v>-3.7658516910447526E-2</v>
      </c>
      <c r="I378" s="70">
        <f>I377/H377-1</f>
        <v>6.8507504083330506E-3</v>
      </c>
      <c r="J378" s="70">
        <f>J377/I377-1</f>
        <v>1.7663821151897796E-2</v>
      </c>
      <c r="K378" s="70">
        <f>K377/J377-1</f>
        <v>4.5024722994189137E-3</v>
      </c>
      <c r="L378" s="23"/>
      <c r="M378" s="70">
        <f>M377/K377-1</f>
        <v>2.7363832074279726E-2</v>
      </c>
      <c r="N378" s="70">
        <f>N377/M377-1</f>
        <v>-9.0930286780135372E-3</v>
      </c>
      <c r="O378" s="70">
        <f>O377/N377-1</f>
        <v>2.1697058823529458E-2</v>
      </c>
      <c r="P378" s="70">
        <f>P377/O377-1</f>
        <v>7.4702700524216237E-3</v>
      </c>
      <c r="Q378" s="23"/>
      <c r="R378" s="70">
        <f>R377/P377-1</f>
        <v>-5.8761843804647551E-2</v>
      </c>
      <c r="S378" s="70">
        <f>S377/R377-1</f>
        <v>9.2104903660212845E-3</v>
      </c>
      <c r="T378" s="70">
        <f>T377/S377-1</f>
        <v>5.4857854476433543E-2</v>
      </c>
      <c r="U378" s="70">
        <f>U377/T377-1</f>
        <v>-2.7381244332406962E-2</v>
      </c>
      <c r="V378" s="23"/>
      <c r="W378" s="70">
        <f>W377/U377-1</f>
        <v>-2.5959023795283809E-2</v>
      </c>
      <c r="X378" s="70">
        <f>X377/W377-1</f>
        <v>-7.1909747096818855E-3</v>
      </c>
      <c r="Y378" s="70">
        <f>Y377/X377-1</f>
        <v>2.6440653300306316E-2</v>
      </c>
      <c r="Z378" s="70">
        <v>2.8178665737226272E-3</v>
      </c>
      <c r="AA378" s="23"/>
      <c r="AB378" s="70">
        <f>AB377/Z377-1</f>
        <v>1.7872921993001611E-2</v>
      </c>
      <c r="AC378" s="70">
        <f>AC377/AB377-1</f>
        <v>3.8104497997546227E-2</v>
      </c>
      <c r="AD378" s="70">
        <f>AD377/AC377-1</f>
        <v>2.4530026983029529E-3</v>
      </c>
      <c r="AE378" s="70">
        <f>AE377/AD377-1</f>
        <v>2.5562810046047657E-2</v>
      </c>
      <c r="AF378" s="23"/>
      <c r="AG378" s="70">
        <f>AG377/AE377-1</f>
        <v>-3.7463023667563822E-2</v>
      </c>
      <c r="AH378" s="70">
        <f>AH377/AG377-1</f>
        <v>2.8169014084507005E-2</v>
      </c>
      <c r="AI378" s="70">
        <f>AI377/AH377-1</f>
        <v>5.4794520547945202E-2</v>
      </c>
      <c r="AJ378" s="70">
        <f>AJ377/AI377-1</f>
        <v>3.6363636363636376E-2</v>
      </c>
      <c r="AK378" s="23"/>
      <c r="AL378" s="70">
        <f>AL377/AJ377-1</f>
        <v>-1.5037593984962405E-2</v>
      </c>
      <c r="AM378" s="70">
        <f>AM377/AL377-1</f>
        <v>-5.0890585241730735E-3</v>
      </c>
      <c r="AN378" s="70">
        <f>AN377/AM377-1</f>
        <v>-5.1150895140664732E-3</v>
      </c>
      <c r="AO378" s="70">
        <f>AO377/AN377-1</f>
        <v>4.1131105398457546E-2</v>
      </c>
      <c r="AP378" s="23"/>
      <c r="AQ378" s="70">
        <f>AQ377/AO377-1</f>
        <v>-2.4691358024691357E-2</v>
      </c>
      <c r="AR378" s="70">
        <f>AR377/AQ377-1</f>
        <v>-4.5569620253164578E-2</v>
      </c>
      <c r="AS378" s="70">
        <f>AS377/AR377-1</f>
        <v>1.8567639257294433E-2</v>
      </c>
      <c r="AT378" s="70">
        <f>AT377/AS377-1</f>
        <v>2.0833333333333259E-2</v>
      </c>
      <c r="AU378" s="23"/>
      <c r="AV378" s="70">
        <f>AV377/AT377-1</f>
        <v>-2.0408163265306145E-2</v>
      </c>
      <c r="AW378" s="70">
        <f>AW377/AV377-1</f>
        <v>5.9895833333333259E-2</v>
      </c>
      <c r="AX378" s="70">
        <f>AX377/AW377-1</f>
        <v>-9.8280098280098316E-2</v>
      </c>
      <c r="AY378" s="70">
        <f>AY377/AX377-1</f>
        <v>3.2697547683923744E-2</v>
      </c>
      <c r="AZ378" s="23"/>
      <c r="BA378" s="70">
        <v>-7.1240105540897103E-2</v>
      </c>
      <c r="BB378" s="70">
        <v>-4.5454545454545414E-2</v>
      </c>
      <c r="BC378" s="70">
        <v>-8.9285714285713969E-3</v>
      </c>
      <c r="BD378" s="70">
        <v>0.11111111111111116</v>
      </c>
      <c r="BE378" s="23"/>
      <c r="BF378" s="70">
        <v>-7.8378378378378355E-2</v>
      </c>
      <c r="BG378" s="70">
        <v>-5.8651026392961825E-3</v>
      </c>
      <c r="BH378" s="70">
        <v>-2.9498525073746285E-2</v>
      </c>
      <c r="BI378" s="70">
        <v>3.0395136778116338E-3</v>
      </c>
      <c r="BJ378" s="23"/>
      <c r="BK378" s="70">
        <v>-3.9393939393939426E-2</v>
      </c>
    </row>
    <row r="379" spans="1:63" ht="11.25" customHeight="1">
      <c r="A379" s="69" t="s">
        <v>8</v>
      </c>
      <c r="B379" s="23"/>
      <c r="C379" s="71"/>
      <c r="D379" s="71"/>
      <c r="E379" s="71"/>
      <c r="F379" s="71"/>
      <c r="G379" s="23">
        <f t="shared" ref="G379:Y379" si="695">G377/B377-1</f>
        <v>1.6538523791003179E-3</v>
      </c>
      <c r="H379" s="71">
        <f t="shared" si="695"/>
        <v>3.3736858872252418E-2</v>
      </c>
      <c r="I379" s="71">
        <f t="shared" si="695"/>
        <v>2.6238422871311951E-3</v>
      </c>
      <c r="J379" s="71">
        <f t="shared" si="695"/>
        <v>1.1102900256360959E-2</v>
      </c>
      <c r="K379" s="71">
        <f t="shared" si="695"/>
        <v>-9.5110146268549967E-3</v>
      </c>
      <c r="L379" s="23">
        <f t="shared" si="695"/>
        <v>9.1049097894819742E-3</v>
      </c>
      <c r="M379" s="71">
        <f t="shared" si="695"/>
        <v>5.741317143825686E-2</v>
      </c>
      <c r="N379" s="71">
        <f t="shared" si="695"/>
        <v>4.0668721477259862E-2</v>
      </c>
      <c r="O379" s="71">
        <f t="shared" si="695"/>
        <v>4.479313290263609E-2</v>
      </c>
      <c r="P379" s="71">
        <f t="shared" si="695"/>
        <v>4.7879969219806195E-2</v>
      </c>
      <c r="Q379" s="23">
        <f t="shared" si="695"/>
        <v>4.7660715749339166E-2</v>
      </c>
      <c r="R379" s="71">
        <f t="shared" si="695"/>
        <v>-3.9965609699230686E-2</v>
      </c>
      <c r="S379" s="71">
        <f t="shared" si="695"/>
        <v>-2.2232352941176536E-2</v>
      </c>
      <c r="T379" s="71">
        <f t="shared" si="695"/>
        <v>9.5026441013652541E-3</v>
      </c>
      <c r="U379" s="71">
        <f t="shared" si="695"/>
        <v>-2.5419176391253906E-2</v>
      </c>
      <c r="V379" s="23">
        <f t="shared" si="695"/>
        <v>-1.9462226243399883E-2</v>
      </c>
      <c r="W379" s="71">
        <f t="shared" si="695"/>
        <v>8.545659321143706E-3</v>
      </c>
      <c r="X379" s="71">
        <f t="shared" si="695"/>
        <v>-7.8450010678584592E-3</v>
      </c>
      <c r="Y379" s="71">
        <f t="shared" si="695"/>
        <v>-3.4573027107488996E-2</v>
      </c>
      <c r="Z379" s="71">
        <v>-4.5972158697772381E-3</v>
      </c>
      <c r="AA379" s="23">
        <f t="shared" ref="AA379:AI379" si="696">AA377/V377-1</f>
        <v>-9.9623079753133892E-3</v>
      </c>
      <c r="AB379" s="71">
        <f t="shared" si="696"/>
        <v>4.0196013509039341E-2</v>
      </c>
      <c r="AC379" s="71">
        <f t="shared" si="696"/>
        <v>8.765344886654769E-2</v>
      </c>
      <c r="AD379" s="71">
        <f t="shared" si="696"/>
        <v>6.2235271182736085E-2</v>
      </c>
      <c r="AE379" s="71">
        <f t="shared" si="696"/>
        <v>8.6327862671865985E-2</v>
      </c>
      <c r="AF379" s="23">
        <f t="shared" si="696"/>
        <v>6.913127734369473E-2</v>
      </c>
      <c r="AG379" s="71">
        <f t="shared" si="696"/>
        <v>2.7270412297150104E-2</v>
      </c>
      <c r="AH379" s="71">
        <f t="shared" si="696"/>
        <v>1.743861918248113E-2</v>
      </c>
      <c r="AI379" s="71">
        <f t="shared" si="696"/>
        <v>7.0562587591484371E-2</v>
      </c>
      <c r="AJ379" s="71">
        <f t="shared" ref="AJ379:AS379" si="697">AJ377/AE377-1</f>
        <v>8.1837333962371916E-2</v>
      </c>
      <c r="AK379" s="23">
        <f t="shared" si="697"/>
        <v>4.9721481810294899E-2</v>
      </c>
      <c r="AL379" s="71">
        <f t="shared" si="697"/>
        <v>0.10704225352112684</v>
      </c>
      <c r="AM379" s="71">
        <f t="shared" si="697"/>
        <v>7.1232876712328697E-2</v>
      </c>
      <c r="AN379" s="71">
        <f t="shared" si="697"/>
        <v>1.0389610389610393E-2</v>
      </c>
      <c r="AO379" s="71">
        <f t="shared" si="697"/>
        <v>1.5037593984962516E-2</v>
      </c>
      <c r="AP379" s="23">
        <f t="shared" si="697"/>
        <v>4.9202127659574435E-2</v>
      </c>
      <c r="AQ379" s="71">
        <f t="shared" si="697"/>
        <v>5.0890585241729624E-3</v>
      </c>
      <c r="AR379" s="71">
        <f t="shared" si="697"/>
        <v>-3.5805626598465423E-2</v>
      </c>
      <c r="AS379" s="71">
        <f t="shared" si="697"/>
        <v>-1.2853470437018011E-2</v>
      </c>
      <c r="AT379" s="71">
        <f t="shared" ref="AT379" si="698">AT377/AO377-1</f>
        <v>-3.2098765432098775E-2</v>
      </c>
      <c r="AU379" s="23">
        <f t="shared" ref="AU379:AX379" si="699">AU377/AP377-1</f>
        <v>-1.9011406844106515E-2</v>
      </c>
      <c r="AV379" s="71">
        <f t="shared" si="699"/>
        <v>-2.7848101265822822E-2</v>
      </c>
      <c r="AW379" s="71">
        <f t="shared" si="699"/>
        <v>7.9575596816976235E-2</v>
      </c>
      <c r="AX379" s="71">
        <f t="shared" si="699"/>
        <v>-4.427083333333337E-2</v>
      </c>
      <c r="AY379" s="71">
        <f t="shared" ref="AY379" si="700">AY377/AT377-1</f>
        <v>-3.3163265306122458E-2</v>
      </c>
      <c r="AZ379" s="23">
        <v>-7.10594315245483E-3</v>
      </c>
      <c r="BA379" s="71">
        <v>-8.333333333333337E-2</v>
      </c>
      <c r="BB379" s="71">
        <v>-0.1744471744471745</v>
      </c>
      <c r="BC379" s="71">
        <v>-9.2643051771117202E-2</v>
      </c>
      <c r="BD379" s="71">
        <v>-2.3746701846965701E-2</v>
      </c>
      <c r="BE379" s="23">
        <v>-9.4990240728692221E-2</v>
      </c>
      <c r="BF379" s="71">
        <v>-3.125E-2</v>
      </c>
      <c r="BG379" s="71">
        <v>8.9285714285713969E-3</v>
      </c>
      <c r="BH379" s="71">
        <v>-1.2012012012011963E-2</v>
      </c>
      <c r="BI379" s="71">
        <v>-0.10810810810810811</v>
      </c>
      <c r="BJ379" s="23">
        <v>-3.7383177570093462E-2</v>
      </c>
      <c r="BK379" s="71">
        <v>-7.0381231671554301E-2</v>
      </c>
    </row>
    <row r="380" spans="1:63" ht="3.75" customHeight="1">
      <c r="A380" s="39"/>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row>
    <row r="381" spans="1:63">
      <c r="A381" s="67" t="s">
        <v>349</v>
      </c>
      <c r="B381" s="119" t="s">
        <v>40</v>
      </c>
      <c r="C381" s="78" t="s">
        <v>48</v>
      </c>
      <c r="D381" s="78" t="s">
        <v>48</v>
      </c>
      <c r="E381" s="78" t="s">
        <v>48</v>
      </c>
      <c r="F381" s="78" t="s">
        <v>48</v>
      </c>
      <c r="G381" s="119" t="s">
        <v>40</v>
      </c>
      <c r="H381" s="78" t="s">
        <v>48</v>
      </c>
      <c r="I381" s="78" t="s">
        <v>48</v>
      </c>
      <c r="J381" s="78" t="s">
        <v>48</v>
      </c>
      <c r="K381" s="78" t="s">
        <v>48</v>
      </c>
      <c r="L381" s="119" t="s">
        <v>40</v>
      </c>
      <c r="M381" s="78" t="s">
        <v>48</v>
      </c>
      <c r="N381" s="78" t="s">
        <v>48</v>
      </c>
      <c r="O381" s="78" t="s">
        <v>48</v>
      </c>
      <c r="P381" s="78" t="s">
        <v>48</v>
      </c>
      <c r="Q381" s="119" t="s">
        <v>40</v>
      </c>
      <c r="R381" s="78" t="s">
        <v>48</v>
      </c>
      <c r="S381" s="78" t="s">
        <v>48</v>
      </c>
      <c r="T381" s="78" t="s">
        <v>48</v>
      </c>
      <c r="U381" s="78" t="s">
        <v>48</v>
      </c>
      <c r="V381" s="119" t="s">
        <v>40</v>
      </c>
      <c r="W381" s="78" t="s">
        <v>48</v>
      </c>
      <c r="X381" s="78" t="s">
        <v>48</v>
      </c>
      <c r="Y381" s="78" t="s">
        <v>48</v>
      </c>
      <c r="Z381" s="78" t="s">
        <v>48</v>
      </c>
      <c r="AA381" s="119" t="s">
        <v>40</v>
      </c>
      <c r="AB381" s="78" t="s">
        <v>48</v>
      </c>
      <c r="AC381" s="78" t="s">
        <v>48</v>
      </c>
      <c r="AD381" s="78" t="s">
        <v>48</v>
      </c>
      <c r="AE381" s="78" t="s">
        <v>48</v>
      </c>
      <c r="AF381" s="119" t="s">
        <v>40</v>
      </c>
      <c r="AG381" s="78" t="s">
        <v>48</v>
      </c>
      <c r="AH381" s="78" t="s">
        <v>48</v>
      </c>
      <c r="AI381" s="78" t="s">
        <v>48</v>
      </c>
      <c r="AJ381" s="78" t="s">
        <v>48</v>
      </c>
      <c r="AK381" s="119" t="s">
        <v>40</v>
      </c>
      <c r="AL381" s="78" t="s">
        <v>48</v>
      </c>
      <c r="AM381" s="78" t="s">
        <v>48</v>
      </c>
      <c r="AN381" s="78" t="s">
        <v>48</v>
      </c>
      <c r="AO381" s="78" t="s">
        <v>48</v>
      </c>
      <c r="AP381" s="119" t="s">
        <v>40</v>
      </c>
      <c r="AQ381" s="78" t="s">
        <v>48</v>
      </c>
      <c r="AR381" s="78" t="s">
        <v>48</v>
      </c>
      <c r="AS381" s="78" t="s">
        <v>48</v>
      </c>
      <c r="AT381" s="78" t="s">
        <v>48</v>
      </c>
      <c r="AU381" s="119" t="s">
        <v>40</v>
      </c>
      <c r="AV381" s="78" t="s">
        <v>48</v>
      </c>
      <c r="AW381" s="78" t="s">
        <v>48</v>
      </c>
      <c r="AX381" s="78" t="s">
        <v>48</v>
      </c>
      <c r="AY381" s="78" t="s">
        <v>48</v>
      </c>
      <c r="AZ381" s="36">
        <v>670</v>
      </c>
      <c r="BA381" s="78" t="s">
        <v>48</v>
      </c>
      <c r="BB381" s="78" t="s">
        <v>48</v>
      </c>
      <c r="BC381" s="78" t="s">
        <v>48</v>
      </c>
      <c r="BD381" s="78" t="s">
        <v>48</v>
      </c>
      <c r="BE381" s="36">
        <v>659</v>
      </c>
      <c r="BF381" s="78" t="s">
        <v>48</v>
      </c>
      <c r="BG381" s="78" t="s">
        <v>48</v>
      </c>
      <c r="BH381" s="78" t="s">
        <v>48</v>
      </c>
      <c r="BI381" s="78" t="s">
        <v>48</v>
      </c>
      <c r="BJ381" s="36">
        <v>632</v>
      </c>
      <c r="BK381" s="78" t="s">
        <v>48</v>
      </c>
    </row>
    <row r="382" spans="1:63" ht="9.75" customHeight="1">
      <c r="A382" s="69" t="s">
        <v>132</v>
      </c>
      <c r="B382" s="23"/>
      <c r="C382" s="71"/>
      <c r="D382" s="71"/>
      <c r="E382" s="71"/>
      <c r="F382" s="71"/>
      <c r="G382" s="23"/>
      <c r="H382" s="71"/>
      <c r="I382" s="71"/>
      <c r="J382" s="71"/>
      <c r="K382" s="71"/>
      <c r="L382" s="23"/>
      <c r="M382" s="71"/>
      <c r="N382" s="71"/>
      <c r="O382" s="71"/>
      <c r="P382" s="71"/>
      <c r="Q382" s="23"/>
      <c r="R382" s="71"/>
      <c r="S382" s="71"/>
      <c r="T382" s="71"/>
      <c r="U382" s="71"/>
      <c r="V382" s="23"/>
      <c r="W382" s="71"/>
      <c r="X382" s="71"/>
      <c r="Y382" s="71"/>
      <c r="Z382" s="71"/>
      <c r="AA382" s="23"/>
      <c r="AB382" s="71"/>
      <c r="AC382" s="71"/>
      <c r="AD382" s="71"/>
      <c r="AE382" s="71"/>
      <c r="AF382" s="23"/>
      <c r="AG382" s="71"/>
      <c r="AH382" s="71"/>
      <c r="AI382" s="71"/>
      <c r="AJ382" s="71"/>
      <c r="AK382" s="23"/>
      <c r="AL382" s="71"/>
      <c r="AM382" s="71"/>
      <c r="AN382" s="71"/>
      <c r="AO382" s="71"/>
      <c r="AP382" s="23"/>
      <c r="AQ382" s="71"/>
      <c r="AR382" s="71"/>
      <c r="AS382" s="71"/>
      <c r="AT382" s="71"/>
      <c r="AU382" s="23"/>
      <c r="AV382" s="71"/>
      <c r="AW382" s="71"/>
      <c r="AX382" s="71"/>
      <c r="AY382" s="71"/>
      <c r="AZ382" s="23">
        <v>0.43591411841249189</v>
      </c>
      <c r="BA382" s="71"/>
      <c r="BB382" s="71"/>
      <c r="BC382" s="71"/>
      <c r="BD382" s="71"/>
      <c r="BE382" s="23">
        <v>0.47375988497483823</v>
      </c>
      <c r="BF382" s="71"/>
      <c r="BG382" s="71"/>
      <c r="BH382" s="71"/>
      <c r="BI382" s="71"/>
      <c r="BJ382" s="23">
        <v>0.47199402539208363</v>
      </c>
      <c r="BK382" s="71"/>
    </row>
    <row r="383" spans="1:63" ht="11.25" customHeight="1">
      <c r="A383" s="67" t="s">
        <v>350</v>
      </c>
      <c r="B383" s="119" t="s">
        <v>40</v>
      </c>
      <c r="C383" s="78" t="s">
        <v>48</v>
      </c>
      <c r="D383" s="78" t="s">
        <v>48</v>
      </c>
      <c r="E383" s="78" t="s">
        <v>48</v>
      </c>
      <c r="F383" s="78" t="s">
        <v>48</v>
      </c>
      <c r="G383" s="119" t="s">
        <v>40</v>
      </c>
      <c r="H383" s="78" t="s">
        <v>48</v>
      </c>
      <c r="I383" s="78" t="s">
        <v>48</v>
      </c>
      <c r="J383" s="78" t="s">
        <v>48</v>
      </c>
      <c r="K383" s="78" t="s">
        <v>48</v>
      </c>
      <c r="L383" s="119" t="s">
        <v>40</v>
      </c>
      <c r="M383" s="78" t="s">
        <v>48</v>
      </c>
      <c r="N383" s="78" t="s">
        <v>48</v>
      </c>
      <c r="O383" s="78" t="s">
        <v>48</v>
      </c>
      <c r="P383" s="78" t="s">
        <v>48</v>
      </c>
      <c r="Q383" s="119" t="s">
        <v>40</v>
      </c>
      <c r="R383" s="78" t="s">
        <v>48</v>
      </c>
      <c r="S383" s="78" t="s">
        <v>48</v>
      </c>
      <c r="T383" s="78" t="s">
        <v>48</v>
      </c>
      <c r="U383" s="78" t="s">
        <v>48</v>
      </c>
      <c r="V383" s="119" t="s">
        <v>40</v>
      </c>
      <c r="W383" s="78" t="s">
        <v>48</v>
      </c>
      <c r="X383" s="78" t="s">
        <v>48</v>
      </c>
      <c r="Y383" s="78" t="s">
        <v>48</v>
      </c>
      <c r="Z383" s="78" t="s">
        <v>48</v>
      </c>
      <c r="AA383" s="119" t="s">
        <v>40</v>
      </c>
      <c r="AB383" s="78" t="s">
        <v>48</v>
      </c>
      <c r="AC383" s="78" t="s">
        <v>48</v>
      </c>
      <c r="AD383" s="78" t="s">
        <v>48</v>
      </c>
      <c r="AE383" s="78" t="s">
        <v>48</v>
      </c>
      <c r="AF383" s="119" t="s">
        <v>40</v>
      </c>
      <c r="AG383" s="78" t="s">
        <v>48</v>
      </c>
      <c r="AH383" s="78" t="s">
        <v>48</v>
      </c>
      <c r="AI383" s="78" t="s">
        <v>48</v>
      </c>
      <c r="AJ383" s="78" t="s">
        <v>48</v>
      </c>
      <c r="AK383" s="119" t="s">
        <v>40</v>
      </c>
      <c r="AL383" s="78" t="s">
        <v>48</v>
      </c>
      <c r="AM383" s="78" t="s">
        <v>48</v>
      </c>
      <c r="AN383" s="78" t="s">
        <v>48</v>
      </c>
      <c r="AO383" s="78" t="s">
        <v>48</v>
      </c>
      <c r="AP383" s="119" t="s">
        <v>40</v>
      </c>
      <c r="AQ383" s="78" t="s">
        <v>48</v>
      </c>
      <c r="AR383" s="78" t="s">
        <v>48</v>
      </c>
      <c r="AS383" s="78" t="s">
        <v>48</v>
      </c>
      <c r="AT383" s="78" t="s">
        <v>48</v>
      </c>
      <c r="AU383" s="119" t="s">
        <v>40</v>
      </c>
      <c r="AV383" s="78" t="s">
        <v>48</v>
      </c>
      <c r="AW383" s="78" t="s">
        <v>48</v>
      </c>
      <c r="AX383" s="78" t="s">
        <v>48</v>
      </c>
      <c r="AY383" s="78" t="s">
        <v>48</v>
      </c>
      <c r="AZ383" s="36">
        <v>867</v>
      </c>
      <c r="BA383" s="78" t="s">
        <v>48</v>
      </c>
      <c r="BB383" s="78" t="s">
        <v>48</v>
      </c>
      <c r="BC383" s="78" t="s">
        <v>48</v>
      </c>
      <c r="BD383" s="78" t="s">
        <v>48</v>
      </c>
      <c r="BE383" s="36">
        <v>732</v>
      </c>
      <c r="BF383" s="78" t="s">
        <v>48</v>
      </c>
      <c r="BG383" s="78" t="s">
        <v>48</v>
      </c>
      <c r="BH383" s="78" t="s">
        <v>48</v>
      </c>
      <c r="BI383" s="78" t="s">
        <v>48</v>
      </c>
      <c r="BJ383" s="36">
        <v>707</v>
      </c>
      <c r="BK383" s="78" t="s">
        <v>48</v>
      </c>
    </row>
    <row r="384" spans="1:63" ht="10.5" customHeight="1">
      <c r="A384" s="69" t="s">
        <v>132</v>
      </c>
      <c r="B384" s="23"/>
      <c r="C384" s="71"/>
      <c r="D384" s="71"/>
      <c r="E384" s="71"/>
      <c r="F384" s="71"/>
      <c r="G384" s="23"/>
      <c r="H384" s="71"/>
      <c r="I384" s="71"/>
      <c r="J384" s="71"/>
      <c r="K384" s="71"/>
      <c r="L384" s="23"/>
      <c r="M384" s="71"/>
      <c r="N384" s="71"/>
      <c r="O384" s="71"/>
      <c r="P384" s="71"/>
      <c r="Q384" s="23"/>
      <c r="R384" s="71"/>
      <c r="S384" s="71"/>
      <c r="T384" s="71"/>
      <c r="U384" s="71"/>
      <c r="V384" s="23"/>
      <c r="W384" s="71"/>
      <c r="X384" s="71"/>
      <c r="Y384" s="71"/>
      <c r="Z384" s="71"/>
      <c r="AA384" s="23"/>
      <c r="AB384" s="71"/>
      <c r="AC384" s="71"/>
      <c r="AD384" s="71"/>
      <c r="AE384" s="71"/>
      <c r="AF384" s="23"/>
      <c r="AG384" s="71"/>
      <c r="AH384" s="71"/>
      <c r="AI384" s="71"/>
      <c r="AJ384" s="71"/>
      <c r="AK384" s="23"/>
      <c r="AL384" s="71"/>
      <c r="AM384" s="71"/>
      <c r="AN384" s="71"/>
      <c r="AO384" s="71"/>
      <c r="AP384" s="23"/>
      <c r="AQ384" s="71"/>
      <c r="AR384" s="71"/>
      <c r="AS384" s="71"/>
      <c r="AT384" s="71"/>
      <c r="AU384" s="23"/>
      <c r="AV384" s="71"/>
      <c r="AW384" s="71"/>
      <c r="AX384" s="71"/>
      <c r="AY384" s="71"/>
      <c r="AZ384" s="23">
        <v>0.56408588158750816</v>
      </c>
      <c r="BA384" s="71"/>
      <c r="BB384" s="71"/>
      <c r="BC384" s="71"/>
      <c r="BD384" s="71"/>
      <c r="BE384" s="23">
        <v>0.52624011502516177</v>
      </c>
      <c r="BF384" s="71"/>
      <c r="BG384" s="71"/>
      <c r="BH384" s="71"/>
      <c r="BI384" s="71"/>
      <c r="BJ384" s="23">
        <v>0.52800597460791632</v>
      </c>
      <c r="BK384" s="71"/>
    </row>
    <row r="385" spans="1:63" ht="3.75" customHeight="1">
      <c r="A385" s="39"/>
      <c r="B385" s="40"/>
      <c r="C385" s="41"/>
      <c r="D385" s="41"/>
      <c r="E385" s="41"/>
      <c r="F385" s="41"/>
      <c r="G385" s="40"/>
      <c r="H385" s="41"/>
      <c r="I385" s="41"/>
      <c r="J385" s="41"/>
      <c r="K385" s="41"/>
      <c r="L385" s="40"/>
      <c r="M385" s="41"/>
      <c r="N385" s="41"/>
      <c r="O385" s="41"/>
      <c r="P385" s="41"/>
      <c r="Q385" s="40"/>
      <c r="R385" s="41"/>
      <c r="S385" s="41"/>
      <c r="T385" s="41"/>
      <c r="U385" s="41"/>
      <c r="V385" s="40"/>
      <c r="W385" s="41"/>
      <c r="X385" s="41"/>
      <c r="Y385" s="41"/>
      <c r="Z385" s="41"/>
      <c r="AA385" s="40"/>
      <c r="AB385" s="41"/>
      <c r="AC385" s="41"/>
      <c r="AD385" s="41"/>
      <c r="AE385" s="41"/>
      <c r="AF385" s="40"/>
      <c r="AG385" s="41"/>
      <c r="AH385" s="41"/>
      <c r="AI385" s="41"/>
      <c r="AJ385" s="41"/>
      <c r="AK385" s="40"/>
      <c r="AL385" s="41"/>
      <c r="AM385" s="41"/>
      <c r="AN385" s="41"/>
      <c r="AO385" s="41"/>
      <c r="AP385" s="40"/>
      <c r="AQ385" s="41"/>
      <c r="AR385" s="41"/>
      <c r="AS385" s="41"/>
      <c r="AT385" s="41"/>
      <c r="AU385" s="40"/>
      <c r="AV385" s="41"/>
      <c r="AW385" s="41"/>
      <c r="AX385" s="41"/>
      <c r="AY385" s="41"/>
      <c r="AZ385" s="40"/>
      <c r="BA385" s="41"/>
      <c r="BB385" s="41"/>
      <c r="BC385" s="41"/>
      <c r="BD385" s="41"/>
      <c r="BE385" s="40"/>
      <c r="BF385" s="41"/>
      <c r="BG385" s="41"/>
      <c r="BH385" s="41"/>
      <c r="BI385" s="41"/>
      <c r="BJ385" s="40"/>
      <c r="BK385" s="41"/>
    </row>
    <row r="386" spans="1:63">
      <c r="A386" s="67" t="s">
        <v>133</v>
      </c>
      <c r="B386" s="119" t="s">
        <v>40</v>
      </c>
      <c r="C386" s="78" t="s">
        <v>48</v>
      </c>
      <c r="D386" s="78" t="s">
        <v>48</v>
      </c>
      <c r="E386" s="78" t="s">
        <v>48</v>
      </c>
      <c r="F386" s="78" t="s">
        <v>48</v>
      </c>
      <c r="G386" s="36">
        <v>513</v>
      </c>
      <c r="H386" s="78" t="s">
        <v>48</v>
      </c>
      <c r="I386" s="78" t="s">
        <v>48</v>
      </c>
      <c r="J386" s="78" t="s">
        <v>48</v>
      </c>
      <c r="K386" s="78" t="s">
        <v>48</v>
      </c>
      <c r="L386" s="36">
        <v>520</v>
      </c>
      <c r="M386" s="78" t="s">
        <v>48</v>
      </c>
      <c r="N386" s="78" t="s">
        <v>48</v>
      </c>
      <c r="O386" s="78" t="s">
        <v>48</v>
      </c>
      <c r="P386" s="78" t="s">
        <v>48</v>
      </c>
      <c r="Q386" s="36">
        <v>523</v>
      </c>
      <c r="R386" s="78" t="s">
        <v>48</v>
      </c>
      <c r="S386" s="78" t="s">
        <v>48</v>
      </c>
      <c r="T386" s="78" t="s">
        <v>48</v>
      </c>
      <c r="U386" s="78" t="s">
        <v>48</v>
      </c>
      <c r="V386" s="36">
        <v>528</v>
      </c>
      <c r="W386" s="78" t="s">
        <v>48</v>
      </c>
      <c r="X386" s="78" t="s">
        <v>48</v>
      </c>
      <c r="Y386" s="78" t="s">
        <v>48</v>
      </c>
      <c r="Z386" s="78" t="s">
        <v>48</v>
      </c>
      <c r="AA386" s="36">
        <v>538</v>
      </c>
      <c r="AB386" s="78" t="s">
        <v>48</v>
      </c>
      <c r="AC386" s="78" t="s">
        <v>48</v>
      </c>
      <c r="AD386" s="78" t="s">
        <v>48</v>
      </c>
      <c r="AE386" s="78" t="s">
        <v>48</v>
      </c>
      <c r="AF386" s="36">
        <v>535</v>
      </c>
      <c r="AG386" s="78" t="s">
        <v>48</v>
      </c>
      <c r="AH386" s="78" t="s">
        <v>48</v>
      </c>
      <c r="AI386" s="78" t="s">
        <v>48</v>
      </c>
      <c r="AJ386" s="78" t="s">
        <v>48</v>
      </c>
      <c r="AK386" s="36">
        <v>529</v>
      </c>
      <c r="AL386" s="78" t="s">
        <v>48</v>
      </c>
      <c r="AM386" s="78" t="s">
        <v>48</v>
      </c>
      <c r="AN386" s="78" t="s">
        <v>48</v>
      </c>
      <c r="AO386" s="78" t="s">
        <v>48</v>
      </c>
      <c r="AP386" s="36">
        <v>555</v>
      </c>
      <c r="AQ386" s="78" t="s">
        <v>48</v>
      </c>
      <c r="AR386" s="78" t="s">
        <v>48</v>
      </c>
      <c r="AS386" s="78" t="s">
        <v>48</v>
      </c>
      <c r="AT386" s="78" t="s">
        <v>48</v>
      </c>
      <c r="AU386" s="36">
        <v>570</v>
      </c>
      <c r="AV386" s="78" t="s">
        <v>48</v>
      </c>
      <c r="AW386" s="78" t="s">
        <v>48</v>
      </c>
      <c r="AX386" s="78" t="s">
        <v>48</v>
      </c>
      <c r="AY386" s="78" t="s">
        <v>48</v>
      </c>
      <c r="AZ386" s="36">
        <v>488</v>
      </c>
      <c r="BA386" s="78" t="s">
        <v>48</v>
      </c>
      <c r="BB386" s="78" t="s">
        <v>48</v>
      </c>
      <c r="BC386" s="78" t="s">
        <v>48</v>
      </c>
      <c r="BD386" s="78" t="s">
        <v>48</v>
      </c>
      <c r="BE386" s="36">
        <v>468</v>
      </c>
      <c r="BF386" s="78" t="s">
        <v>48</v>
      </c>
      <c r="BG386" s="78" t="s">
        <v>48</v>
      </c>
      <c r="BH386" s="78" t="s">
        <v>48</v>
      </c>
      <c r="BI386" s="78" t="s">
        <v>48</v>
      </c>
      <c r="BJ386" s="36">
        <v>441</v>
      </c>
      <c r="BK386" s="78" t="s">
        <v>48</v>
      </c>
    </row>
    <row r="387" spans="1:63" ht="9.75" customHeight="1">
      <c r="A387" s="69" t="s">
        <v>132</v>
      </c>
      <c r="B387" s="23"/>
      <c r="C387" s="71"/>
      <c r="D387" s="71"/>
      <c r="E387" s="71"/>
      <c r="F387" s="71"/>
      <c r="G387" s="23">
        <f>G386/G377</f>
        <v>0.39286893111315163</v>
      </c>
      <c r="H387" s="71"/>
      <c r="I387" s="71"/>
      <c r="J387" s="71"/>
      <c r="K387" s="71"/>
      <c r="L387" s="23">
        <f>L386/L377</f>
        <v>0.39463658523998463</v>
      </c>
      <c r="M387" s="71"/>
      <c r="N387" s="71"/>
      <c r="O387" s="71"/>
      <c r="P387" s="71"/>
      <c r="Q387" s="23">
        <f>Q386/Q377</f>
        <v>0.37885675085786064</v>
      </c>
      <c r="R387" s="71"/>
      <c r="S387" s="71"/>
      <c r="T387" s="71"/>
      <c r="U387" s="71"/>
      <c r="V387" s="23">
        <f>V386/V377</f>
        <v>0.39007034564074222</v>
      </c>
      <c r="W387" s="71"/>
      <c r="X387" s="71"/>
      <c r="Y387" s="71"/>
      <c r="Z387" s="71"/>
      <c r="AA387" s="23">
        <f>AA386/AA377</f>
        <v>0.40145748468230757</v>
      </c>
      <c r="AB387" s="71"/>
      <c r="AC387" s="71"/>
      <c r="AD387" s="71"/>
      <c r="AE387" s="71"/>
      <c r="AF387" s="23">
        <f>AF386/AF377</f>
        <v>0.37340491540459297</v>
      </c>
      <c r="AG387" s="71"/>
      <c r="AH387" s="71"/>
      <c r="AI387" s="71"/>
      <c r="AJ387" s="71"/>
      <c r="AK387" s="23">
        <f>AK386/AK377</f>
        <v>0.35172872340425532</v>
      </c>
      <c r="AL387" s="71"/>
      <c r="AM387" s="71"/>
      <c r="AN387" s="71"/>
      <c r="AO387" s="71"/>
      <c r="AP387" s="23">
        <f>AP386/AP377</f>
        <v>0.35171102661596959</v>
      </c>
      <c r="AQ387" s="71"/>
      <c r="AR387" s="71"/>
      <c r="AS387" s="71"/>
      <c r="AT387" s="71"/>
      <c r="AU387" s="23">
        <f>AU386/AU377</f>
        <v>0.36821705426356588</v>
      </c>
      <c r="AV387" s="71"/>
      <c r="AW387" s="71"/>
      <c r="AX387" s="71"/>
      <c r="AY387" s="71"/>
      <c r="AZ387" s="23">
        <v>0.31750162654521796</v>
      </c>
      <c r="BA387" s="71"/>
      <c r="BB387" s="71"/>
      <c r="BC387" s="71"/>
      <c r="BD387" s="71"/>
      <c r="BE387" s="23">
        <v>0.3364485981308411</v>
      </c>
      <c r="BF387" s="71"/>
      <c r="BG387" s="71"/>
      <c r="BH387" s="71"/>
      <c r="BI387" s="71"/>
      <c r="BJ387" s="23">
        <v>0.32935026138909634</v>
      </c>
      <c r="BK387" s="71"/>
    </row>
    <row r="388" spans="1:63" ht="12" customHeight="1">
      <c r="A388" s="67" t="s">
        <v>131</v>
      </c>
      <c r="B388" s="119" t="s">
        <v>40</v>
      </c>
      <c r="C388" s="78" t="s">
        <v>48</v>
      </c>
      <c r="D388" s="78" t="s">
        <v>48</v>
      </c>
      <c r="E388" s="78" t="s">
        <v>48</v>
      </c>
      <c r="F388" s="78" t="s">
        <v>48</v>
      </c>
      <c r="G388" s="36">
        <v>793</v>
      </c>
      <c r="H388" s="78" t="s">
        <v>48</v>
      </c>
      <c r="I388" s="78" t="s">
        <v>48</v>
      </c>
      <c r="J388" s="78" t="s">
        <v>48</v>
      </c>
      <c r="K388" s="78" t="s">
        <v>48</v>
      </c>
      <c r="L388" s="36">
        <v>798</v>
      </c>
      <c r="M388" s="78" t="s">
        <v>48</v>
      </c>
      <c r="N388" s="78" t="s">
        <v>48</v>
      </c>
      <c r="O388" s="78" t="s">
        <v>48</v>
      </c>
      <c r="P388" s="78" t="s">
        <v>48</v>
      </c>
      <c r="Q388" s="36">
        <v>857</v>
      </c>
      <c r="R388" s="78" t="s">
        <v>48</v>
      </c>
      <c r="S388" s="78" t="s">
        <v>48</v>
      </c>
      <c r="T388" s="78" t="s">
        <v>48</v>
      </c>
      <c r="U388" s="78" t="s">
        <v>48</v>
      </c>
      <c r="V388" s="36">
        <v>826</v>
      </c>
      <c r="W388" s="78" t="s">
        <v>48</v>
      </c>
      <c r="X388" s="78" t="s">
        <v>48</v>
      </c>
      <c r="Y388" s="78" t="s">
        <v>48</v>
      </c>
      <c r="Z388" s="78" t="s">
        <v>48</v>
      </c>
      <c r="AA388" s="36">
        <v>802</v>
      </c>
      <c r="AB388" s="78" t="s">
        <v>48</v>
      </c>
      <c r="AC388" s="78" t="s">
        <v>48</v>
      </c>
      <c r="AD388" s="78" t="s">
        <v>48</v>
      </c>
      <c r="AE388" s="78" t="s">
        <v>48</v>
      </c>
      <c r="AF388" s="36">
        <v>898</v>
      </c>
      <c r="AG388" s="78" t="s">
        <v>48</v>
      </c>
      <c r="AH388" s="78" t="s">
        <v>48</v>
      </c>
      <c r="AI388" s="78" t="s">
        <v>48</v>
      </c>
      <c r="AJ388" s="78" t="s">
        <v>48</v>
      </c>
      <c r="AK388" s="36">
        <v>975</v>
      </c>
      <c r="AL388" s="78" t="s">
        <v>48</v>
      </c>
      <c r="AM388" s="78" t="s">
        <v>48</v>
      </c>
      <c r="AN388" s="78" t="s">
        <v>48</v>
      </c>
      <c r="AO388" s="78" t="s">
        <v>48</v>
      </c>
      <c r="AP388" s="36">
        <v>1023</v>
      </c>
      <c r="AQ388" s="78" t="s">
        <v>48</v>
      </c>
      <c r="AR388" s="78" t="s">
        <v>48</v>
      </c>
      <c r="AS388" s="78" t="s">
        <v>48</v>
      </c>
      <c r="AT388" s="78" t="s">
        <v>48</v>
      </c>
      <c r="AU388" s="36">
        <v>978</v>
      </c>
      <c r="AV388" s="78" t="s">
        <v>48</v>
      </c>
      <c r="AW388" s="78" t="s">
        <v>48</v>
      </c>
      <c r="AX388" s="78" t="s">
        <v>48</v>
      </c>
      <c r="AY388" s="78" t="s">
        <v>48</v>
      </c>
      <c r="AZ388" s="36">
        <v>1049</v>
      </c>
      <c r="BA388" s="78" t="s">
        <v>48</v>
      </c>
      <c r="BB388" s="78" t="s">
        <v>48</v>
      </c>
      <c r="BC388" s="78" t="s">
        <v>48</v>
      </c>
      <c r="BD388" s="78" t="s">
        <v>48</v>
      </c>
      <c r="BE388" s="36">
        <v>923</v>
      </c>
      <c r="BF388" s="78" t="s">
        <v>48</v>
      </c>
      <c r="BG388" s="78" t="s">
        <v>48</v>
      </c>
      <c r="BH388" s="78" t="s">
        <v>48</v>
      </c>
      <c r="BI388" s="78" t="s">
        <v>48</v>
      </c>
      <c r="BJ388" s="36">
        <v>898</v>
      </c>
      <c r="BK388" s="78" t="s">
        <v>48</v>
      </c>
    </row>
    <row r="389" spans="1:63" ht="9.75" customHeight="1">
      <c r="A389" s="69" t="s">
        <v>132</v>
      </c>
      <c r="B389" s="23"/>
      <c r="C389" s="71"/>
      <c r="D389" s="71"/>
      <c r="E389" s="71"/>
      <c r="F389" s="71"/>
      <c r="G389" s="23">
        <f>G388/G377</f>
        <v>0.60730031651604144</v>
      </c>
      <c r="H389" s="71"/>
      <c r="I389" s="71"/>
      <c r="J389" s="71"/>
      <c r="K389" s="71"/>
      <c r="L389" s="23">
        <f>L388/L377</f>
        <v>0.60561537504136098</v>
      </c>
      <c r="M389" s="71"/>
      <c r="N389" s="71"/>
      <c r="O389" s="71"/>
      <c r="P389" s="71"/>
      <c r="Q389" s="23">
        <f>Q388/Q377</f>
        <v>0.62080350953190544</v>
      </c>
      <c r="R389" s="71"/>
      <c r="S389" s="71"/>
      <c r="T389" s="71"/>
      <c r="U389" s="71"/>
      <c r="V389" s="23">
        <f>V388/V377</f>
        <v>0.61022368465767629</v>
      </c>
      <c r="W389" s="71"/>
      <c r="X389" s="71"/>
      <c r="Y389" s="71"/>
      <c r="Z389" s="71"/>
      <c r="AA389" s="23">
        <f>AA388/AA377</f>
        <v>0.5984552095078266</v>
      </c>
      <c r="AB389" s="71"/>
      <c r="AC389" s="71"/>
      <c r="AD389" s="71"/>
      <c r="AE389" s="71"/>
      <c r="AF389" s="23">
        <f>AF388/AF377</f>
        <v>0.62676189538939153</v>
      </c>
      <c r="AG389" s="71"/>
      <c r="AH389" s="71"/>
      <c r="AI389" s="71"/>
      <c r="AJ389" s="71"/>
      <c r="AK389" s="23">
        <f>AK388/AK377</f>
        <v>0.64827127659574468</v>
      </c>
      <c r="AL389" s="71"/>
      <c r="AM389" s="71"/>
      <c r="AN389" s="71"/>
      <c r="AO389" s="71"/>
      <c r="AP389" s="23">
        <f>AP388/AP377</f>
        <v>0.64828897338403046</v>
      </c>
      <c r="AQ389" s="71"/>
      <c r="AR389" s="71"/>
      <c r="AS389" s="71"/>
      <c r="AT389" s="71"/>
      <c r="AU389" s="23">
        <f>AU388/AU377</f>
        <v>0.63178294573643412</v>
      </c>
      <c r="AV389" s="71"/>
      <c r="AW389" s="71"/>
      <c r="AX389" s="71"/>
      <c r="AY389" s="71"/>
      <c r="AZ389" s="23">
        <v>0.68249837345478204</v>
      </c>
      <c r="BA389" s="71"/>
      <c r="BB389" s="71"/>
      <c r="BC389" s="71"/>
      <c r="BD389" s="71"/>
      <c r="BE389" s="23">
        <v>0.66355140186915884</v>
      </c>
      <c r="BF389" s="71"/>
      <c r="BG389" s="71"/>
      <c r="BH389" s="71"/>
      <c r="BI389" s="71"/>
      <c r="BJ389" s="23">
        <v>0.67064973861090371</v>
      </c>
      <c r="BK389" s="71"/>
    </row>
    <row r="390" spans="1:63" ht="14.25" customHeight="1">
      <c r="A390" s="39" t="s">
        <v>27</v>
      </c>
      <c r="B390" s="40"/>
      <c r="C390" s="41"/>
      <c r="D390" s="41"/>
      <c r="E390" s="41"/>
      <c r="F390" s="41"/>
      <c r="G390" s="40"/>
      <c r="H390" s="41"/>
      <c r="I390" s="41"/>
      <c r="J390" s="41"/>
      <c r="K390" s="41"/>
      <c r="L390" s="40"/>
      <c r="M390" s="41"/>
      <c r="N390" s="41"/>
      <c r="O390" s="41"/>
      <c r="P390" s="41"/>
      <c r="Q390" s="40"/>
      <c r="R390" s="41"/>
      <c r="S390" s="41"/>
      <c r="T390" s="41"/>
      <c r="U390" s="41"/>
      <c r="V390" s="40"/>
      <c r="W390" s="41"/>
      <c r="X390" s="41"/>
      <c r="Y390" s="41"/>
      <c r="Z390" s="41"/>
      <c r="AA390" s="40"/>
      <c r="AB390" s="41"/>
      <c r="AC390" s="41"/>
      <c r="AD390" s="41"/>
      <c r="AE390" s="41"/>
      <c r="AF390" s="40"/>
      <c r="AG390" s="41"/>
      <c r="AH390" s="41"/>
      <c r="AI390" s="41"/>
      <c r="AJ390" s="41"/>
      <c r="AK390" s="40"/>
      <c r="AL390" s="41"/>
      <c r="AM390" s="41"/>
      <c r="AN390" s="41"/>
      <c r="AO390" s="41"/>
      <c r="AP390" s="40"/>
      <c r="AQ390" s="41"/>
      <c r="AR390" s="41"/>
      <c r="AS390" s="41"/>
      <c r="AT390" s="41"/>
      <c r="AU390" s="40"/>
      <c r="AV390" s="41"/>
      <c r="AW390" s="41"/>
      <c r="AX390" s="41"/>
      <c r="AY390" s="41"/>
      <c r="AZ390" s="40"/>
      <c r="BA390" s="41"/>
      <c r="BB390" s="41"/>
      <c r="BC390" s="41"/>
      <c r="BD390" s="41"/>
      <c r="BE390" s="40"/>
      <c r="BF390" s="41"/>
      <c r="BG390" s="41"/>
      <c r="BH390" s="41"/>
      <c r="BI390" s="41"/>
      <c r="BJ390" s="40"/>
      <c r="BK390" s="41"/>
    </row>
    <row r="391" spans="1:63" hidden="1">
      <c r="A391" s="67" t="s">
        <v>78</v>
      </c>
      <c r="B391" s="36">
        <v>859</v>
      </c>
      <c r="C391" s="78" t="s">
        <v>48</v>
      </c>
      <c r="D391" s="78" t="s">
        <v>48</v>
      </c>
      <c r="E391" s="78" t="s">
        <v>48</v>
      </c>
      <c r="F391" s="78" t="s">
        <v>48</v>
      </c>
      <c r="G391" s="36">
        <v>780</v>
      </c>
      <c r="H391" s="68">
        <v>199</v>
      </c>
      <c r="I391" s="68">
        <v>190</v>
      </c>
      <c r="J391" s="68">
        <v>195</v>
      </c>
      <c r="K391" s="68">
        <f>L391-J391-I391-H391</f>
        <v>193</v>
      </c>
      <c r="L391" s="36">
        <v>777</v>
      </c>
      <c r="M391" s="68">
        <v>210</v>
      </c>
      <c r="N391" s="68">
        <v>201</v>
      </c>
      <c r="O391" s="68">
        <v>208</v>
      </c>
      <c r="P391" s="68">
        <f>Q391-O391-N391-M391</f>
        <v>203</v>
      </c>
      <c r="Q391" s="36">
        <v>822</v>
      </c>
      <c r="R391" s="68">
        <v>193</v>
      </c>
      <c r="S391" s="68">
        <v>194</v>
      </c>
      <c r="T391" s="68">
        <v>209</v>
      </c>
      <c r="U391" s="68">
        <f>V391-T391-S391-R391</f>
        <v>191.93899999999996</v>
      </c>
      <c r="V391" s="36">
        <v>787.93899999999996</v>
      </c>
      <c r="W391" s="68">
        <v>201.40600000000001</v>
      </c>
      <c r="X391" s="68">
        <v>194.303</v>
      </c>
      <c r="Y391" s="68">
        <v>199.44499999999999</v>
      </c>
      <c r="Z391" s="68">
        <f>AA391-Y391-X391-W391</f>
        <v>200.54800000000006</v>
      </c>
      <c r="AA391" s="36">
        <v>795.702</v>
      </c>
      <c r="AB391" s="68">
        <v>207.92500000000001</v>
      </c>
      <c r="AC391" s="68">
        <v>218.495</v>
      </c>
      <c r="AD391" s="68">
        <v>222.10499999999999</v>
      </c>
      <c r="AE391" s="68">
        <f>AF391-AD391-AC391-AB391</f>
        <v>230.26899999999995</v>
      </c>
      <c r="AF391" s="36">
        <f>878.794</f>
        <v>878.79399999999998</v>
      </c>
      <c r="AG391" s="68">
        <v>218</v>
      </c>
      <c r="AH391" s="68">
        <v>228</v>
      </c>
      <c r="AI391" s="68">
        <v>246</v>
      </c>
      <c r="AJ391" s="68">
        <f>AK391-AI391-AH391-AG391</f>
        <v>259</v>
      </c>
      <c r="AK391" s="36">
        <v>951</v>
      </c>
      <c r="AL391" s="68">
        <v>251</v>
      </c>
      <c r="AM391" s="68">
        <v>250</v>
      </c>
      <c r="AN391" s="68">
        <v>251</v>
      </c>
      <c r="AO391" s="68">
        <f>AP391-AN391-AM391-AL391</f>
        <v>263</v>
      </c>
      <c r="AP391" s="36">
        <v>1015</v>
      </c>
      <c r="AQ391" s="68">
        <v>258</v>
      </c>
      <c r="AR391" s="68">
        <v>246</v>
      </c>
      <c r="AS391" s="68">
        <v>256</v>
      </c>
      <c r="AT391" s="68">
        <f>AU391-AS391-AR391-AQ391</f>
        <v>255</v>
      </c>
      <c r="AU391" s="36">
        <v>1015</v>
      </c>
      <c r="AV391" s="68">
        <v>258</v>
      </c>
      <c r="AW391" s="68">
        <v>288</v>
      </c>
      <c r="AX391" s="68">
        <v>253</v>
      </c>
      <c r="AY391" s="68">
        <f>AZ391-AX391-AW391-AV391</f>
        <v>259</v>
      </c>
      <c r="AZ391" s="36">
        <v>1058</v>
      </c>
      <c r="BA391" s="68">
        <v>238</v>
      </c>
      <c r="BB391" s="68">
        <v>225</v>
      </c>
      <c r="BC391" s="68">
        <v>222</v>
      </c>
      <c r="BD391" s="68"/>
      <c r="BE391" s="36"/>
      <c r="BF391" s="68"/>
      <c r="BG391" s="68"/>
      <c r="BH391" s="68"/>
      <c r="BI391" s="68"/>
      <c r="BJ391" s="36"/>
      <c r="BK391" s="68"/>
    </row>
    <row r="392" spans="1:63" hidden="1">
      <c r="A392" s="69" t="s">
        <v>7</v>
      </c>
      <c r="B392" s="23"/>
      <c r="C392" s="70"/>
      <c r="D392" s="70"/>
      <c r="E392" s="70"/>
      <c r="F392" s="70"/>
      <c r="G392" s="23"/>
      <c r="H392" s="70"/>
      <c r="I392" s="70">
        <f>I391/H391-1</f>
        <v>-4.5226130653266305E-2</v>
      </c>
      <c r="J392" s="70">
        <f>J391/I391-1</f>
        <v>2.6315789473684292E-2</v>
      </c>
      <c r="K392" s="70">
        <f>K391/J391-1</f>
        <v>-1.025641025641022E-2</v>
      </c>
      <c r="L392" s="23"/>
      <c r="M392" s="70">
        <f>M391/K391-1</f>
        <v>8.8082901554404236E-2</v>
      </c>
      <c r="N392" s="70">
        <f>N391/M391-1</f>
        <v>-4.2857142857142816E-2</v>
      </c>
      <c r="O392" s="70">
        <f>O391/N391-1</f>
        <v>3.4825870646766122E-2</v>
      </c>
      <c r="P392" s="70">
        <f>P391/O391-1</f>
        <v>-2.4038461538461564E-2</v>
      </c>
      <c r="Q392" s="23"/>
      <c r="R392" s="70">
        <f>R391/P391-1</f>
        <v>-4.9261083743842415E-2</v>
      </c>
      <c r="S392" s="70">
        <f>S391/R391-1</f>
        <v>5.1813471502590858E-3</v>
      </c>
      <c r="T392" s="70">
        <f>T391/S391-1</f>
        <v>7.7319587628865927E-2</v>
      </c>
      <c r="U392" s="70">
        <f>U391/T391-1</f>
        <v>-8.163157894736861E-2</v>
      </c>
      <c r="V392" s="23"/>
      <c r="W392" s="70">
        <f>W391/U391-1</f>
        <v>4.9322961982713576E-2</v>
      </c>
      <c r="X392" s="70">
        <f>X391/W391-1</f>
        <v>-3.5267072480462347E-2</v>
      </c>
      <c r="Y392" s="70">
        <f>Y391/X391-1</f>
        <v>2.6463821968780721E-2</v>
      </c>
      <c r="Z392" s="70">
        <f>Z391/Y391-1</f>
        <v>5.5303467121263772E-3</v>
      </c>
      <c r="AA392" s="23"/>
      <c r="AB392" s="70">
        <f>AB391/Z391-1</f>
        <v>3.6784211261144284E-2</v>
      </c>
      <c r="AC392" s="70">
        <f>AC391/AB391-1</f>
        <v>5.083563785018641E-2</v>
      </c>
      <c r="AD392" s="70">
        <f>AD391/AC391-1</f>
        <v>1.6522117210920007E-2</v>
      </c>
      <c r="AE392" s="70">
        <f>AE391/AD391-1</f>
        <v>3.6757389522973138E-2</v>
      </c>
      <c r="AF392" s="23"/>
      <c r="AG392" s="70">
        <f>AG391/AE391-1</f>
        <v>-5.3281162466506382E-2</v>
      </c>
      <c r="AH392" s="70">
        <f>AH391/AG391-1</f>
        <v>4.587155963302747E-2</v>
      </c>
      <c r="AI392" s="70">
        <f>AI391/AH391-1</f>
        <v>7.8947368421052655E-2</v>
      </c>
      <c r="AJ392" s="70">
        <f>AJ391/AI391-1</f>
        <v>5.2845528455284452E-2</v>
      </c>
      <c r="AK392" s="23"/>
      <c r="AL392" s="70">
        <f>AL391/AJ391-1</f>
        <v>-3.0888030888030937E-2</v>
      </c>
      <c r="AM392" s="70">
        <f>AM391/AL391-1</f>
        <v>-3.9840637450199168E-3</v>
      </c>
      <c r="AN392" s="70">
        <f>AN391/AM391-1</f>
        <v>4.0000000000000036E-3</v>
      </c>
      <c r="AO392" s="70">
        <f>AO391/AN391-1</f>
        <v>4.7808764940239001E-2</v>
      </c>
      <c r="AP392" s="23"/>
      <c r="AQ392" s="70">
        <f>AQ391/AO391-1</f>
        <v>-1.9011406844106515E-2</v>
      </c>
      <c r="AR392" s="70">
        <f>AR391/AQ391-1</f>
        <v>-4.6511627906976716E-2</v>
      </c>
      <c r="AS392" s="70">
        <f>AS391/AR391-1</f>
        <v>4.0650406504065151E-2</v>
      </c>
      <c r="AT392" s="70">
        <f>AT391/AS391-1</f>
        <v>-3.90625E-3</v>
      </c>
      <c r="AU392" s="23"/>
      <c r="AV392" s="70">
        <f>AV391/AT391-1</f>
        <v>1.1764705882352899E-2</v>
      </c>
      <c r="AW392" s="70">
        <f>AW391/AV391-1</f>
        <v>0.11627906976744184</v>
      </c>
      <c r="AX392" s="70">
        <f>AX391/AW391-1</f>
        <v>-0.12152777777777779</v>
      </c>
      <c r="AY392" s="70">
        <f>AY391/AX391-1</f>
        <v>2.3715415019762931E-2</v>
      </c>
      <c r="AZ392" s="23"/>
      <c r="BA392" s="70">
        <v>-8.108108108108103E-2</v>
      </c>
      <c r="BB392" s="70">
        <v>-5.4621848739495826E-2</v>
      </c>
      <c r="BC392" s="70">
        <v>-1.3333333333333308E-2</v>
      </c>
      <c r="BD392" s="70"/>
      <c r="BE392" s="23"/>
      <c r="BF392" s="70"/>
      <c r="BG392" s="70"/>
      <c r="BH392" s="70"/>
      <c r="BI392" s="70"/>
      <c r="BJ392" s="23"/>
      <c r="BK392" s="70"/>
    </row>
    <row r="393" spans="1:63" hidden="1">
      <c r="A393" s="69" t="s">
        <v>8</v>
      </c>
      <c r="B393" s="23"/>
      <c r="C393" s="71"/>
      <c r="D393" s="71"/>
      <c r="E393" s="71"/>
      <c r="F393" s="71"/>
      <c r="G393" s="23">
        <f>G391/B391-1</f>
        <v>-9.1967403958090777E-2</v>
      </c>
      <c r="H393" s="71"/>
      <c r="I393" s="71"/>
      <c r="J393" s="71"/>
      <c r="K393" s="71"/>
      <c r="L393" s="23">
        <f t="shared" ref="L393:AD393" si="701">L391/G391-1</f>
        <v>-3.8461538461538325E-3</v>
      </c>
      <c r="M393" s="71">
        <f t="shared" si="701"/>
        <v>5.5276381909547645E-2</v>
      </c>
      <c r="N393" s="71">
        <f t="shared" si="701"/>
        <v>5.7894736842105221E-2</v>
      </c>
      <c r="O393" s="71">
        <f t="shared" si="701"/>
        <v>6.6666666666666652E-2</v>
      </c>
      <c r="P393" s="71">
        <f t="shared" si="701"/>
        <v>5.1813471502590636E-2</v>
      </c>
      <c r="Q393" s="23">
        <f t="shared" si="701"/>
        <v>5.7915057915058021E-2</v>
      </c>
      <c r="R393" s="71">
        <f t="shared" si="701"/>
        <v>-8.0952380952380998E-2</v>
      </c>
      <c r="S393" s="71">
        <f t="shared" si="701"/>
        <v>-3.4825870646766122E-2</v>
      </c>
      <c r="T393" s="71">
        <f t="shared" si="701"/>
        <v>4.8076923076922906E-3</v>
      </c>
      <c r="U393" s="71">
        <f t="shared" si="701"/>
        <v>-5.4487684729064179E-2</v>
      </c>
      <c r="V393" s="23">
        <f t="shared" si="701"/>
        <v>-4.143673965936745E-2</v>
      </c>
      <c r="W393" s="71">
        <f t="shared" si="701"/>
        <v>4.3554404145077719E-2</v>
      </c>
      <c r="X393" s="71">
        <f t="shared" si="701"/>
        <v>1.5618556701031405E-3</v>
      </c>
      <c r="Y393" s="71">
        <f t="shared" si="701"/>
        <v>-4.5717703349282379E-2</v>
      </c>
      <c r="Z393" s="71">
        <f t="shared" si="701"/>
        <v>4.4852791772386436E-2</v>
      </c>
      <c r="AA393" s="23">
        <f t="shared" si="701"/>
        <v>9.8522855195644077E-3</v>
      </c>
      <c r="AB393" s="71">
        <f t="shared" si="701"/>
        <v>3.2367456778844783E-2</v>
      </c>
      <c r="AC393" s="71">
        <f t="shared" si="701"/>
        <v>0.12450656963608386</v>
      </c>
      <c r="AD393" s="71">
        <f t="shared" si="701"/>
        <v>0.11361528240868402</v>
      </c>
      <c r="AE393" s="71">
        <f t="shared" ref="AE393:AN393" si="702">AE391/Z391-1</f>
        <v>0.14819893491832326</v>
      </c>
      <c r="AF393" s="23">
        <f t="shared" si="702"/>
        <v>0.10442602883994256</v>
      </c>
      <c r="AG393" s="71">
        <f t="shared" si="702"/>
        <v>4.8454971744619435E-2</v>
      </c>
      <c r="AH393" s="71">
        <f t="shared" si="702"/>
        <v>4.3502139637062509E-2</v>
      </c>
      <c r="AI393" s="71">
        <f t="shared" si="702"/>
        <v>0.1075842506922402</v>
      </c>
      <c r="AJ393" s="71">
        <f t="shared" si="702"/>
        <v>0.12477146294116914</v>
      </c>
      <c r="AK393" s="23">
        <f t="shared" si="702"/>
        <v>8.2164875955001992E-2</v>
      </c>
      <c r="AL393" s="71">
        <f t="shared" si="702"/>
        <v>0.15137614678899092</v>
      </c>
      <c r="AM393" s="71">
        <f t="shared" si="702"/>
        <v>9.6491228070175517E-2</v>
      </c>
      <c r="AN393" s="71">
        <f t="shared" si="702"/>
        <v>2.0325203252032464E-2</v>
      </c>
      <c r="AO393" s="71">
        <f>AO391/AJ391-1</f>
        <v>1.5444015444015413E-2</v>
      </c>
      <c r="AP393" s="23">
        <f>AP391/AK391-1</f>
        <v>6.7297581493165115E-2</v>
      </c>
      <c r="AQ393" s="71">
        <f t="shared" ref="AQ393:AS393" si="703">AQ391/AL391-1</f>
        <v>2.7888446215139417E-2</v>
      </c>
      <c r="AR393" s="71">
        <f t="shared" si="703"/>
        <v>-1.6000000000000014E-2</v>
      </c>
      <c r="AS393" s="71">
        <f t="shared" si="703"/>
        <v>1.9920318725099584E-2</v>
      </c>
      <c r="AT393" s="71">
        <f>AT391/AO391-1</f>
        <v>-3.041825095057038E-2</v>
      </c>
      <c r="AU393" s="23">
        <f>AU391/AP391-1</f>
        <v>0</v>
      </c>
      <c r="AV393" s="71">
        <f t="shared" ref="AV393:AX393" si="704">AV391/AQ391-1</f>
        <v>0</v>
      </c>
      <c r="AW393" s="71">
        <f t="shared" si="704"/>
        <v>0.1707317073170731</v>
      </c>
      <c r="AX393" s="71">
        <f t="shared" si="704"/>
        <v>-1.171875E-2</v>
      </c>
      <c r="AY393" s="71">
        <f>AY391/AT391-1</f>
        <v>1.5686274509803866E-2</v>
      </c>
      <c r="AZ393" s="23">
        <v>4.236453201970436E-2</v>
      </c>
      <c r="BA393" s="71">
        <v>-7.7519379844961267E-2</v>
      </c>
      <c r="BB393" s="71">
        <v>-0.21875</v>
      </c>
      <c r="BC393" s="71">
        <v>-0.12252964426877466</v>
      </c>
      <c r="BD393" s="71"/>
      <c r="BE393" s="23"/>
      <c r="BF393" s="71"/>
      <c r="BG393" s="71"/>
      <c r="BH393" s="71"/>
      <c r="BI393" s="71"/>
      <c r="BJ393" s="23"/>
      <c r="BK393" s="71"/>
    </row>
    <row r="394" spans="1:63" hidden="1">
      <c r="A394" s="67" t="s">
        <v>97</v>
      </c>
      <c r="B394" s="36">
        <v>445</v>
      </c>
      <c r="C394" s="78" t="s">
        <v>48</v>
      </c>
      <c r="D394" s="78" t="s">
        <v>48</v>
      </c>
      <c r="E394" s="78" t="s">
        <v>48</v>
      </c>
      <c r="F394" s="78" t="s">
        <v>48</v>
      </c>
      <c r="G394" s="36">
        <v>526</v>
      </c>
      <c r="H394" s="68">
        <v>125</v>
      </c>
      <c r="I394" s="68">
        <v>137</v>
      </c>
      <c r="J394" s="68">
        <v>137</v>
      </c>
      <c r="K394" s="68">
        <f>L394-J394-I394-H394</f>
        <v>142</v>
      </c>
      <c r="L394" s="36">
        <v>541</v>
      </c>
      <c r="M394" s="68">
        <v>133</v>
      </c>
      <c r="N394" s="68">
        <v>141</v>
      </c>
      <c r="O394" s="68">
        <v>139</v>
      </c>
      <c r="P394" s="68">
        <f>Q394-O394-N394-M394</f>
        <v>145</v>
      </c>
      <c r="Q394" s="36">
        <v>558</v>
      </c>
      <c r="R394" s="68">
        <v>136</v>
      </c>
      <c r="S394" s="68">
        <v>139</v>
      </c>
      <c r="T394" s="68">
        <v>142</v>
      </c>
      <c r="U394" s="68">
        <f>V394-T394-S394-R394</f>
        <v>149</v>
      </c>
      <c r="V394" s="36">
        <v>566</v>
      </c>
      <c r="W394" s="68">
        <v>130.816</v>
      </c>
      <c r="X394" s="68">
        <v>135</v>
      </c>
      <c r="Y394" s="68">
        <v>139.10900000000001</v>
      </c>
      <c r="Z394" s="68">
        <f>AA394-Y394-X394-W394</f>
        <v>139.48999999999992</v>
      </c>
      <c r="AA394" s="36">
        <v>544.41499999999996</v>
      </c>
      <c r="AB394" s="68">
        <v>137.65100000000001</v>
      </c>
      <c r="AC394" s="68">
        <v>140.249</v>
      </c>
      <c r="AD394" s="68">
        <v>137.51900000000001</v>
      </c>
      <c r="AE394" s="68">
        <f>AF394-AD394-AC394-AB394</f>
        <v>138.54799999999994</v>
      </c>
      <c r="AF394" s="36">
        <v>553.96699999999998</v>
      </c>
      <c r="AG394" s="68">
        <v>137</v>
      </c>
      <c r="AH394" s="68">
        <v>137</v>
      </c>
      <c r="AI394" s="68">
        <v>139</v>
      </c>
      <c r="AJ394" s="68">
        <f>AK394-AI394-AH394-AG394</f>
        <v>140</v>
      </c>
      <c r="AK394" s="36">
        <v>553</v>
      </c>
      <c r="AL394" s="68">
        <v>142</v>
      </c>
      <c r="AM394" s="68">
        <v>141</v>
      </c>
      <c r="AN394" s="68">
        <v>138</v>
      </c>
      <c r="AO394" s="68">
        <f>AP394-AN394-AM394-AL394</f>
        <v>142</v>
      </c>
      <c r="AP394" s="36">
        <v>563</v>
      </c>
      <c r="AQ394" s="68">
        <v>137</v>
      </c>
      <c r="AR394" s="68">
        <v>131</v>
      </c>
      <c r="AS394" s="68">
        <v>128</v>
      </c>
      <c r="AT394" s="68">
        <f>AU394-AS394-AR394-AQ394</f>
        <v>137</v>
      </c>
      <c r="AU394" s="36">
        <v>533</v>
      </c>
      <c r="AV394" s="68">
        <v>126</v>
      </c>
      <c r="AW394" s="68">
        <v>119</v>
      </c>
      <c r="AX394" s="68">
        <v>114</v>
      </c>
      <c r="AY394" s="68">
        <f>AZ394-AX394-AW394-AV394</f>
        <v>120</v>
      </c>
      <c r="AZ394" s="36">
        <v>479</v>
      </c>
      <c r="BA394" s="68">
        <v>114</v>
      </c>
      <c r="BB394" s="68">
        <v>111</v>
      </c>
      <c r="BC394" s="68">
        <v>111</v>
      </c>
      <c r="BD394" s="68"/>
      <c r="BE394" s="36"/>
      <c r="BF394" s="68"/>
      <c r="BG394" s="68"/>
      <c r="BH394" s="68"/>
      <c r="BI394" s="68"/>
      <c r="BJ394" s="36"/>
      <c r="BK394" s="68"/>
    </row>
    <row r="395" spans="1:63" ht="12" hidden="1" customHeight="1">
      <c r="A395" s="69" t="s">
        <v>7</v>
      </c>
      <c r="B395" s="23"/>
      <c r="C395" s="70"/>
      <c r="D395" s="70"/>
      <c r="E395" s="70"/>
      <c r="F395" s="70"/>
      <c r="G395" s="23"/>
      <c r="H395" s="70"/>
      <c r="I395" s="70">
        <f>I394/H394-1</f>
        <v>9.6000000000000085E-2</v>
      </c>
      <c r="J395" s="70">
        <f>J394/I394-1</f>
        <v>0</v>
      </c>
      <c r="K395" s="70">
        <f>K394/J394-1</f>
        <v>3.649635036496357E-2</v>
      </c>
      <c r="L395" s="23"/>
      <c r="M395" s="70">
        <f>M394/K394-1</f>
        <v>-6.3380281690140872E-2</v>
      </c>
      <c r="N395" s="70">
        <f>N394/M394-1</f>
        <v>6.0150375939849621E-2</v>
      </c>
      <c r="O395" s="70">
        <f>O394/N394-1</f>
        <v>-1.4184397163120588E-2</v>
      </c>
      <c r="P395" s="70">
        <f>P394/O394-1</f>
        <v>4.3165467625899234E-2</v>
      </c>
      <c r="Q395" s="23"/>
      <c r="R395" s="70">
        <f>R394/P394-1</f>
        <v>-6.2068965517241392E-2</v>
      </c>
      <c r="S395" s="70">
        <f>S394/R394-1</f>
        <v>2.2058823529411686E-2</v>
      </c>
      <c r="T395" s="70">
        <f>T394/S394-1</f>
        <v>2.1582733812949728E-2</v>
      </c>
      <c r="U395" s="70">
        <f>U394/T394-1</f>
        <v>4.9295774647887258E-2</v>
      </c>
      <c r="V395" s="23"/>
      <c r="W395" s="70">
        <f>W394/U394-1</f>
        <v>-0.12204026845637583</v>
      </c>
      <c r="X395" s="70">
        <f>X394/W394-1</f>
        <v>3.198385518590996E-2</v>
      </c>
      <c r="Y395" s="70">
        <f>Y394/X394-1</f>
        <v>3.043703703703704E-2</v>
      </c>
      <c r="Z395" s="70">
        <f>Z394/Y394-1</f>
        <v>2.7388594555342038E-3</v>
      </c>
      <c r="AA395" s="23"/>
      <c r="AB395" s="70">
        <f>AB394/Z394-1</f>
        <v>-1.3183740769947105E-2</v>
      </c>
      <c r="AC395" s="70">
        <f>AC394/AB394-1</f>
        <v>1.8873818570152023E-2</v>
      </c>
      <c r="AD395" s="70">
        <f>AD394/AC394-1</f>
        <v>-1.9465379432295316E-2</v>
      </c>
      <c r="AE395" s="70">
        <f>AE394/AD394-1</f>
        <v>7.4826024040310912E-3</v>
      </c>
      <c r="AF395" s="23"/>
      <c r="AG395" s="70">
        <f>AG394/AE394-1</f>
        <v>-1.1173023067817311E-2</v>
      </c>
      <c r="AH395" s="70">
        <f>AH394/AG394-1</f>
        <v>0</v>
      </c>
      <c r="AI395" s="70">
        <f>AI394/AH394-1</f>
        <v>1.4598540145985384E-2</v>
      </c>
      <c r="AJ395" s="70">
        <f>AJ394/AI394-1</f>
        <v>7.194244604316502E-3</v>
      </c>
      <c r="AK395" s="23"/>
      <c r="AL395" s="70">
        <f>AL394/AJ394-1</f>
        <v>1.4285714285714235E-2</v>
      </c>
      <c r="AM395" s="70">
        <f>AM394/AL394-1</f>
        <v>-7.0422535211267512E-3</v>
      </c>
      <c r="AN395" s="70">
        <f>AN394/AM394-1</f>
        <v>-2.1276595744680882E-2</v>
      </c>
      <c r="AO395" s="70">
        <f>AO394/AN394-1</f>
        <v>2.8985507246376718E-2</v>
      </c>
      <c r="AP395" s="23"/>
      <c r="AQ395" s="70">
        <f>AQ394/AO394-1</f>
        <v>-3.5211267605633756E-2</v>
      </c>
      <c r="AR395" s="70">
        <f>AR394/AQ394-1</f>
        <v>-4.3795620437956151E-2</v>
      </c>
      <c r="AS395" s="70">
        <f>AS394/AR394-1</f>
        <v>-2.2900763358778664E-2</v>
      </c>
      <c r="AT395" s="70">
        <f>AT394/AS394-1</f>
        <v>7.03125E-2</v>
      </c>
      <c r="AU395" s="23"/>
      <c r="AV395" s="70">
        <f>AV394/AT394-1</f>
        <v>-8.0291970802919721E-2</v>
      </c>
      <c r="AW395" s="70">
        <f>AW394/AV394-1</f>
        <v>-5.555555555555558E-2</v>
      </c>
      <c r="AX395" s="70">
        <f>AX394/AW394-1</f>
        <v>-4.2016806722689037E-2</v>
      </c>
      <c r="AY395" s="70">
        <f>AY394/AX394-1</f>
        <v>5.2631578947368363E-2</v>
      </c>
      <c r="AZ395" s="23"/>
      <c r="BA395" s="70">
        <v>-5.0000000000000044E-2</v>
      </c>
      <c r="BB395" s="70">
        <v>-2.6315789473684181E-2</v>
      </c>
      <c r="BC395" s="70">
        <v>0</v>
      </c>
      <c r="BD395" s="70"/>
      <c r="BE395" s="23"/>
      <c r="BF395" s="70"/>
      <c r="BG395" s="70"/>
      <c r="BH395" s="70"/>
      <c r="BI395" s="70"/>
      <c r="BJ395" s="23"/>
      <c r="BK395" s="70"/>
    </row>
    <row r="396" spans="1:63" ht="11.25" hidden="1" customHeight="1">
      <c r="A396" s="69" t="s">
        <v>8</v>
      </c>
      <c r="B396" s="23"/>
      <c r="C396" s="71"/>
      <c r="D396" s="71"/>
      <c r="E396" s="71"/>
      <c r="F396" s="71"/>
      <c r="G396" s="23">
        <f>G394/B394-1</f>
        <v>0.18202247191011245</v>
      </c>
      <c r="H396" s="71"/>
      <c r="I396" s="71"/>
      <c r="J396" s="71"/>
      <c r="K396" s="71"/>
      <c r="L396" s="23">
        <f t="shared" ref="L396:AD396" si="705">L394/G394-1</f>
        <v>2.8517110266159662E-2</v>
      </c>
      <c r="M396" s="71">
        <f t="shared" si="705"/>
        <v>6.4000000000000057E-2</v>
      </c>
      <c r="N396" s="71">
        <f t="shared" si="705"/>
        <v>2.9197080291970767E-2</v>
      </c>
      <c r="O396" s="71">
        <f t="shared" si="705"/>
        <v>1.4598540145985384E-2</v>
      </c>
      <c r="P396" s="71">
        <f t="shared" si="705"/>
        <v>2.1126760563380254E-2</v>
      </c>
      <c r="Q396" s="23">
        <f t="shared" si="705"/>
        <v>3.1423290203327126E-2</v>
      </c>
      <c r="R396" s="71">
        <f t="shared" si="705"/>
        <v>2.2556390977443552E-2</v>
      </c>
      <c r="S396" s="71">
        <f t="shared" si="705"/>
        <v>-1.4184397163120588E-2</v>
      </c>
      <c r="T396" s="71">
        <f t="shared" si="705"/>
        <v>2.1582733812949728E-2</v>
      </c>
      <c r="U396" s="71">
        <f t="shared" si="705"/>
        <v>2.7586206896551779E-2</v>
      </c>
      <c r="V396" s="23">
        <f t="shared" si="705"/>
        <v>1.4336917562723928E-2</v>
      </c>
      <c r="W396" s="71">
        <f t="shared" si="705"/>
        <v>-3.8117647058823478E-2</v>
      </c>
      <c r="X396" s="71">
        <f t="shared" si="705"/>
        <v>-2.877697841726623E-2</v>
      </c>
      <c r="Y396" s="71">
        <f t="shared" si="705"/>
        <v>-2.0359154929577405E-2</v>
      </c>
      <c r="Z396" s="71">
        <f t="shared" si="705"/>
        <v>-6.3825503355705249E-2</v>
      </c>
      <c r="AA396" s="23">
        <f t="shared" si="705"/>
        <v>-3.8136042402826864E-2</v>
      </c>
      <c r="AB396" s="71">
        <f t="shared" si="705"/>
        <v>5.2248960371819919E-2</v>
      </c>
      <c r="AC396" s="71">
        <f t="shared" si="705"/>
        <v>3.8881481481481517E-2</v>
      </c>
      <c r="AD396" s="71">
        <f t="shared" si="705"/>
        <v>-1.1429885916799054E-2</v>
      </c>
      <c r="AE396" s="71">
        <f t="shared" ref="AE396:AN396" si="706">AE394/Z394-1</f>
        <v>-6.7531722704134989E-3</v>
      </c>
      <c r="AF396" s="23">
        <f t="shared" si="706"/>
        <v>1.7545438681887848E-2</v>
      </c>
      <c r="AG396" s="71">
        <f t="shared" si="706"/>
        <v>-4.7293517664238616E-3</v>
      </c>
      <c r="AH396" s="71">
        <f t="shared" si="706"/>
        <v>-2.3165940577116406E-2</v>
      </c>
      <c r="AI396" s="71">
        <f t="shared" si="706"/>
        <v>1.0769420952741138E-2</v>
      </c>
      <c r="AJ396" s="71">
        <f t="shared" si="706"/>
        <v>1.0480122412449555E-2</v>
      </c>
      <c r="AK396" s="23">
        <f t="shared" si="706"/>
        <v>-1.7455913438887416E-3</v>
      </c>
      <c r="AL396" s="71">
        <f t="shared" si="706"/>
        <v>3.649635036496357E-2</v>
      </c>
      <c r="AM396" s="71">
        <f t="shared" si="706"/>
        <v>2.9197080291970767E-2</v>
      </c>
      <c r="AN396" s="71">
        <f t="shared" si="706"/>
        <v>-7.194244604316502E-3</v>
      </c>
      <c r="AO396" s="71">
        <f>AO394/AJ394-1</f>
        <v>1.4285714285714235E-2</v>
      </c>
      <c r="AP396" s="23">
        <f>AP394/AK394-1</f>
        <v>1.8083182640144635E-2</v>
      </c>
      <c r="AQ396" s="71">
        <f t="shared" ref="AQ396:AS396" si="707">AQ394/AL394-1</f>
        <v>-3.5211267605633756E-2</v>
      </c>
      <c r="AR396" s="71">
        <f t="shared" si="707"/>
        <v>-7.0921985815602828E-2</v>
      </c>
      <c r="AS396" s="71">
        <f t="shared" si="707"/>
        <v>-7.2463768115942018E-2</v>
      </c>
      <c r="AT396" s="71">
        <f>AT394/AO394-1</f>
        <v>-3.5211267605633756E-2</v>
      </c>
      <c r="AU396" s="23">
        <f>AU394/AP394-1</f>
        <v>-5.3285968028419228E-2</v>
      </c>
      <c r="AV396" s="71">
        <f t="shared" ref="AV396:AX396" si="708">AV394/AQ394-1</f>
        <v>-8.0291970802919721E-2</v>
      </c>
      <c r="AW396" s="71">
        <f t="shared" si="708"/>
        <v>-9.1603053435114545E-2</v>
      </c>
      <c r="AX396" s="71">
        <f t="shared" si="708"/>
        <v>-0.109375</v>
      </c>
      <c r="AY396" s="71">
        <f>AY394/AT394-1</f>
        <v>-0.12408759124087587</v>
      </c>
      <c r="AZ396" s="23">
        <v>-0.10131332082551592</v>
      </c>
      <c r="BA396" s="71">
        <v>-9.5238095238095233E-2</v>
      </c>
      <c r="BB396" s="71">
        <v>-6.7226890756302504E-2</v>
      </c>
      <c r="BC396" s="71">
        <v>-2.6315789473684181E-2</v>
      </c>
      <c r="BD396" s="71"/>
      <c r="BE396" s="23"/>
      <c r="BF396" s="71"/>
      <c r="BG396" s="71"/>
      <c r="BH396" s="71"/>
      <c r="BI396" s="71"/>
      <c r="BJ396" s="23"/>
      <c r="BK396" s="71"/>
    </row>
    <row r="397" spans="1:63" hidden="1">
      <c r="A397" s="67" t="s">
        <v>79</v>
      </c>
      <c r="B397" s="36">
        <v>147</v>
      </c>
      <c r="C397" s="78" t="s">
        <v>48</v>
      </c>
      <c r="D397" s="78" t="s">
        <v>48</v>
      </c>
      <c r="E397" s="78" t="s">
        <v>48</v>
      </c>
      <c r="F397" s="78" t="s">
        <v>48</v>
      </c>
      <c r="G397" s="36">
        <v>181</v>
      </c>
      <c r="H397" s="68">
        <v>41</v>
      </c>
      <c r="I397" s="68">
        <v>43</v>
      </c>
      <c r="J397" s="68">
        <v>47</v>
      </c>
      <c r="K397" s="68">
        <f>L397-J397-I397-H397</f>
        <v>44</v>
      </c>
      <c r="L397" s="36">
        <v>175</v>
      </c>
      <c r="M397" s="68">
        <v>44</v>
      </c>
      <c r="N397" s="68">
        <v>48</v>
      </c>
      <c r="O397" s="68">
        <v>48</v>
      </c>
      <c r="P397" s="68">
        <f>Q397-O397-N397-M397</f>
        <v>52</v>
      </c>
      <c r="Q397" s="36">
        <v>192</v>
      </c>
      <c r="R397" s="68">
        <v>47</v>
      </c>
      <c r="S397" s="68">
        <v>53</v>
      </c>
      <c r="T397" s="68">
        <v>51</v>
      </c>
      <c r="U397" s="68">
        <f>V397-T397-S397-R397</f>
        <v>58.084000000000003</v>
      </c>
      <c r="V397" s="36">
        <v>209.084</v>
      </c>
      <c r="W397" s="68">
        <v>50.045999999999999</v>
      </c>
      <c r="X397" s="68">
        <v>52.976999999999997</v>
      </c>
      <c r="Y397" s="68">
        <v>54.37</v>
      </c>
      <c r="Z397" s="68">
        <f>AA397-Y397-X397-W397</f>
        <v>51.805</v>
      </c>
      <c r="AA397" s="36">
        <v>209.19800000000001</v>
      </c>
      <c r="AB397" s="68">
        <v>51.332000000000001</v>
      </c>
      <c r="AC397" s="68">
        <v>50.058</v>
      </c>
      <c r="AD397" s="68">
        <v>49.411999999999999</v>
      </c>
      <c r="AE397" s="68">
        <f>AF397-AD397-AC397-AB397</f>
        <v>54.455000000000005</v>
      </c>
      <c r="AF397" s="36">
        <v>205.25700000000001</v>
      </c>
      <c r="AG397" s="68">
        <v>50</v>
      </c>
      <c r="AH397" s="68">
        <v>50</v>
      </c>
      <c r="AI397" s="68">
        <v>53</v>
      </c>
      <c r="AJ397" s="68">
        <f>AK397-AI397-AH397-AG397</f>
        <v>56</v>
      </c>
      <c r="AK397" s="36">
        <v>209</v>
      </c>
      <c r="AL397" s="68">
        <v>53</v>
      </c>
      <c r="AM397" s="68">
        <v>53</v>
      </c>
      <c r="AN397" s="68">
        <v>49</v>
      </c>
      <c r="AO397" s="68">
        <f>AP397-AN397-AM397-AL397</f>
        <v>54</v>
      </c>
      <c r="AP397" s="36">
        <v>209</v>
      </c>
      <c r="AQ397" s="68">
        <v>57</v>
      </c>
      <c r="AR397" s="68">
        <v>56</v>
      </c>
      <c r="AS397" s="68">
        <v>55</v>
      </c>
      <c r="AT397" s="68">
        <f>AU397-AS397-AR397-AQ397</f>
        <v>53</v>
      </c>
      <c r="AU397" s="36">
        <v>221</v>
      </c>
      <c r="AV397" s="68">
        <v>48</v>
      </c>
      <c r="AW397" s="68">
        <v>46</v>
      </c>
      <c r="AX397" s="68">
        <v>48</v>
      </c>
      <c r="AY397" s="68">
        <f>AZ397-AX397-AW397-AV397</f>
        <v>45</v>
      </c>
      <c r="AZ397" s="36">
        <v>187</v>
      </c>
      <c r="BA397" s="68">
        <v>50</v>
      </c>
      <c r="BB397" s="68">
        <v>52</v>
      </c>
      <c r="BC397" s="68">
        <v>49</v>
      </c>
      <c r="BD397" s="68"/>
      <c r="BE397" s="36"/>
      <c r="BF397" s="68"/>
      <c r="BG397" s="68"/>
      <c r="BH397" s="68"/>
      <c r="BI397" s="68"/>
      <c r="BJ397" s="36"/>
      <c r="BK397" s="68"/>
    </row>
    <row r="398" spans="1:63" hidden="1">
      <c r="A398" s="69" t="s">
        <v>7</v>
      </c>
      <c r="B398" s="23"/>
      <c r="C398" s="70"/>
      <c r="D398" s="70"/>
      <c r="E398" s="70"/>
      <c r="F398" s="70"/>
      <c r="G398" s="23"/>
      <c r="H398" s="70"/>
      <c r="I398" s="70">
        <f>I397/H397-1</f>
        <v>4.8780487804878092E-2</v>
      </c>
      <c r="J398" s="70">
        <f>J397/I397-1</f>
        <v>9.3023255813953432E-2</v>
      </c>
      <c r="K398" s="70">
        <f>K397/J397-1</f>
        <v>-6.3829787234042534E-2</v>
      </c>
      <c r="L398" s="23"/>
      <c r="M398" s="70">
        <f>M397/K397-1</f>
        <v>0</v>
      </c>
      <c r="N398" s="70">
        <f>N397/M397-1</f>
        <v>9.0909090909090828E-2</v>
      </c>
      <c r="O398" s="70">
        <f>O397/N397-1</f>
        <v>0</v>
      </c>
      <c r="P398" s="70">
        <f>P397/O397-1</f>
        <v>8.3333333333333259E-2</v>
      </c>
      <c r="Q398" s="23"/>
      <c r="R398" s="70">
        <f>R397/P397-1</f>
        <v>-9.6153846153846145E-2</v>
      </c>
      <c r="S398" s="70">
        <f>S397/R397-1</f>
        <v>0.12765957446808507</v>
      </c>
      <c r="T398" s="70">
        <f>T397/S397-1</f>
        <v>-3.7735849056603765E-2</v>
      </c>
      <c r="U398" s="70">
        <f>U397/T397-1</f>
        <v>0.13890196078431383</v>
      </c>
      <c r="V398" s="23"/>
      <c r="W398" s="70">
        <f>W397/U397-1</f>
        <v>-0.13838578610288554</v>
      </c>
      <c r="X398" s="70">
        <f>X397/W397-1</f>
        <v>5.8566119170363251E-2</v>
      </c>
      <c r="Y398" s="70">
        <f>Y397/X397-1</f>
        <v>2.629442965815354E-2</v>
      </c>
      <c r="Z398" s="70">
        <f>Z397/Y397-1</f>
        <v>-4.7176751885230739E-2</v>
      </c>
      <c r="AA398" s="23"/>
      <c r="AB398" s="70">
        <f>AB397/Z397-1</f>
        <v>-9.1303928192258965E-3</v>
      </c>
      <c r="AC398" s="70">
        <f>AC397/AB397-1</f>
        <v>-2.4818826463025023E-2</v>
      </c>
      <c r="AD398" s="70">
        <f>AD397/AC397-1</f>
        <v>-1.2905030165008657E-2</v>
      </c>
      <c r="AE398" s="70">
        <f>AE397/AD397-1</f>
        <v>0.10206022828462724</v>
      </c>
      <c r="AF398" s="23"/>
      <c r="AG398" s="70">
        <f>AG397/AE397-1</f>
        <v>-8.1810669360022126E-2</v>
      </c>
      <c r="AH398" s="70">
        <f>AH397/AG397-1</f>
        <v>0</v>
      </c>
      <c r="AI398" s="70">
        <f>AI397/AH397-1</f>
        <v>6.0000000000000053E-2</v>
      </c>
      <c r="AJ398" s="70">
        <f>AJ397/AI397-1</f>
        <v>5.6603773584905648E-2</v>
      </c>
      <c r="AK398" s="23"/>
      <c r="AL398" s="70">
        <f>AL397/AJ397-1</f>
        <v>-5.3571428571428603E-2</v>
      </c>
      <c r="AM398" s="70">
        <f>AM397/AL397-1</f>
        <v>0</v>
      </c>
      <c r="AN398" s="70">
        <f>AN397/AM397-1</f>
        <v>-7.547169811320753E-2</v>
      </c>
      <c r="AO398" s="70">
        <f>AO397/AN397-1</f>
        <v>0.1020408163265305</v>
      </c>
      <c r="AP398" s="23"/>
      <c r="AQ398" s="70">
        <f>AQ397/AO397-1</f>
        <v>5.555555555555558E-2</v>
      </c>
      <c r="AR398" s="70">
        <f>AR397/AQ397-1</f>
        <v>-1.7543859649122862E-2</v>
      </c>
      <c r="AS398" s="70">
        <f>AS397/AR397-1</f>
        <v>-1.7857142857142905E-2</v>
      </c>
      <c r="AT398" s="70">
        <f>AT397/AS397-1</f>
        <v>-3.6363636363636376E-2</v>
      </c>
      <c r="AU398" s="23"/>
      <c r="AV398" s="70">
        <f>AV397/AT397-1</f>
        <v>-9.4339622641509413E-2</v>
      </c>
      <c r="AW398" s="70">
        <f>AW397/AV397-1</f>
        <v>-4.166666666666663E-2</v>
      </c>
      <c r="AX398" s="70">
        <f>AX397/AW397-1</f>
        <v>4.3478260869565188E-2</v>
      </c>
      <c r="AY398" s="70">
        <f>AY397/AX397-1</f>
        <v>-6.25E-2</v>
      </c>
      <c r="AZ398" s="23"/>
      <c r="BA398" s="70">
        <v>0.11111111111111116</v>
      </c>
      <c r="BB398" s="70">
        <v>4.0000000000000036E-2</v>
      </c>
      <c r="BC398" s="70">
        <v>-5.7692307692307709E-2</v>
      </c>
      <c r="BD398" s="70"/>
      <c r="BE398" s="23"/>
      <c r="BF398" s="70"/>
      <c r="BG398" s="70"/>
      <c r="BH398" s="70"/>
      <c r="BI398" s="70"/>
      <c r="BJ398" s="23"/>
      <c r="BK398" s="70"/>
    </row>
    <row r="399" spans="1:63" hidden="1">
      <c r="A399" s="69" t="s">
        <v>8</v>
      </c>
      <c r="B399" s="23"/>
      <c r="C399" s="71"/>
      <c r="D399" s="71"/>
      <c r="E399" s="71"/>
      <c r="F399" s="71"/>
      <c r="G399" s="23">
        <f>G397/B397-1</f>
        <v>0.23129251700680276</v>
      </c>
      <c r="H399" s="71"/>
      <c r="I399" s="71"/>
      <c r="J399" s="71"/>
      <c r="K399" s="71"/>
      <c r="L399" s="23">
        <f t="shared" ref="L399:AD399" si="709">L397/G397-1</f>
        <v>-3.3149171270718258E-2</v>
      </c>
      <c r="M399" s="71">
        <f t="shared" si="709"/>
        <v>7.3170731707317138E-2</v>
      </c>
      <c r="N399" s="71">
        <f t="shared" si="709"/>
        <v>0.11627906976744184</v>
      </c>
      <c r="O399" s="71">
        <f t="shared" si="709"/>
        <v>2.1276595744680771E-2</v>
      </c>
      <c r="P399" s="71">
        <f t="shared" si="709"/>
        <v>0.18181818181818188</v>
      </c>
      <c r="Q399" s="23">
        <f t="shared" si="709"/>
        <v>9.7142857142857197E-2</v>
      </c>
      <c r="R399" s="71">
        <f t="shared" si="709"/>
        <v>6.8181818181818121E-2</v>
      </c>
      <c r="S399" s="71">
        <f t="shared" si="709"/>
        <v>0.10416666666666674</v>
      </c>
      <c r="T399" s="71">
        <f t="shared" si="709"/>
        <v>6.25E-2</v>
      </c>
      <c r="U399" s="71">
        <f t="shared" si="709"/>
        <v>0.11699999999999999</v>
      </c>
      <c r="V399" s="23">
        <f t="shared" si="709"/>
        <v>8.8979166666666609E-2</v>
      </c>
      <c r="W399" s="71">
        <f t="shared" si="709"/>
        <v>6.4808510638297845E-2</v>
      </c>
      <c r="X399" s="71">
        <f t="shared" si="709"/>
        <v>-4.3396226415104433E-4</v>
      </c>
      <c r="Y399" s="71">
        <f t="shared" si="709"/>
        <v>6.6078431372548874E-2</v>
      </c>
      <c r="Z399" s="71">
        <f t="shared" si="709"/>
        <v>-0.10810205908683979</v>
      </c>
      <c r="AA399" s="23">
        <f t="shared" si="709"/>
        <v>5.4523540777862145E-4</v>
      </c>
      <c r="AB399" s="71">
        <f t="shared" si="709"/>
        <v>2.5696359349398623E-2</v>
      </c>
      <c r="AC399" s="71">
        <f t="shared" si="709"/>
        <v>-5.5099382751005122E-2</v>
      </c>
      <c r="AD399" s="71">
        <f t="shared" si="709"/>
        <v>-9.118999448225118E-2</v>
      </c>
      <c r="AE399" s="71">
        <f t="shared" ref="AE399:AN399" si="710">AE397/Z397-1</f>
        <v>5.1153363574944599E-2</v>
      </c>
      <c r="AF399" s="23">
        <f t="shared" si="710"/>
        <v>-1.8838612223826212E-2</v>
      </c>
      <c r="AG399" s="71">
        <f t="shared" si="710"/>
        <v>-2.5948725940933559E-2</v>
      </c>
      <c r="AH399" s="71">
        <f t="shared" si="710"/>
        <v>-1.1586559590874845E-3</v>
      </c>
      <c r="AI399" s="71">
        <f t="shared" si="710"/>
        <v>7.261393993361942E-2</v>
      </c>
      <c r="AJ399" s="71">
        <f t="shared" si="710"/>
        <v>2.8372050316775255E-2</v>
      </c>
      <c r="AK399" s="23">
        <f t="shared" si="710"/>
        <v>1.8235675275386498E-2</v>
      </c>
      <c r="AL399" s="71">
        <f t="shared" si="710"/>
        <v>6.0000000000000053E-2</v>
      </c>
      <c r="AM399" s="71">
        <f t="shared" si="710"/>
        <v>6.0000000000000053E-2</v>
      </c>
      <c r="AN399" s="71">
        <f t="shared" si="710"/>
        <v>-7.547169811320753E-2</v>
      </c>
      <c r="AO399" s="71">
        <f>AO397/AJ397-1</f>
        <v>-3.5714285714285698E-2</v>
      </c>
      <c r="AP399" s="23">
        <f>AP397/AK397-1</f>
        <v>0</v>
      </c>
      <c r="AQ399" s="71">
        <f t="shared" ref="AQ399:AS399" si="711">AQ397/AL397-1</f>
        <v>7.547169811320753E-2</v>
      </c>
      <c r="AR399" s="71">
        <f t="shared" si="711"/>
        <v>5.6603773584905648E-2</v>
      </c>
      <c r="AS399" s="71">
        <f t="shared" si="711"/>
        <v>0.12244897959183665</v>
      </c>
      <c r="AT399" s="71">
        <f>AT397/AO397-1</f>
        <v>-1.851851851851849E-2</v>
      </c>
      <c r="AU399" s="23">
        <f>AU397/AP397-1</f>
        <v>5.741626794258381E-2</v>
      </c>
      <c r="AV399" s="71">
        <f t="shared" ref="AV399:AX399" si="712">AV397/AQ397-1</f>
        <v>-0.15789473684210531</v>
      </c>
      <c r="AW399" s="71">
        <f t="shared" si="712"/>
        <v>-0.1785714285714286</v>
      </c>
      <c r="AX399" s="71">
        <f t="shared" si="712"/>
        <v>-0.12727272727272732</v>
      </c>
      <c r="AY399" s="71">
        <f>AY397/AT397-1</f>
        <v>-0.15094339622641506</v>
      </c>
      <c r="AZ399" s="23">
        <v>-0.15384615384615385</v>
      </c>
      <c r="BA399" s="71">
        <v>4.1666666666666741E-2</v>
      </c>
      <c r="BB399" s="71">
        <v>0.13043478260869557</v>
      </c>
      <c r="BC399" s="71">
        <v>2.0833333333333259E-2</v>
      </c>
      <c r="BD399" s="71"/>
      <c r="BE399" s="23"/>
      <c r="BF399" s="71"/>
      <c r="BG399" s="71"/>
      <c r="BH399" s="71"/>
      <c r="BI399" s="71"/>
      <c r="BJ399" s="23"/>
      <c r="BK399" s="71"/>
    </row>
    <row r="400" spans="1:63" hidden="1">
      <c r="A400" s="67" t="s">
        <v>80</v>
      </c>
      <c r="B400" s="36">
        <v>94</v>
      </c>
      <c r="C400" s="78" t="s">
        <v>48</v>
      </c>
      <c r="D400" s="78" t="s">
        <v>48</v>
      </c>
      <c r="E400" s="78" t="s">
        <v>48</v>
      </c>
      <c r="F400" s="78" t="s">
        <v>48</v>
      </c>
      <c r="G400" s="36">
        <v>103</v>
      </c>
      <c r="H400" s="68">
        <v>24</v>
      </c>
      <c r="I400" s="68">
        <v>26</v>
      </c>
      <c r="J400" s="68">
        <v>24</v>
      </c>
      <c r="K400" s="68">
        <f>L400-J400-I400-H400</f>
        <v>31</v>
      </c>
      <c r="L400" s="36">
        <v>105</v>
      </c>
      <c r="M400" s="68">
        <v>28</v>
      </c>
      <c r="N400" s="68">
        <v>27</v>
      </c>
      <c r="O400" s="68">
        <v>26</v>
      </c>
      <c r="P400" s="68">
        <f>Q400-O400-N400-M400</f>
        <v>28</v>
      </c>
      <c r="Q400" s="36">
        <v>109</v>
      </c>
      <c r="R400" s="68">
        <v>28</v>
      </c>
      <c r="S400" s="68">
        <v>26</v>
      </c>
      <c r="T400" s="68">
        <v>30</v>
      </c>
      <c r="U400" s="68">
        <f>V400-T400-S400-R400</f>
        <v>32.278000000000006</v>
      </c>
      <c r="V400" s="36">
        <f>115.861+0.417</f>
        <v>116.27800000000001</v>
      </c>
      <c r="W400" s="68">
        <v>31.416</v>
      </c>
      <c r="X400" s="68">
        <v>28.713000000000001</v>
      </c>
      <c r="Y400" s="68">
        <v>29.314</v>
      </c>
      <c r="Z400" s="68">
        <f>AA400-Y400-X400-W400</f>
        <v>27.634000000000004</v>
      </c>
      <c r="AA400" s="36">
        <f>117.077</f>
        <v>117.077</v>
      </c>
      <c r="AB400" s="68">
        <v>29.92</v>
      </c>
      <c r="AC400" s="68">
        <f>29.967+0.001</f>
        <v>29.968</v>
      </c>
      <c r="AD400" s="68">
        <f>31.247+1.975</f>
        <v>33.222000000000001</v>
      </c>
      <c r="AE400" s="68">
        <f>AF400-AD400-AC400-AB400</f>
        <v>25.918000000000006</v>
      </c>
      <c r="AF400" s="36">
        <f>119.028</f>
        <v>119.02800000000001</v>
      </c>
      <c r="AG400" s="68">
        <v>29</v>
      </c>
      <c r="AH400" s="68">
        <v>30</v>
      </c>
      <c r="AI400" s="68">
        <v>26</v>
      </c>
      <c r="AJ400" s="68">
        <f>AK400-AI400-AH400-AG400</f>
        <v>27</v>
      </c>
      <c r="AK400" s="36">
        <v>112</v>
      </c>
      <c r="AL400" s="68">
        <v>28</v>
      </c>
      <c r="AM400" s="68">
        <v>28</v>
      </c>
      <c r="AN400" s="143">
        <v>29</v>
      </c>
      <c r="AO400" s="68">
        <f>AP400-AN400-AM400-AL400</f>
        <v>31</v>
      </c>
      <c r="AP400" s="36">
        <v>116</v>
      </c>
      <c r="AQ400" s="68">
        <v>29</v>
      </c>
      <c r="AR400" s="68">
        <v>28</v>
      </c>
      <c r="AS400" s="143">
        <v>28</v>
      </c>
      <c r="AT400" s="68">
        <f>AU400-AS400-AR400-AQ400</f>
        <v>33</v>
      </c>
      <c r="AU400" s="36">
        <v>118</v>
      </c>
      <c r="AV400" s="68">
        <v>29</v>
      </c>
      <c r="AW400" s="68">
        <v>27</v>
      </c>
      <c r="AX400" s="68">
        <v>28</v>
      </c>
      <c r="AY400" s="68">
        <f>AZ400-AX400-AW400-AV400</f>
        <v>31</v>
      </c>
      <c r="AZ400" s="36">
        <v>115</v>
      </c>
      <c r="BA400" s="68">
        <v>28</v>
      </c>
      <c r="BB400" s="68">
        <v>30</v>
      </c>
      <c r="BC400" s="68">
        <v>29</v>
      </c>
      <c r="BD400" s="68"/>
      <c r="BE400" s="36"/>
      <c r="BF400" s="68"/>
      <c r="BG400" s="68"/>
      <c r="BH400" s="68"/>
      <c r="BI400" s="68"/>
      <c r="BJ400" s="36"/>
      <c r="BK400" s="68"/>
    </row>
    <row r="401" spans="1:64" hidden="1">
      <c r="A401" s="69" t="s">
        <v>7</v>
      </c>
      <c r="B401" s="23"/>
      <c r="C401" s="70"/>
      <c r="D401" s="70"/>
      <c r="E401" s="70"/>
      <c r="F401" s="70"/>
      <c r="G401" s="23"/>
      <c r="H401" s="70"/>
      <c r="I401" s="70">
        <f>I400/H400-1</f>
        <v>8.3333333333333259E-2</v>
      </c>
      <c r="J401" s="70">
        <f>J400/I400-1</f>
        <v>-7.6923076923076872E-2</v>
      </c>
      <c r="K401" s="70">
        <f>K400/J400-1</f>
        <v>0.29166666666666674</v>
      </c>
      <c r="L401" s="23"/>
      <c r="M401" s="70">
        <f>M400/K400-1</f>
        <v>-9.6774193548387122E-2</v>
      </c>
      <c r="N401" s="70">
        <f>N400/M400-1</f>
        <v>-3.5714285714285698E-2</v>
      </c>
      <c r="O401" s="70">
        <f>O400/N400-1</f>
        <v>-3.703703703703709E-2</v>
      </c>
      <c r="P401" s="70">
        <f>P400/O400-1</f>
        <v>7.6923076923076872E-2</v>
      </c>
      <c r="Q401" s="23"/>
      <c r="R401" s="70">
        <f>R400/P400-1</f>
        <v>0</v>
      </c>
      <c r="S401" s="70">
        <f>S400/R400-1</f>
        <v>-7.1428571428571397E-2</v>
      </c>
      <c r="T401" s="70">
        <f>T400/S400-1</f>
        <v>0.15384615384615374</v>
      </c>
      <c r="U401" s="70">
        <f>U400/T400-1</f>
        <v>7.593333333333363E-2</v>
      </c>
      <c r="V401" s="23"/>
      <c r="W401" s="70">
        <f>W400/U400-1</f>
        <v>-2.6705496003470053E-2</v>
      </c>
      <c r="X401" s="70">
        <f>X400/W400-1</f>
        <v>-8.6038961038961026E-2</v>
      </c>
      <c r="Y401" s="70">
        <f>Y400/X400-1</f>
        <v>2.0931285480444428E-2</v>
      </c>
      <c r="Z401" s="70">
        <f>Z400/Y400-1</f>
        <v>-5.7310500102340067E-2</v>
      </c>
      <c r="AA401" s="23"/>
      <c r="AB401" s="70">
        <f>AB400/Z400-1</f>
        <v>8.2724180357530486E-2</v>
      </c>
      <c r="AC401" s="70">
        <f>AC400/AB400-1</f>
        <v>1.6042780748661833E-3</v>
      </c>
      <c r="AD401" s="70">
        <f>AD400/AC400-1</f>
        <v>0.10858248798718639</v>
      </c>
      <c r="AE401" s="70">
        <f>AE400/AD400-1</f>
        <v>-0.21985431340677852</v>
      </c>
      <c r="AF401" s="23"/>
      <c r="AG401" s="70">
        <f>AG400/AE400-1</f>
        <v>0.11891349641175997</v>
      </c>
      <c r="AH401" s="70">
        <f>AH400/AG400-1</f>
        <v>3.4482758620689724E-2</v>
      </c>
      <c r="AI401" s="70">
        <f>AI400/AH400-1</f>
        <v>-0.1333333333333333</v>
      </c>
      <c r="AJ401" s="70">
        <f>AJ400/AI400-1</f>
        <v>3.8461538461538547E-2</v>
      </c>
      <c r="AK401" s="23"/>
      <c r="AL401" s="70">
        <f>AL400/AJ400-1</f>
        <v>3.7037037037036979E-2</v>
      </c>
      <c r="AM401" s="70">
        <f>AM400/AL400-1</f>
        <v>0</v>
      </c>
      <c r="AN401" s="70">
        <f>AN400/AM400-1</f>
        <v>3.5714285714285809E-2</v>
      </c>
      <c r="AO401" s="70">
        <f>AO400/AN400-1</f>
        <v>6.8965517241379226E-2</v>
      </c>
      <c r="AP401" s="23"/>
      <c r="AQ401" s="70">
        <f>AQ400/AO400-1</f>
        <v>-6.4516129032258118E-2</v>
      </c>
      <c r="AR401" s="70">
        <f>AR400/AQ400-1</f>
        <v>-3.4482758620689613E-2</v>
      </c>
      <c r="AS401" s="70">
        <f>AS400/AR400-1</f>
        <v>0</v>
      </c>
      <c r="AT401" s="70">
        <f>AT400/AS400-1</f>
        <v>0.1785714285714286</v>
      </c>
      <c r="AU401" s="23"/>
      <c r="AV401" s="70">
        <f>AV400/AT400-1</f>
        <v>-0.12121212121212122</v>
      </c>
      <c r="AW401" s="70">
        <f>AW400/AV400-1</f>
        <v>-6.8965517241379337E-2</v>
      </c>
      <c r="AX401" s="70">
        <f>AX400/AW400-1</f>
        <v>3.7037037037036979E-2</v>
      </c>
      <c r="AY401" s="70">
        <f>AY400/AX400-1</f>
        <v>0.10714285714285721</v>
      </c>
      <c r="AZ401" s="23"/>
      <c r="BA401" s="70">
        <v>-9.6774193548387122E-2</v>
      </c>
      <c r="BB401" s="70">
        <v>7.1428571428571397E-2</v>
      </c>
      <c r="BC401" s="70">
        <v>-3.3333333333333326E-2</v>
      </c>
      <c r="BD401" s="70"/>
      <c r="BE401" s="23"/>
      <c r="BF401" s="70"/>
      <c r="BG401" s="70"/>
      <c r="BH401" s="70"/>
      <c r="BI401" s="70"/>
      <c r="BJ401" s="23"/>
      <c r="BK401" s="70"/>
    </row>
    <row r="402" spans="1:64" hidden="1">
      <c r="A402" s="69" t="s">
        <v>8</v>
      </c>
      <c r="B402" s="23"/>
      <c r="C402" s="71"/>
      <c r="D402" s="71"/>
      <c r="E402" s="71"/>
      <c r="F402" s="71"/>
      <c r="G402" s="23">
        <f>G400/B400-1</f>
        <v>9.5744680851063801E-2</v>
      </c>
      <c r="H402" s="71"/>
      <c r="I402" s="71"/>
      <c r="J402" s="71"/>
      <c r="K402" s="71"/>
      <c r="L402" s="23">
        <f t="shared" ref="L402:AD402" si="713">L400/G400-1</f>
        <v>1.9417475728155331E-2</v>
      </c>
      <c r="M402" s="71">
        <f t="shared" si="713"/>
        <v>0.16666666666666674</v>
      </c>
      <c r="N402" s="71">
        <f t="shared" si="713"/>
        <v>3.8461538461538547E-2</v>
      </c>
      <c r="O402" s="71">
        <f t="shared" si="713"/>
        <v>8.3333333333333259E-2</v>
      </c>
      <c r="P402" s="71">
        <f t="shared" si="713"/>
        <v>-9.6774193548387122E-2</v>
      </c>
      <c r="Q402" s="23">
        <f t="shared" si="713"/>
        <v>3.8095238095238182E-2</v>
      </c>
      <c r="R402" s="71">
        <f t="shared" si="713"/>
        <v>0</v>
      </c>
      <c r="S402" s="71">
        <f t="shared" si="713"/>
        <v>-3.703703703703709E-2</v>
      </c>
      <c r="T402" s="71">
        <f t="shared" si="713"/>
        <v>0.15384615384615374</v>
      </c>
      <c r="U402" s="71">
        <f t="shared" si="713"/>
        <v>0.15278571428571452</v>
      </c>
      <c r="V402" s="23">
        <f t="shared" si="713"/>
        <v>6.6770642201834818E-2</v>
      </c>
      <c r="W402" s="71">
        <f t="shared" si="713"/>
        <v>0.12200000000000011</v>
      </c>
      <c r="X402" s="71">
        <f t="shared" si="713"/>
        <v>0.10434615384615387</v>
      </c>
      <c r="Y402" s="71">
        <f t="shared" si="713"/>
        <v>-2.2866666666666702E-2</v>
      </c>
      <c r="Z402" s="71">
        <f t="shared" si="713"/>
        <v>-0.14387508519734804</v>
      </c>
      <c r="AA402" s="23">
        <f t="shared" si="713"/>
        <v>6.8714632174615708E-3</v>
      </c>
      <c r="AB402" s="71">
        <f t="shared" si="713"/>
        <v>-4.7619047619047561E-2</v>
      </c>
      <c r="AC402" s="71">
        <f t="shared" si="713"/>
        <v>4.3708424755337205E-2</v>
      </c>
      <c r="AD402" s="71">
        <f t="shared" si="713"/>
        <v>0.13331513952377705</v>
      </c>
      <c r="AE402" s="71">
        <f t="shared" ref="AE402:AN402" si="714">AE400/Z400-1</f>
        <v>-6.2097416226387647E-2</v>
      </c>
      <c r="AF402" s="23">
        <f t="shared" si="714"/>
        <v>1.6664246606933997E-2</v>
      </c>
      <c r="AG402" s="71">
        <f t="shared" si="714"/>
        <v>-3.074866310160429E-2</v>
      </c>
      <c r="AH402" s="71">
        <f t="shared" si="714"/>
        <v>1.0678056593700358E-3</v>
      </c>
      <c r="AI402" s="71">
        <f t="shared" si="714"/>
        <v>-0.21738606947203665</v>
      </c>
      <c r="AJ402" s="71">
        <f t="shared" si="714"/>
        <v>4.1747048383362628E-2</v>
      </c>
      <c r="AK402" s="23">
        <f t="shared" si="714"/>
        <v>-5.9044930604563728E-2</v>
      </c>
      <c r="AL402" s="71">
        <f t="shared" si="714"/>
        <v>-3.4482758620689613E-2</v>
      </c>
      <c r="AM402" s="71">
        <f t="shared" si="714"/>
        <v>-6.6666666666666652E-2</v>
      </c>
      <c r="AN402" s="71">
        <f t="shared" si="714"/>
        <v>0.11538461538461542</v>
      </c>
      <c r="AO402" s="71">
        <f>AO400/AJ400-1</f>
        <v>0.14814814814814814</v>
      </c>
      <c r="AP402" s="23">
        <f>AP400/AK400-1</f>
        <v>3.5714285714285809E-2</v>
      </c>
      <c r="AQ402" s="71">
        <f t="shared" ref="AQ402:AS402" si="715">AQ400/AL400-1</f>
        <v>3.5714285714285809E-2</v>
      </c>
      <c r="AR402" s="71">
        <f t="shared" si="715"/>
        <v>0</v>
      </c>
      <c r="AS402" s="71">
        <f t="shared" si="715"/>
        <v>-3.4482758620689613E-2</v>
      </c>
      <c r="AT402" s="71">
        <f>AT400/AO400-1</f>
        <v>6.4516129032258007E-2</v>
      </c>
      <c r="AU402" s="23">
        <f>AU400/AP400-1</f>
        <v>1.7241379310344751E-2</v>
      </c>
      <c r="AV402" s="71">
        <f t="shared" ref="AV402:AX402" si="716">AV400/AQ400-1</f>
        <v>0</v>
      </c>
      <c r="AW402" s="71">
        <f t="shared" si="716"/>
        <v>-3.5714285714285698E-2</v>
      </c>
      <c r="AX402" s="71">
        <f t="shared" si="716"/>
        <v>0</v>
      </c>
      <c r="AY402" s="71">
        <f>AY400/AT400-1</f>
        <v>-6.0606060606060552E-2</v>
      </c>
      <c r="AZ402" s="23">
        <v>-2.5423728813559365E-2</v>
      </c>
      <c r="BA402" s="71">
        <v>-3.4482758620689613E-2</v>
      </c>
      <c r="BB402" s="71">
        <v>0.11111111111111116</v>
      </c>
      <c r="BC402" s="71">
        <v>3.5714285714285809E-2</v>
      </c>
      <c r="BD402" s="71"/>
      <c r="BE402" s="23"/>
      <c r="BF402" s="71"/>
      <c r="BG402" s="71"/>
      <c r="BH402" s="71"/>
      <c r="BI402" s="71"/>
      <c r="BJ402" s="23"/>
      <c r="BK402" s="71"/>
    </row>
    <row r="403" spans="1:64" ht="11.25" customHeight="1">
      <c r="A403" s="67" t="s">
        <v>249</v>
      </c>
      <c r="B403" s="36">
        <f>46.096+24.952+15.549</f>
        <v>86.597000000000008</v>
      </c>
      <c r="C403" s="68">
        <v>20</v>
      </c>
      <c r="D403" s="68">
        <f>10.137+5.245+4.935</f>
        <v>20.317</v>
      </c>
      <c r="E403" s="68">
        <f>10.15+5.082+4.672</f>
        <v>19.904</v>
      </c>
      <c r="F403" s="68">
        <f>G403-E403-D403-C403</f>
        <v>19.860999999999997</v>
      </c>
      <c r="G403" s="36">
        <f>40.852+20.34+18.89</f>
        <v>80.081999999999994</v>
      </c>
      <c r="H403" s="68">
        <f>10.212+4.612+4.79</f>
        <v>19.614000000000001</v>
      </c>
      <c r="I403" s="68">
        <f>10.079+5.233+5.362</f>
        <v>20.673999999999999</v>
      </c>
      <c r="J403" s="68">
        <f>10.169+5.512+5.719</f>
        <v>21.400000000000002</v>
      </c>
      <c r="K403" s="68">
        <f>L403-J403-I403-H403</f>
        <v>22.546000000000003</v>
      </c>
      <c r="L403" s="36">
        <f>41.005+21.158+22.071</f>
        <v>84.234000000000009</v>
      </c>
      <c r="M403" s="68">
        <f>10.003+6.211+6.375</f>
        <v>22.588999999999999</v>
      </c>
      <c r="N403" s="68">
        <v>23</v>
      </c>
      <c r="O403" s="68">
        <v>23.52</v>
      </c>
      <c r="P403" s="68">
        <f>Q403-O403-N403-M403</f>
        <v>25.182000000000002</v>
      </c>
      <c r="Q403" s="36">
        <f>42.96+25.374+25.957</f>
        <v>94.290999999999997</v>
      </c>
      <c r="R403" s="68">
        <f>11.201+6.443+6.622</f>
        <v>24.265999999999998</v>
      </c>
      <c r="S403" s="68">
        <f>11.652+8.008+6.743</f>
        <v>26.402999999999999</v>
      </c>
      <c r="T403" s="68">
        <f>12.275+8.876+6.822</f>
        <v>27.972999999999999</v>
      </c>
      <c r="U403" s="68">
        <f>V403-T403-S403-R403</f>
        <v>30.244</v>
      </c>
      <c r="V403" s="36">
        <f>48.323+33.462+27.101</f>
        <v>108.886</v>
      </c>
      <c r="W403" s="68">
        <f>17.646+10.076+6.634</f>
        <v>34.356000000000002</v>
      </c>
      <c r="X403" s="68">
        <f>17.483+10.26+6.699</f>
        <v>34.442</v>
      </c>
      <c r="Y403" s="68">
        <f>17.873+11.189+5.441</f>
        <v>34.503</v>
      </c>
      <c r="Z403" s="68">
        <f>AA403-Y403-X403-W403</f>
        <v>33.073</v>
      </c>
      <c r="AA403" s="36">
        <f>71.403+43.312+21.659</f>
        <v>136.374</v>
      </c>
      <c r="AB403" s="68">
        <f>17.414+10.524+3.354</f>
        <v>31.292000000000002</v>
      </c>
      <c r="AC403" s="68">
        <f>17.625+10.517+4.39</f>
        <v>32.531999999999996</v>
      </c>
      <c r="AD403" s="68">
        <f>17.249+11.187+4.514</f>
        <v>32.950000000000003</v>
      </c>
      <c r="AE403" s="68">
        <f>AF403-AD403-AC403-AB403</f>
        <v>33.225999999999999</v>
      </c>
      <c r="AF403" s="36">
        <v>130</v>
      </c>
      <c r="AG403" s="68">
        <v>32</v>
      </c>
      <c r="AH403" s="68">
        <v>32</v>
      </c>
      <c r="AI403" s="68">
        <v>32</v>
      </c>
      <c r="AJ403" s="68">
        <f>AK403-AI403-AH403-AG403</f>
        <v>34</v>
      </c>
      <c r="AK403" s="36">
        <f>66+41+23</f>
        <v>130</v>
      </c>
      <c r="AL403" s="68">
        <v>32</v>
      </c>
      <c r="AM403" s="68">
        <v>32</v>
      </c>
      <c r="AN403" s="68">
        <v>33</v>
      </c>
      <c r="AO403" s="68">
        <f>AP403-AN403-AM403-AL403</f>
        <v>35</v>
      </c>
      <c r="AP403" s="36">
        <f>66+43+23</f>
        <v>132</v>
      </c>
      <c r="AQ403" s="68">
        <f>16+11+6</f>
        <v>33</v>
      </c>
      <c r="AR403" s="68">
        <f>16+12+7</f>
        <v>35</v>
      </c>
      <c r="AS403" s="68">
        <f>16+12+7</f>
        <v>35</v>
      </c>
      <c r="AT403" s="68">
        <f>AU403-AS403-AR403-AQ403</f>
        <v>34</v>
      </c>
      <c r="AU403" s="36">
        <f>64+46+27</f>
        <v>137</v>
      </c>
      <c r="AV403" s="68">
        <f>15+11+7</f>
        <v>33</v>
      </c>
      <c r="AW403" s="68">
        <f>14+11+8</f>
        <v>33</v>
      </c>
      <c r="AX403" s="68">
        <f>15+11+8</f>
        <v>34</v>
      </c>
      <c r="AY403" s="68">
        <f>AZ403-AX403-AW403-AV403</f>
        <v>35</v>
      </c>
      <c r="AZ403" s="36">
        <v>135</v>
      </c>
      <c r="BA403" s="68">
        <v>43</v>
      </c>
      <c r="BB403" s="68">
        <v>45</v>
      </c>
      <c r="BC403" s="68">
        <v>46</v>
      </c>
      <c r="BD403" s="68">
        <v>60</v>
      </c>
      <c r="BE403" s="36">
        <v>194</v>
      </c>
      <c r="BF403" s="68">
        <v>46</v>
      </c>
      <c r="BG403" s="68">
        <v>46</v>
      </c>
      <c r="BH403" s="68">
        <v>47</v>
      </c>
      <c r="BI403" s="68">
        <v>51</v>
      </c>
      <c r="BJ403" s="36">
        <v>190</v>
      </c>
      <c r="BK403" s="68">
        <v>44</v>
      </c>
      <c r="BL403" s="293"/>
    </row>
    <row r="404" spans="1:64" ht="11.25" customHeight="1">
      <c r="A404" s="80" t="s">
        <v>7</v>
      </c>
      <c r="B404" s="23"/>
      <c r="C404" s="70"/>
      <c r="D404" s="70">
        <f>D403/C403-1</f>
        <v>1.584999999999992E-2</v>
      </c>
      <c r="E404" s="70">
        <f>E403/D403-1</f>
        <v>-2.0327804301816244E-2</v>
      </c>
      <c r="F404" s="70">
        <f>F403/E403-1</f>
        <v>-2.1603697749197348E-3</v>
      </c>
      <c r="G404" s="23"/>
      <c r="H404" s="70">
        <f>H403/F403-1</f>
        <v>-1.2436433210815001E-2</v>
      </c>
      <c r="I404" s="70">
        <f>I403/H403-1</f>
        <v>5.4043030488426513E-2</v>
      </c>
      <c r="J404" s="70">
        <f>J403/I403-1</f>
        <v>3.5116571539131503E-2</v>
      </c>
      <c r="K404" s="70">
        <f>K403/J403-1</f>
        <v>5.3551401869158965E-2</v>
      </c>
      <c r="L404" s="23"/>
      <c r="M404" s="70">
        <f>M403/K403-1</f>
        <v>1.9072119222920403E-3</v>
      </c>
      <c r="N404" s="70">
        <f>N403/M403-1</f>
        <v>1.8194696533711197E-2</v>
      </c>
      <c r="O404" s="70">
        <f>O403/N403-1</f>
        <v>2.2608695652173827E-2</v>
      </c>
      <c r="P404" s="70">
        <f>P403/O403-1</f>
        <v>7.0663265306122547E-2</v>
      </c>
      <c r="Q404" s="23"/>
      <c r="R404" s="70">
        <f>R403/P403-1</f>
        <v>-3.6375188626797117E-2</v>
      </c>
      <c r="S404" s="70">
        <f>S403/R403-1</f>
        <v>8.8065606197972546E-2</v>
      </c>
      <c r="T404" s="70">
        <f>T403/S403-1</f>
        <v>5.9462939817445104E-2</v>
      </c>
      <c r="U404" s="70">
        <f>U403/T403-1</f>
        <v>8.1185428806348936E-2</v>
      </c>
      <c r="V404" s="23"/>
      <c r="W404" s="70">
        <f>W403/U403-1</f>
        <v>0.13596085173918793</v>
      </c>
      <c r="X404" s="70">
        <f>X403/W403-1</f>
        <v>2.5032017697053099E-3</v>
      </c>
      <c r="Y404" s="70">
        <f>Y403/X403-1</f>
        <v>1.7710934324370875E-3</v>
      </c>
      <c r="Z404" s="70">
        <v>-4.1445671390893501E-2</v>
      </c>
      <c r="AA404" s="23"/>
      <c r="AB404" s="70">
        <f>AB403/Z403-1</f>
        <v>-5.385057297493423E-2</v>
      </c>
      <c r="AC404" s="70">
        <f>AC403/AB403-1</f>
        <v>3.9626741659209763E-2</v>
      </c>
      <c r="AD404" s="70">
        <f>AD403/AC403-1</f>
        <v>1.2848887249477636E-2</v>
      </c>
      <c r="AE404" s="70">
        <f>AE403/AD403-1</f>
        <v>8.3763277693473803E-3</v>
      </c>
      <c r="AF404" s="23"/>
      <c r="AG404" s="70">
        <f>AG403/AE403-1</f>
        <v>-3.6898814181664963E-2</v>
      </c>
      <c r="AH404" s="70">
        <f>AH403/AG403-1</f>
        <v>0</v>
      </c>
      <c r="AI404" s="70">
        <f>AI403/AH403-1</f>
        <v>0</v>
      </c>
      <c r="AJ404" s="70">
        <f>AJ403/AI403-1</f>
        <v>6.25E-2</v>
      </c>
      <c r="AK404" s="23"/>
      <c r="AL404" s="70">
        <f>AL403/AJ403-1</f>
        <v>-5.8823529411764719E-2</v>
      </c>
      <c r="AM404" s="70">
        <f>AM403/AL403-1</f>
        <v>0</v>
      </c>
      <c r="AN404" s="70">
        <f>AN403/AM403-1</f>
        <v>3.125E-2</v>
      </c>
      <c r="AO404" s="70">
        <f>AO403/AN403-1</f>
        <v>6.0606060606060552E-2</v>
      </c>
      <c r="AP404" s="23"/>
      <c r="AQ404" s="70">
        <f>AQ403/AO403-1</f>
        <v>-5.7142857142857162E-2</v>
      </c>
      <c r="AR404" s="70">
        <f>AR403/AQ403-1</f>
        <v>6.0606060606060552E-2</v>
      </c>
      <c r="AS404" s="70">
        <f>AS403/AR403-1</f>
        <v>0</v>
      </c>
      <c r="AT404" s="70">
        <f>AT403/AS403-1</f>
        <v>-2.8571428571428581E-2</v>
      </c>
      <c r="AU404" s="23"/>
      <c r="AV404" s="70">
        <f>AV403/AT403-1</f>
        <v>-2.9411764705882359E-2</v>
      </c>
      <c r="AW404" s="70">
        <f>AW403/AV403-1</f>
        <v>0</v>
      </c>
      <c r="AX404" s="70">
        <f>AX403/AW403-1</f>
        <v>3.0303030303030276E-2</v>
      </c>
      <c r="AY404" s="70">
        <f>AY403/AX403-1</f>
        <v>2.9411764705882248E-2</v>
      </c>
      <c r="AZ404" s="23"/>
      <c r="BA404" s="70">
        <v>0.22857142857142865</v>
      </c>
      <c r="BB404" s="70">
        <v>4.6511627906976827E-2</v>
      </c>
      <c r="BC404" s="70">
        <v>2.2222222222222143E-2</v>
      </c>
      <c r="BD404" s="70">
        <v>0.30434782608695654</v>
      </c>
      <c r="BE404" s="23"/>
      <c r="BF404" s="70">
        <v>-0.23333333333333328</v>
      </c>
      <c r="BG404" s="70">
        <v>0</v>
      </c>
      <c r="BH404" s="70">
        <v>2.1739130434782705E-2</v>
      </c>
      <c r="BI404" s="70">
        <v>8.5106382978723305E-2</v>
      </c>
      <c r="BJ404" s="23"/>
      <c r="BK404" s="70">
        <v>-0.13725490196078427</v>
      </c>
      <c r="BL404" s="293"/>
    </row>
    <row r="405" spans="1:64" ht="11.25" customHeight="1">
      <c r="A405" s="80" t="s">
        <v>8</v>
      </c>
      <c r="B405" s="23"/>
      <c r="C405" s="71"/>
      <c r="D405" s="71"/>
      <c r="E405" s="71"/>
      <c r="F405" s="71"/>
      <c r="G405" s="23">
        <f t="shared" ref="G405:N405" si="717">G403/B403-1</f>
        <v>-7.5233553125397146E-2</v>
      </c>
      <c r="H405" s="71">
        <f t="shared" si="717"/>
        <v>-1.9299999999999984E-2</v>
      </c>
      <c r="I405" s="71">
        <f t="shared" si="717"/>
        <v>1.7571491854112331E-2</v>
      </c>
      <c r="J405" s="71">
        <f t="shared" si="717"/>
        <v>7.5160771704180229E-2</v>
      </c>
      <c r="K405" s="71">
        <f t="shared" si="717"/>
        <v>0.13518956749408417</v>
      </c>
      <c r="L405" s="23">
        <f t="shared" si="717"/>
        <v>5.1846856971604405E-2</v>
      </c>
      <c r="M405" s="71">
        <f t="shared" si="717"/>
        <v>0.15167737330478226</v>
      </c>
      <c r="N405" s="71">
        <f t="shared" si="717"/>
        <v>0.11250846473831877</v>
      </c>
      <c r="O405" s="71">
        <f t="shared" ref="O405:Y405" si="718">O403/J403-1</f>
        <v>9.9065420560747519E-2</v>
      </c>
      <c r="P405" s="71">
        <f t="shared" si="718"/>
        <v>0.11691652621307536</v>
      </c>
      <c r="Q405" s="23">
        <f t="shared" si="718"/>
        <v>0.1193935940356623</v>
      </c>
      <c r="R405" s="71">
        <f t="shared" si="718"/>
        <v>7.4239674177697168E-2</v>
      </c>
      <c r="S405" s="71">
        <f t="shared" si="718"/>
        <v>0.14795652173913032</v>
      </c>
      <c r="T405" s="71">
        <f t="shared" si="718"/>
        <v>0.18932823129251708</v>
      </c>
      <c r="U405" s="71">
        <f t="shared" si="718"/>
        <v>0.20101659915812875</v>
      </c>
      <c r="V405" s="23">
        <f t="shared" si="718"/>
        <v>0.15478677710491984</v>
      </c>
      <c r="W405" s="71">
        <f t="shared" si="718"/>
        <v>0.41580812659688471</v>
      </c>
      <c r="X405" s="71">
        <f t="shared" si="718"/>
        <v>0.30447297655569461</v>
      </c>
      <c r="Y405" s="71">
        <f t="shared" si="718"/>
        <v>0.23343938798126773</v>
      </c>
      <c r="Z405" s="71">
        <v>9.3539214389630976E-2</v>
      </c>
      <c r="AA405" s="23">
        <f t="shared" ref="AA405:AI405" si="719">AA403/V403-1</f>
        <v>0.2524475139136344</v>
      </c>
      <c r="AB405" s="71">
        <f t="shared" si="719"/>
        <v>-8.9183839795086706E-2</v>
      </c>
      <c r="AC405" s="71">
        <f t="shared" si="719"/>
        <v>-5.5455548458277826E-2</v>
      </c>
      <c r="AD405" s="71">
        <f t="shared" si="719"/>
        <v>-4.5010578790250055E-2</v>
      </c>
      <c r="AE405" s="71">
        <f t="shared" si="719"/>
        <v>4.6261300758927426E-3</v>
      </c>
      <c r="AF405" s="23">
        <f t="shared" si="719"/>
        <v>-4.6739114493965062E-2</v>
      </c>
      <c r="AG405" s="71">
        <f t="shared" si="719"/>
        <v>2.2625591205419848E-2</v>
      </c>
      <c r="AH405" s="71">
        <f t="shared" si="719"/>
        <v>-1.6353129226607588E-2</v>
      </c>
      <c r="AI405" s="71">
        <f t="shared" si="719"/>
        <v>-2.8831562974203417E-2</v>
      </c>
      <c r="AJ405" s="71">
        <f t="shared" ref="AJ405:AS405" si="720">AJ403/AE403-1</f>
        <v>2.3295009931981081E-2</v>
      </c>
      <c r="AK405" s="23">
        <f t="shared" si="720"/>
        <v>0</v>
      </c>
      <c r="AL405" s="71">
        <f t="shared" si="720"/>
        <v>0</v>
      </c>
      <c r="AM405" s="71">
        <f t="shared" si="720"/>
        <v>0</v>
      </c>
      <c r="AN405" s="71">
        <f t="shared" si="720"/>
        <v>3.125E-2</v>
      </c>
      <c r="AO405" s="71">
        <f t="shared" si="720"/>
        <v>2.9411764705882248E-2</v>
      </c>
      <c r="AP405" s="23">
        <f t="shared" si="720"/>
        <v>1.538461538461533E-2</v>
      </c>
      <c r="AQ405" s="71">
        <f t="shared" si="720"/>
        <v>3.125E-2</v>
      </c>
      <c r="AR405" s="71">
        <f t="shared" si="720"/>
        <v>9.375E-2</v>
      </c>
      <c r="AS405" s="71">
        <f t="shared" si="720"/>
        <v>6.0606060606060552E-2</v>
      </c>
      <c r="AT405" s="71">
        <f t="shared" ref="AT405" si="721">AT403/AO403-1</f>
        <v>-2.8571428571428581E-2</v>
      </c>
      <c r="AU405" s="23">
        <f t="shared" ref="AU405:AX405" si="722">AU403/AP403-1</f>
        <v>3.7878787878787845E-2</v>
      </c>
      <c r="AV405" s="71">
        <f t="shared" si="722"/>
        <v>0</v>
      </c>
      <c r="AW405" s="71">
        <f t="shared" si="722"/>
        <v>-5.7142857142857162E-2</v>
      </c>
      <c r="AX405" s="71">
        <f t="shared" si="722"/>
        <v>-2.8571428571428581E-2</v>
      </c>
      <c r="AY405" s="71">
        <f t="shared" ref="AY405" si="723">AY403/AT403-1</f>
        <v>2.9411764705882248E-2</v>
      </c>
      <c r="AZ405" s="23">
        <v>-1.4598540145985384E-2</v>
      </c>
      <c r="BA405" s="71">
        <v>0.30303030303030298</v>
      </c>
      <c r="BB405" s="71">
        <v>0.36363636363636354</v>
      </c>
      <c r="BC405" s="71">
        <v>0.35294117647058831</v>
      </c>
      <c r="BD405" s="71">
        <v>0.71428571428571419</v>
      </c>
      <c r="BE405" s="23">
        <v>0.43703703703703711</v>
      </c>
      <c r="BF405" s="71">
        <v>6.9767441860465018E-2</v>
      </c>
      <c r="BG405" s="71">
        <v>2.2222222222222143E-2</v>
      </c>
      <c r="BH405" s="71">
        <v>2.1739130434782705E-2</v>
      </c>
      <c r="BI405" s="71">
        <v>-0.15000000000000002</v>
      </c>
      <c r="BJ405" s="23">
        <v>-2.0618556701030966E-2</v>
      </c>
      <c r="BK405" s="71">
        <v>-4.3478260869565188E-2</v>
      </c>
      <c r="BL405" s="293"/>
    </row>
    <row r="406" spans="1:64" ht="15.75" customHeight="1">
      <c r="A406" s="67" t="s">
        <v>91</v>
      </c>
      <c r="B406" s="36">
        <v>240</v>
      </c>
      <c r="C406" s="78" t="s">
        <v>48</v>
      </c>
      <c r="D406" s="78" t="s">
        <v>48</v>
      </c>
      <c r="E406" s="78" t="s">
        <v>48</v>
      </c>
      <c r="F406" s="78" t="s">
        <v>48</v>
      </c>
      <c r="G406" s="36">
        <v>260</v>
      </c>
      <c r="H406" s="78" t="s">
        <v>48</v>
      </c>
      <c r="I406" s="78" t="s">
        <v>48</v>
      </c>
      <c r="J406" s="78" t="s">
        <v>48</v>
      </c>
      <c r="K406" s="78" t="s">
        <v>48</v>
      </c>
      <c r="L406" s="36">
        <v>242</v>
      </c>
      <c r="M406" s="78" t="s">
        <v>48</v>
      </c>
      <c r="N406" s="78" t="s">
        <v>48</v>
      </c>
      <c r="O406" s="78" t="s">
        <v>48</v>
      </c>
      <c r="P406" s="78" t="s">
        <v>48</v>
      </c>
      <c r="Q406" s="36">
        <v>248</v>
      </c>
      <c r="R406" s="78" t="s">
        <v>48</v>
      </c>
      <c r="S406" s="78" t="s">
        <v>48</v>
      </c>
      <c r="T406" s="78" t="s">
        <v>48</v>
      </c>
      <c r="U406" s="78" t="s">
        <v>48</v>
      </c>
      <c r="V406" s="36">
        <v>265</v>
      </c>
      <c r="W406" s="78" t="s">
        <v>48</v>
      </c>
      <c r="X406" s="78" t="s">
        <v>48</v>
      </c>
      <c r="Y406" s="78" t="s">
        <v>48</v>
      </c>
      <c r="Z406" s="78" t="s">
        <v>48</v>
      </c>
      <c r="AA406" s="36">
        <v>278</v>
      </c>
      <c r="AB406" s="68">
        <v>73</v>
      </c>
      <c r="AC406" s="68">
        <v>70</v>
      </c>
      <c r="AD406" s="68">
        <v>70</v>
      </c>
      <c r="AE406" s="68">
        <f>AF406-AD406-AC406-AB406</f>
        <v>74</v>
      </c>
      <c r="AF406" s="36">
        <v>287</v>
      </c>
      <c r="AG406" s="68">
        <v>75</v>
      </c>
      <c r="AH406" s="68">
        <v>73</v>
      </c>
      <c r="AI406" s="68">
        <v>75</v>
      </c>
      <c r="AJ406" s="68">
        <f>AK406-AI406-AH406-AG406</f>
        <v>75</v>
      </c>
      <c r="AK406" s="36">
        <v>298</v>
      </c>
      <c r="AL406" s="68">
        <v>77</v>
      </c>
      <c r="AM406" s="68">
        <v>74</v>
      </c>
      <c r="AN406" s="68">
        <v>75</v>
      </c>
      <c r="AO406" s="68">
        <f>AP406-AN406-AM406-AL406</f>
        <v>77</v>
      </c>
      <c r="AP406" s="36">
        <v>303</v>
      </c>
      <c r="AQ406" s="68">
        <v>83</v>
      </c>
      <c r="AR406" s="68">
        <v>82</v>
      </c>
      <c r="AS406" s="68">
        <v>83</v>
      </c>
      <c r="AT406" s="68">
        <f>AU406-AS406-AR406-AQ406</f>
        <v>82</v>
      </c>
      <c r="AU406" s="36">
        <v>330</v>
      </c>
      <c r="AV406" s="68">
        <v>84</v>
      </c>
      <c r="AW406" s="68">
        <v>81</v>
      </c>
      <c r="AX406" s="68">
        <v>81</v>
      </c>
      <c r="AY406" s="68">
        <f>AZ406-AX406-AW406-AV406</f>
        <v>82</v>
      </c>
      <c r="AZ406" s="36">
        <v>328</v>
      </c>
      <c r="BA406" s="68">
        <v>84</v>
      </c>
      <c r="BB406" s="68">
        <v>75</v>
      </c>
      <c r="BC406" s="68">
        <v>71</v>
      </c>
      <c r="BD406" s="68">
        <v>70</v>
      </c>
      <c r="BE406" s="36">
        <v>300</v>
      </c>
      <c r="BF406" s="68">
        <v>68</v>
      </c>
      <c r="BG406" s="68">
        <v>67</v>
      </c>
      <c r="BH406" s="68">
        <v>64</v>
      </c>
      <c r="BI406" s="68">
        <v>62</v>
      </c>
      <c r="BJ406" s="36">
        <v>261</v>
      </c>
      <c r="BK406" s="68">
        <v>64</v>
      </c>
    </row>
    <row r="407" spans="1:64">
      <c r="A407" s="69" t="s">
        <v>7</v>
      </c>
      <c r="B407" s="23"/>
      <c r="C407" s="71"/>
      <c r="D407" s="71"/>
      <c r="E407" s="71"/>
      <c r="F407" s="71"/>
      <c r="G407" s="23"/>
      <c r="H407" s="71"/>
      <c r="I407" s="71"/>
      <c r="J407" s="71"/>
      <c r="K407" s="71"/>
      <c r="L407" s="23"/>
      <c r="M407" s="71"/>
      <c r="N407" s="71"/>
      <c r="O407" s="71"/>
      <c r="P407" s="71"/>
      <c r="Q407" s="23"/>
      <c r="R407" s="71"/>
      <c r="S407" s="71"/>
      <c r="T407" s="71"/>
      <c r="U407" s="71"/>
      <c r="V407" s="23"/>
      <c r="W407" s="71"/>
      <c r="X407" s="71"/>
      <c r="Y407" s="71"/>
      <c r="Z407" s="71"/>
      <c r="AA407" s="23"/>
      <c r="AB407" s="70"/>
      <c r="AC407" s="70">
        <f>AC406/AB406-1</f>
        <v>-4.1095890410958957E-2</v>
      </c>
      <c r="AD407" s="70">
        <f>AD406/AC406-1</f>
        <v>0</v>
      </c>
      <c r="AE407" s="70">
        <f>AE406/AD406-1</f>
        <v>5.7142857142857162E-2</v>
      </c>
      <c r="AF407" s="23"/>
      <c r="AG407" s="70">
        <f>AG406/AE406-1</f>
        <v>1.3513513513513598E-2</v>
      </c>
      <c r="AH407" s="70">
        <f>AH406/AG406-1</f>
        <v>-2.6666666666666616E-2</v>
      </c>
      <c r="AI407" s="70">
        <f>AI406/AH406-1</f>
        <v>2.7397260273972712E-2</v>
      </c>
      <c r="AJ407" s="70">
        <f>AJ406/AI406-1</f>
        <v>0</v>
      </c>
      <c r="AK407" s="23"/>
      <c r="AL407" s="70">
        <f>AL406/AJ406-1</f>
        <v>2.6666666666666616E-2</v>
      </c>
      <c r="AM407" s="70">
        <f>AM406/AL406-1</f>
        <v>-3.8961038961038974E-2</v>
      </c>
      <c r="AN407" s="70">
        <f>AN406/AM406-1</f>
        <v>1.3513513513513598E-2</v>
      </c>
      <c r="AO407" s="70">
        <f>AO406/AN406-1</f>
        <v>2.6666666666666616E-2</v>
      </c>
      <c r="AP407" s="23"/>
      <c r="AQ407" s="70">
        <f>AQ406/AO406-1</f>
        <v>7.7922077922077948E-2</v>
      </c>
      <c r="AR407" s="70">
        <f>AR406/AQ406-1</f>
        <v>-1.2048192771084376E-2</v>
      </c>
      <c r="AS407" s="70">
        <f>AS406/AR406-1</f>
        <v>1.2195121951219523E-2</v>
      </c>
      <c r="AT407" s="70">
        <f>AT406/AS406-1</f>
        <v>-1.2048192771084376E-2</v>
      </c>
      <c r="AU407" s="23"/>
      <c r="AV407" s="70">
        <f>AV406/AT406-1</f>
        <v>2.4390243902439046E-2</v>
      </c>
      <c r="AW407" s="70">
        <f>AW406/AV406-1</f>
        <v>-3.5714285714285698E-2</v>
      </c>
      <c r="AX407" s="70">
        <f>AX406/AW406-1</f>
        <v>0</v>
      </c>
      <c r="AY407" s="70">
        <f>AY406/AX406-1</f>
        <v>1.2345679012345734E-2</v>
      </c>
      <c r="AZ407" s="23"/>
      <c r="BA407" s="70">
        <v>2.4390243902439046E-2</v>
      </c>
      <c r="BB407" s="70">
        <v>-0.1071428571428571</v>
      </c>
      <c r="BC407" s="70">
        <v>-5.3333333333333344E-2</v>
      </c>
      <c r="BD407" s="70">
        <v>-1.4084507042253502E-2</v>
      </c>
      <c r="BE407" s="23"/>
      <c r="BF407" s="70">
        <v>-2.8571428571428581E-2</v>
      </c>
      <c r="BG407" s="70">
        <v>-1.4705882352941124E-2</v>
      </c>
      <c r="BH407" s="70">
        <v>-4.4776119402985093E-2</v>
      </c>
      <c r="BI407" s="70">
        <v>-3.125E-2</v>
      </c>
      <c r="BJ407" s="23"/>
      <c r="BK407" s="70"/>
    </row>
    <row r="408" spans="1:64">
      <c r="A408" s="69" t="s">
        <v>8</v>
      </c>
      <c r="B408" s="23"/>
      <c r="C408" s="71"/>
      <c r="D408" s="71"/>
      <c r="E408" s="71"/>
      <c r="F408" s="71"/>
      <c r="G408" s="23">
        <f>G406/B406-1</f>
        <v>8.3333333333333259E-2</v>
      </c>
      <c r="H408" s="71"/>
      <c r="I408" s="71"/>
      <c r="J408" s="71"/>
      <c r="K408" s="71"/>
      <c r="L408" s="23">
        <f>L406/G406-1</f>
        <v>-6.9230769230769207E-2</v>
      </c>
      <c r="M408" s="71"/>
      <c r="N408" s="71"/>
      <c r="O408" s="71"/>
      <c r="P408" s="71"/>
      <c r="Q408" s="23">
        <f>Q406/L406-1</f>
        <v>2.4793388429751984E-2</v>
      </c>
      <c r="R408" s="71"/>
      <c r="S408" s="71"/>
      <c r="T408" s="71"/>
      <c r="U408" s="71"/>
      <c r="V408" s="23">
        <f>V406/Q406-1</f>
        <v>6.8548387096774244E-2</v>
      </c>
      <c r="W408" s="71"/>
      <c r="X408" s="71"/>
      <c r="Y408" s="71"/>
      <c r="Z408" s="71"/>
      <c r="AA408" s="23">
        <f>AA406/V406-1</f>
        <v>4.9056603773584895E-2</v>
      </c>
      <c r="AB408" s="71"/>
      <c r="AC408" s="71"/>
      <c r="AD408" s="71"/>
      <c r="AE408" s="71"/>
      <c r="AF408" s="23">
        <f t="shared" ref="AF408" si="724">AF406/AA406-1</f>
        <v>3.2374100719424481E-2</v>
      </c>
      <c r="AG408" s="71">
        <f t="shared" ref="AG408" si="725">AG406/AB406-1</f>
        <v>2.7397260273972712E-2</v>
      </c>
      <c r="AH408" s="71">
        <f t="shared" ref="AH408" si="726">AH406/AC406-1</f>
        <v>4.2857142857142927E-2</v>
      </c>
      <c r="AI408" s="71">
        <f t="shared" ref="AI408" si="727">AI406/AD406-1</f>
        <v>7.1428571428571397E-2</v>
      </c>
      <c r="AJ408" s="71">
        <f t="shared" ref="AJ408" si="728">AJ406/AE406-1</f>
        <v>1.3513513513513598E-2</v>
      </c>
      <c r="AK408" s="23">
        <f t="shared" ref="AK408" si="729">AK406/AF406-1</f>
        <v>3.8327526132404088E-2</v>
      </c>
      <c r="AL408" s="71">
        <f t="shared" ref="AL408" si="730">AL406/AG406-1</f>
        <v>2.6666666666666616E-2</v>
      </c>
      <c r="AM408" s="71">
        <f t="shared" ref="AM408" si="731">AM406/AH406-1</f>
        <v>1.3698630136986356E-2</v>
      </c>
      <c r="AN408" s="71">
        <f t="shared" ref="AN408" si="732">AN406/AI406-1</f>
        <v>0</v>
      </c>
      <c r="AO408" s="71">
        <f t="shared" ref="AO408" si="733">AO406/AJ406-1</f>
        <v>2.6666666666666616E-2</v>
      </c>
      <c r="AP408" s="23">
        <f t="shared" ref="AP408" si="734">AP406/AK406-1</f>
        <v>1.6778523489932917E-2</v>
      </c>
      <c r="AQ408" s="71">
        <f t="shared" ref="AQ408" si="735">AQ406/AL406-1</f>
        <v>7.7922077922077948E-2</v>
      </c>
      <c r="AR408" s="71">
        <f t="shared" ref="AR408" si="736">AR406/AM406-1</f>
        <v>0.10810810810810811</v>
      </c>
      <c r="AS408" s="71">
        <f t="shared" ref="AS408" si="737">AS406/AN406-1</f>
        <v>0.10666666666666669</v>
      </c>
      <c r="AT408" s="71">
        <f t="shared" ref="AT408" si="738">AT406/AO406-1</f>
        <v>6.4935064935064846E-2</v>
      </c>
      <c r="AU408" s="23">
        <f t="shared" ref="AU408:AX408" si="739">AU406/AP406-1</f>
        <v>8.9108910891089188E-2</v>
      </c>
      <c r="AV408" s="71">
        <f t="shared" si="739"/>
        <v>1.2048192771084265E-2</v>
      </c>
      <c r="AW408" s="71">
        <f t="shared" si="739"/>
        <v>-1.2195121951219523E-2</v>
      </c>
      <c r="AX408" s="71">
        <f t="shared" si="739"/>
        <v>-2.4096385542168641E-2</v>
      </c>
      <c r="AY408" s="71">
        <f t="shared" ref="AY408" si="740">AY406/AT406-1</f>
        <v>0</v>
      </c>
      <c r="AZ408" s="23">
        <v>-6.0606060606060996E-3</v>
      </c>
      <c r="BA408" s="71">
        <v>0</v>
      </c>
      <c r="BB408" s="71">
        <v>-7.407407407407407E-2</v>
      </c>
      <c r="BC408" s="71">
        <v>-0.12345679012345678</v>
      </c>
      <c r="BD408" s="71">
        <v>-0.14634146341463417</v>
      </c>
      <c r="BE408" s="23">
        <v>-8.536585365853655E-2</v>
      </c>
      <c r="BF408" s="71">
        <v>-0.19047619047619047</v>
      </c>
      <c r="BG408" s="71">
        <v>-0.10666666666666669</v>
      </c>
      <c r="BH408" s="71">
        <v>-9.8591549295774628E-2</v>
      </c>
      <c r="BI408" s="71">
        <v>-0.11428571428571432</v>
      </c>
      <c r="BJ408" s="23">
        <v>-0.13</v>
      </c>
      <c r="BK408" s="71">
        <v>-5.8823529411764719E-2</v>
      </c>
    </row>
    <row r="409" spans="1:64" ht="12.75" customHeight="1">
      <c r="A409" s="67" t="s">
        <v>282</v>
      </c>
      <c r="B409" s="61">
        <v>773</v>
      </c>
      <c r="C409" s="78" t="s">
        <v>48</v>
      </c>
      <c r="D409" s="78" t="s">
        <v>48</v>
      </c>
      <c r="E409" s="78" t="s">
        <v>48</v>
      </c>
      <c r="F409" s="78" t="s">
        <v>48</v>
      </c>
      <c r="G409" s="61">
        <v>724</v>
      </c>
      <c r="H409" s="78" t="s">
        <v>48</v>
      </c>
      <c r="I409" s="78" t="s">
        <v>48</v>
      </c>
      <c r="J409" s="78" t="s">
        <v>48</v>
      </c>
      <c r="K409" s="78" t="s">
        <v>48</v>
      </c>
      <c r="L409" s="61">
        <v>731</v>
      </c>
      <c r="M409" s="78" t="s">
        <v>48</v>
      </c>
      <c r="N409" s="78" t="s">
        <v>48</v>
      </c>
      <c r="O409" s="78" t="s">
        <v>48</v>
      </c>
      <c r="P409" s="78" t="s">
        <v>48</v>
      </c>
      <c r="Q409" s="61">
        <v>781</v>
      </c>
      <c r="R409" s="78" t="s">
        <v>48</v>
      </c>
      <c r="S409" s="78" t="s">
        <v>48</v>
      </c>
      <c r="T409" s="78" t="s">
        <v>48</v>
      </c>
      <c r="U409" s="78" t="s">
        <v>48</v>
      </c>
      <c r="V409" s="61">
        <v>739</v>
      </c>
      <c r="W409" s="78" t="s">
        <v>48</v>
      </c>
      <c r="X409" s="78" t="s">
        <v>48</v>
      </c>
      <c r="Y409" s="78" t="s">
        <v>48</v>
      </c>
      <c r="Z409" s="78" t="s">
        <v>48</v>
      </c>
      <c r="AA409" s="61">
        <v>707</v>
      </c>
      <c r="AB409" s="68">
        <v>186</v>
      </c>
      <c r="AC409" s="68">
        <v>196</v>
      </c>
      <c r="AD409" s="68">
        <v>202</v>
      </c>
      <c r="AE409" s="68">
        <f>AF409-AD409-AC409-AB409</f>
        <v>205</v>
      </c>
      <c r="AF409" s="61">
        <v>789</v>
      </c>
      <c r="AG409" s="147">
        <v>190</v>
      </c>
      <c r="AH409" s="147">
        <v>202</v>
      </c>
      <c r="AI409" s="147">
        <v>219</v>
      </c>
      <c r="AJ409" s="68">
        <f>AK409-AI409-AH409-AG409</f>
        <v>233</v>
      </c>
      <c r="AK409" s="61">
        <v>844</v>
      </c>
      <c r="AL409" s="182">
        <v>223</v>
      </c>
      <c r="AM409" s="182">
        <v>222</v>
      </c>
      <c r="AN409" s="182">
        <v>221</v>
      </c>
      <c r="AO409" s="68">
        <f>AP409-AN409-AM409-AL409</f>
        <v>237</v>
      </c>
      <c r="AP409" s="174">
        <v>903</v>
      </c>
      <c r="AQ409" s="68">
        <v>228</v>
      </c>
      <c r="AR409" s="147">
        <v>213</v>
      </c>
      <c r="AS409" s="147">
        <v>221</v>
      </c>
      <c r="AT409" s="68">
        <f>AU409-AS409-AR409-AQ409</f>
        <v>225</v>
      </c>
      <c r="AU409" s="174">
        <v>887</v>
      </c>
      <c r="AV409" s="147">
        <v>218</v>
      </c>
      <c r="AW409" s="147">
        <v>247</v>
      </c>
      <c r="AX409" s="147">
        <v>214</v>
      </c>
      <c r="AY409" s="68">
        <f>AZ409-AX409-AW409-AV409</f>
        <v>224</v>
      </c>
      <c r="AZ409" s="174">
        <v>903</v>
      </c>
      <c r="BA409" s="147">
        <v>190</v>
      </c>
      <c r="BB409" s="147">
        <v>188</v>
      </c>
      <c r="BC409" s="147">
        <v>184</v>
      </c>
      <c r="BD409" s="68">
        <v>216</v>
      </c>
      <c r="BE409" s="36">
        <v>778</v>
      </c>
      <c r="BF409" s="147">
        <v>194</v>
      </c>
      <c r="BG409" s="147">
        <v>194</v>
      </c>
      <c r="BH409" s="147">
        <v>194</v>
      </c>
      <c r="BI409" s="68">
        <v>200</v>
      </c>
      <c r="BJ409" s="36">
        <v>782</v>
      </c>
      <c r="BK409" s="147">
        <v>173</v>
      </c>
    </row>
    <row r="410" spans="1:64" ht="12.75" customHeight="1">
      <c r="A410" s="69" t="s">
        <v>7</v>
      </c>
      <c r="B410" s="61"/>
      <c r="C410" s="78"/>
      <c r="D410" s="78"/>
      <c r="E410" s="78"/>
      <c r="F410" s="78"/>
      <c r="G410" s="61"/>
      <c r="H410" s="78"/>
      <c r="I410" s="78"/>
      <c r="J410" s="78"/>
      <c r="K410" s="78"/>
      <c r="L410" s="61"/>
      <c r="M410" s="78"/>
      <c r="N410" s="78"/>
      <c r="O410" s="78"/>
      <c r="P410" s="78"/>
      <c r="Q410" s="61"/>
      <c r="R410" s="78"/>
      <c r="S410" s="78"/>
      <c r="T410" s="78"/>
      <c r="U410" s="78"/>
      <c r="V410" s="61"/>
      <c r="W410" s="78"/>
      <c r="X410" s="78"/>
      <c r="Y410" s="78"/>
      <c r="Z410" s="78"/>
      <c r="AA410" s="61"/>
      <c r="AB410" s="70"/>
      <c r="AC410" s="70">
        <f>AC409/AB409-1</f>
        <v>5.3763440860215006E-2</v>
      </c>
      <c r="AD410" s="70">
        <f>AD409/AC409-1</f>
        <v>3.0612244897959107E-2</v>
      </c>
      <c r="AE410" s="70">
        <f>AE409/AD409-1</f>
        <v>1.4851485148514865E-2</v>
      </c>
      <c r="AF410" s="23"/>
      <c r="AG410" s="70">
        <f>AG409/AE409-1</f>
        <v>-7.3170731707317027E-2</v>
      </c>
      <c r="AH410" s="70">
        <f>AH409/AG409-1</f>
        <v>6.315789473684208E-2</v>
      </c>
      <c r="AI410" s="70">
        <f>AI409/AH409-1</f>
        <v>8.4158415841584233E-2</v>
      </c>
      <c r="AJ410" s="70">
        <f>AJ409/AI409-1</f>
        <v>6.3926940639269514E-2</v>
      </c>
      <c r="AK410" s="23"/>
      <c r="AL410" s="70">
        <f>AL409/AJ409-1</f>
        <v>-4.2918454935622297E-2</v>
      </c>
      <c r="AM410" s="70">
        <f>AM409/AL409-1</f>
        <v>-4.484304932735439E-3</v>
      </c>
      <c r="AN410" s="70">
        <f>AN409/AM409-1</f>
        <v>-4.5045045045044585E-3</v>
      </c>
      <c r="AO410" s="70">
        <f>AO409/AN409-1</f>
        <v>7.2398190045248834E-2</v>
      </c>
      <c r="AP410" s="23"/>
      <c r="AQ410" s="70">
        <f>AQ409/AO409-1</f>
        <v>-3.7974683544303778E-2</v>
      </c>
      <c r="AR410" s="70">
        <f>AR409/AQ409-1</f>
        <v>-6.5789473684210509E-2</v>
      </c>
      <c r="AS410" s="70">
        <f>AS409/AR409-1</f>
        <v>3.7558685446009488E-2</v>
      </c>
      <c r="AT410" s="70">
        <f>AT409/AS409-1</f>
        <v>1.8099547511312153E-2</v>
      </c>
      <c r="AU410" s="23"/>
      <c r="AV410" s="70">
        <f>AV409/AT409-1</f>
        <v>-3.1111111111111089E-2</v>
      </c>
      <c r="AW410" s="70">
        <f>AW409/AV409-1</f>
        <v>0.1330275229357798</v>
      </c>
      <c r="AX410" s="70">
        <f>AX409/AW409-1</f>
        <v>-0.1336032388663968</v>
      </c>
      <c r="AY410" s="70">
        <f>AY409/AX409-1</f>
        <v>4.6728971962616717E-2</v>
      </c>
      <c r="AZ410" s="23"/>
      <c r="BA410" s="70">
        <v>-0.1517857142857143</v>
      </c>
      <c r="BB410" s="70">
        <v>-1.0526315789473717E-2</v>
      </c>
      <c r="BC410" s="70">
        <v>-2.1276595744680882E-2</v>
      </c>
      <c r="BD410" s="70">
        <v>0.17391304347826098</v>
      </c>
      <c r="BE410" s="23"/>
      <c r="BF410" s="70">
        <v>-0.10185185185185186</v>
      </c>
      <c r="BG410" s="70">
        <v>0</v>
      </c>
      <c r="BH410" s="70">
        <v>0</v>
      </c>
      <c r="BI410" s="70">
        <v>3.0927835051546282E-2</v>
      </c>
      <c r="BJ410" s="23"/>
      <c r="BK410" s="70">
        <v>-0.13500000000000001</v>
      </c>
    </row>
    <row r="411" spans="1:64" ht="12.75" customHeight="1">
      <c r="A411" s="69" t="s">
        <v>8</v>
      </c>
      <c r="B411" s="61"/>
      <c r="C411" s="78"/>
      <c r="D411" s="78"/>
      <c r="E411" s="78"/>
      <c r="F411" s="78"/>
      <c r="G411" s="61"/>
      <c r="H411" s="78"/>
      <c r="I411" s="78"/>
      <c r="J411" s="78"/>
      <c r="K411" s="78"/>
      <c r="L411" s="61"/>
      <c r="M411" s="78"/>
      <c r="N411" s="78"/>
      <c r="O411" s="78"/>
      <c r="P411" s="78"/>
      <c r="Q411" s="61"/>
      <c r="R411" s="78"/>
      <c r="S411" s="78"/>
      <c r="T411" s="78"/>
      <c r="U411" s="78"/>
      <c r="V411" s="61"/>
      <c r="W411" s="78"/>
      <c r="X411" s="78"/>
      <c r="Y411" s="78"/>
      <c r="Z411" s="78"/>
      <c r="AA411" s="61"/>
      <c r="AB411" s="71"/>
      <c r="AC411" s="71"/>
      <c r="AD411" s="71"/>
      <c r="AE411" s="71"/>
      <c r="AF411" s="23">
        <f>AF409/AA409-1</f>
        <v>0.11598302687411599</v>
      </c>
      <c r="AG411" s="71">
        <f t="shared" ref="AG411" si="741">AG409/AB409-1</f>
        <v>2.1505376344086002E-2</v>
      </c>
      <c r="AH411" s="71">
        <f t="shared" ref="AH411" si="742">AH409/AC409-1</f>
        <v>3.0612244897959107E-2</v>
      </c>
      <c r="AI411" s="71">
        <f t="shared" ref="AI411" si="743">AI409/AD409-1</f>
        <v>8.4158415841584233E-2</v>
      </c>
      <c r="AJ411" s="71">
        <f>AJ409/AE409-1</f>
        <v>0.13658536585365844</v>
      </c>
      <c r="AK411" s="23">
        <f>AK409/AF409-1</f>
        <v>6.9708491761723668E-2</v>
      </c>
      <c r="AL411" s="71">
        <f t="shared" ref="AL411" si="744">AL409/AG409-1</f>
        <v>0.17368421052631589</v>
      </c>
      <c r="AM411" s="71">
        <f t="shared" ref="AM411" si="745">AM409/AH409-1</f>
        <v>9.9009900990099098E-2</v>
      </c>
      <c r="AN411" s="71">
        <f t="shared" ref="AN411" si="746">AN409/AI409-1</f>
        <v>9.1324200913243114E-3</v>
      </c>
      <c r="AO411" s="71">
        <f>AO409/AJ409-1</f>
        <v>1.716738197424883E-2</v>
      </c>
      <c r="AP411" s="23">
        <f>AP409/AK409-1</f>
        <v>6.9905213270142097E-2</v>
      </c>
      <c r="AQ411" s="71">
        <f t="shared" ref="AQ411" si="747">AQ409/AL409-1</f>
        <v>2.2421524663677195E-2</v>
      </c>
      <c r="AR411" s="71">
        <f t="shared" ref="AR411" si="748">AR409/AM409-1</f>
        <v>-4.0540540540540571E-2</v>
      </c>
      <c r="AS411" s="71">
        <f t="shared" ref="AS411" si="749">AS409/AN409-1</f>
        <v>0</v>
      </c>
      <c r="AT411" s="71">
        <f>AT409/AO409-1</f>
        <v>-5.0632911392405111E-2</v>
      </c>
      <c r="AU411" s="23">
        <f>AU409/AP409-1</f>
        <v>-1.7718715393133966E-2</v>
      </c>
      <c r="AV411" s="71">
        <f t="shared" ref="AV411" si="750">AV409/AQ409-1</f>
        <v>-4.3859649122807043E-2</v>
      </c>
      <c r="AW411" s="71">
        <f t="shared" ref="AW411" si="751">AW409/AR409-1</f>
        <v>0.15962441314553999</v>
      </c>
      <c r="AX411" s="71">
        <f t="shared" ref="AX411" si="752">AX409/AS409-1</f>
        <v>-3.1674208144796379E-2</v>
      </c>
      <c r="AY411" s="71">
        <f>AY409/AT409-1</f>
        <v>-4.4444444444444731E-3</v>
      </c>
      <c r="AZ411" s="23">
        <v>1.8038331454340417E-2</v>
      </c>
      <c r="BA411" s="71">
        <v>-0.12844036697247707</v>
      </c>
      <c r="BB411" s="71">
        <v>-0.23886639676113364</v>
      </c>
      <c r="BC411" s="71">
        <v>-0.14018691588785048</v>
      </c>
      <c r="BD411" s="71">
        <v>-3.5714285714285698E-2</v>
      </c>
      <c r="BE411" s="23">
        <v>-0.1384274640088593</v>
      </c>
      <c r="BF411" s="71">
        <v>2.1052631578947434E-2</v>
      </c>
      <c r="BG411" s="71">
        <v>3.1914893617021267E-2</v>
      </c>
      <c r="BH411" s="71">
        <v>5.4347826086956541E-2</v>
      </c>
      <c r="BI411" s="71">
        <v>-7.407407407407407E-2</v>
      </c>
      <c r="BJ411" s="23">
        <v>5.1413881748072487E-3</v>
      </c>
      <c r="BK411" s="71">
        <v>-0.10824742268041232</v>
      </c>
    </row>
    <row r="412" spans="1:64" ht="11.25" customHeight="1">
      <c r="A412" s="67" t="s">
        <v>95</v>
      </c>
      <c r="B412" s="61" t="s">
        <v>138</v>
      </c>
      <c r="C412" s="78" t="s">
        <v>48</v>
      </c>
      <c r="D412" s="78" t="s">
        <v>48</v>
      </c>
      <c r="E412" s="78" t="s">
        <v>48</v>
      </c>
      <c r="F412" s="78" t="s">
        <v>48</v>
      </c>
      <c r="G412" s="61" t="s">
        <v>138</v>
      </c>
      <c r="H412" s="78" t="s">
        <v>48</v>
      </c>
      <c r="I412" s="78" t="s">
        <v>48</v>
      </c>
      <c r="J412" s="78" t="s">
        <v>48</v>
      </c>
      <c r="K412" s="78" t="s">
        <v>48</v>
      </c>
      <c r="L412" s="61" t="s">
        <v>138</v>
      </c>
      <c r="M412" s="78" t="s">
        <v>48</v>
      </c>
      <c r="N412" s="78" t="s">
        <v>48</v>
      </c>
      <c r="O412" s="78" t="s">
        <v>48</v>
      </c>
      <c r="P412" s="78" t="s">
        <v>48</v>
      </c>
      <c r="Q412" s="61" t="s">
        <v>138</v>
      </c>
      <c r="R412" s="78" t="s">
        <v>48</v>
      </c>
      <c r="S412" s="78" t="s">
        <v>48</v>
      </c>
      <c r="T412" s="78" t="s">
        <v>48</v>
      </c>
      <c r="U412" s="78" t="s">
        <v>48</v>
      </c>
      <c r="V412" s="61" t="s">
        <v>138</v>
      </c>
      <c r="W412" s="78" t="s">
        <v>48</v>
      </c>
      <c r="X412" s="78" t="s">
        <v>48</v>
      </c>
      <c r="Y412" s="78" t="s">
        <v>48</v>
      </c>
      <c r="Z412" s="78" t="s">
        <v>48</v>
      </c>
      <c r="AA412" s="61" t="s">
        <v>138</v>
      </c>
      <c r="AB412" s="78" t="s">
        <v>48</v>
      </c>
      <c r="AC412" s="78" t="s">
        <v>48</v>
      </c>
      <c r="AD412" s="78" t="s">
        <v>48</v>
      </c>
      <c r="AE412" s="78" t="s">
        <v>48</v>
      </c>
      <c r="AF412" s="61">
        <v>3</v>
      </c>
      <c r="AG412" s="147" t="s">
        <v>138</v>
      </c>
      <c r="AH412" s="147" t="s">
        <v>138</v>
      </c>
      <c r="AI412" s="147" t="s">
        <v>138</v>
      </c>
      <c r="AJ412" s="147" t="s">
        <v>138</v>
      </c>
      <c r="AK412" s="61" t="s">
        <v>138</v>
      </c>
      <c r="AL412" s="182" t="s">
        <v>138</v>
      </c>
      <c r="AM412" s="182">
        <v>-2</v>
      </c>
      <c r="AN412" s="182">
        <v>1</v>
      </c>
      <c r="AO412" s="182">
        <v>-1</v>
      </c>
      <c r="AP412" s="174">
        <v>-2</v>
      </c>
      <c r="AQ412" s="68">
        <v>14</v>
      </c>
      <c r="AR412" s="147" t="s">
        <v>138</v>
      </c>
      <c r="AS412" s="147" t="s">
        <v>138</v>
      </c>
      <c r="AT412" s="189">
        <v>4</v>
      </c>
      <c r="AU412" s="174">
        <v>18</v>
      </c>
      <c r="AV412" s="147" t="s">
        <v>138</v>
      </c>
      <c r="AW412" s="147">
        <v>1</v>
      </c>
      <c r="AX412" s="147">
        <v>-1</v>
      </c>
      <c r="AY412" s="68">
        <v>3</v>
      </c>
      <c r="AZ412" s="174">
        <v>3</v>
      </c>
      <c r="BA412" s="147">
        <v>2</v>
      </c>
      <c r="BB412" s="147">
        <v>-1</v>
      </c>
      <c r="BC412" s="147">
        <v>2</v>
      </c>
      <c r="BD412" s="147">
        <v>5</v>
      </c>
      <c r="BE412" s="174">
        <v>8</v>
      </c>
      <c r="BF412" s="147" t="s">
        <v>138</v>
      </c>
      <c r="BG412" s="147">
        <v>15</v>
      </c>
      <c r="BH412" s="147">
        <v>45</v>
      </c>
      <c r="BI412" s="147">
        <v>103</v>
      </c>
      <c r="BJ412" s="174">
        <v>163</v>
      </c>
      <c r="BK412" s="74">
        <v>0</v>
      </c>
    </row>
    <row r="413" spans="1:64">
      <c r="B413" s="36"/>
      <c r="G413" s="36"/>
      <c r="L413" s="36"/>
      <c r="Q413" s="36"/>
      <c r="V413" s="36"/>
      <c r="AA413" s="36"/>
      <c r="AF413" s="36"/>
      <c r="AK413" s="36"/>
      <c r="AP413" s="36"/>
      <c r="AU413" s="36"/>
      <c r="AZ413" s="36"/>
      <c r="BE413" s="36"/>
      <c r="BJ413" s="36"/>
    </row>
    <row r="414" spans="1:64" s="35" customFormat="1">
      <c r="A414" s="67" t="s">
        <v>251</v>
      </c>
      <c r="B414" s="36">
        <v>203.58099999999999</v>
      </c>
      <c r="C414" s="68">
        <v>54.8</v>
      </c>
      <c r="D414" s="68">
        <v>62.561999999999998</v>
      </c>
      <c r="E414" s="68">
        <v>59.095999999999997</v>
      </c>
      <c r="F414" s="68">
        <f>G414-E414-D414-C414</f>
        <v>65.06</v>
      </c>
      <c r="G414" s="36">
        <v>241.518</v>
      </c>
      <c r="H414" s="68">
        <v>60.156999999999996</v>
      </c>
      <c r="I414" s="68">
        <v>67.596000000000004</v>
      </c>
      <c r="J414" s="68">
        <v>66.364999999999995</v>
      </c>
      <c r="K414" s="68">
        <f>L414-J414-I414-H414</f>
        <v>66.694000000000003</v>
      </c>
      <c r="L414" s="36">
        <v>260.81200000000001</v>
      </c>
      <c r="M414" s="68">
        <v>61.543999999999997</v>
      </c>
      <c r="N414" s="68">
        <v>123.69499999999999</v>
      </c>
      <c r="O414" s="68">
        <v>69.542000000000002</v>
      </c>
      <c r="P414" s="68">
        <f>Q414-O414-N414-M414</f>
        <v>65.050000000000026</v>
      </c>
      <c r="Q414" s="36">
        <v>319.83100000000002</v>
      </c>
      <c r="R414" s="68">
        <v>60.853999999999999</v>
      </c>
      <c r="S414" s="68">
        <v>60.320999999999998</v>
      </c>
      <c r="T414" s="68">
        <v>61.366</v>
      </c>
      <c r="U414" s="68">
        <f>V414-T414-S414-R414</f>
        <v>58.594000000000008</v>
      </c>
      <c r="V414" s="36">
        <v>241.13499999999999</v>
      </c>
      <c r="W414" s="68">
        <v>49.576999999999998</v>
      </c>
      <c r="X414" s="68">
        <v>52.960999999999999</v>
      </c>
      <c r="Y414" s="68">
        <v>54.901000000000003</v>
      </c>
      <c r="Z414" s="68">
        <f>AA414-Y414-X414-W414</f>
        <v>61.61999999999999</v>
      </c>
      <c r="AA414" s="36">
        <v>219.059</v>
      </c>
      <c r="AB414" s="68">
        <v>55.948999999999998</v>
      </c>
      <c r="AC414" s="68">
        <v>60.225000000000001</v>
      </c>
      <c r="AD414" s="68">
        <v>54.884999999999998</v>
      </c>
      <c r="AE414" s="68">
        <f>AF414-AD414-AC414-AB414</f>
        <v>56.409000000000006</v>
      </c>
      <c r="AF414" s="36">
        <v>227.46799999999999</v>
      </c>
      <c r="AG414" s="68">
        <v>58</v>
      </c>
      <c r="AH414" s="68">
        <v>58</v>
      </c>
      <c r="AI414" s="68">
        <v>59</v>
      </c>
      <c r="AJ414" s="68">
        <f>AK414-AI414-AH414-AG414</f>
        <v>57</v>
      </c>
      <c r="AK414" s="36">
        <v>232</v>
      </c>
      <c r="AL414" s="68">
        <v>61</v>
      </c>
      <c r="AM414" s="68">
        <v>62</v>
      </c>
      <c r="AN414" s="68">
        <v>59</v>
      </c>
      <c r="AO414" s="68">
        <f>AP414-AN414-AM414-AL414</f>
        <v>58</v>
      </c>
      <c r="AP414" s="36">
        <v>240</v>
      </c>
      <c r="AQ414" s="68">
        <v>37</v>
      </c>
      <c r="AR414" s="68">
        <v>47</v>
      </c>
      <c r="AS414" s="68">
        <v>45</v>
      </c>
      <c r="AT414" s="68">
        <f>AU414-AS414-AR414-AQ414</f>
        <v>47</v>
      </c>
      <c r="AU414" s="36">
        <v>176</v>
      </c>
      <c r="AV414" s="68">
        <v>49</v>
      </c>
      <c r="AW414" s="68">
        <v>45</v>
      </c>
      <c r="AX414" s="68">
        <v>39</v>
      </c>
      <c r="AY414" s="68">
        <f>AZ414-AX414-AW414-AV414</f>
        <v>35</v>
      </c>
      <c r="AZ414" s="36">
        <v>168</v>
      </c>
      <c r="BA414" s="68">
        <v>33</v>
      </c>
      <c r="BB414" s="68">
        <v>29</v>
      </c>
      <c r="BC414" s="68">
        <v>30</v>
      </c>
      <c r="BD414" s="147">
        <v>19</v>
      </c>
      <c r="BE414" s="36">
        <v>111</v>
      </c>
      <c r="BF414" s="68">
        <v>33</v>
      </c>
      <c r="BG414" s="68">
        <v>17</v>
      </c>
      <c r="BH414" s="182">
        <v>-21</v>
      </c>
      <c r="BI414" s="147">
        <v>-86</v>
      </c>
      <c r="BJ414" s="174">
        <v>-57</v>
      </c>
      <c r="BK414" s="68">
        <v>36</v>
      </c>
    </row>
    <row r="415" spans="1:64">
      <c r="A415" s="69" t="s">
        <v>7</v>
      </c>
      <c r="B415" s="23"/>
      <c r="C415" s="70"/>
      <c r="D415" s="70">
        <f>D414/C414-1</f>
        <v>0.14164233576642338</v>
      </c>
      <c r="E415" s="70">
        <f>E414/D414-1</f>
        <v>-5.5401042166171144E-2</v>
      </c>
      <c r="F415" s="70">
        <f>F414/E414-1</f>
        <v>0.10092053607689189</v>
      </c>
      <c r="G415" s="23"/>
      <c r="H415" s="70">
        <f>H414/F414-1</f>
        <v>-7.5361205041500234E-2</v>
      </c>
      <c r="I415" s="70">
        <f>I414/H414-1</f>
        <v>0.1236597569692639</v>
      </c>
      <c r="J415" s="70">
        <f>J414/I414-1</f>
        <v>-1.8211136753654156E-2</v>
      </c>
      <c r="K415" s="70">
        <f>K414/J414-1</f>
        <v>4.9574323815264609E-3</v>
      </c>
      <c r="L415" s="23"/>
      <c r="M415" s="70">
        <f>M414/K414-1</f>
        <v>-7.7218340480403103E-2</v>
      </c>
      <c r="N415" s="70">
        <f>N414/M414-1</f>
        <v>1.0098628623423891</v>
      </c>
      <c r="O415" s="70">
        <f>O414/N414-1</f>
        <v>-0.43779457536682964</v>
      </c>
      <c r="P415" s="70">
        <f>P414/O414-1</f>
        <v>-6.4594058266946197E-2</v>
      </c>
      <c r="Q415" s="23"/>
      <c r="R415" s="70">
        <f>R414/P414-1</f>
        <v>-6.4504227517294788E-2</v>
      </c>
      <c r="S415" s="70">
        <f>S414/R414-1</f>
        <v>-8.758668288033622E-3</v>
      </c>
      <c r="T415" s="70">
        <f>T414/S414-1</f>
        <v>1.7323983355713723E-2</v>
      </c>
      <c r="U415" s="70">
        <f>U414/T414-1</f>
        <v>-4.5171593390476716E-2</v>
      </c>
      <c r="V415" s="23"/>
      <c r="W415" s="70">
        <f>W414/U414-1</f>
        <v>-0.15388947673823272</v>
      </c>
      <c r="X415" s="70">
        <f>X414/W414-1</f>
        <v>6.8257458095487777E-2</v>
      </c>
      <c r="Y415" s="70">
        <f>Y414/X414-1</f>
        <v>3.6630728271747293E-2</v>
      </c>
      <c r="Z415" s="70">
        <v>0.12238392743301563</v>
      </c>
      <c r="AA415" s="23"/>
      <c r="AB415" s="70">
        <f>AB414/Z414-1</f>
        <v>-9.2031807854592529E-2</v>
      </c>
      <c r="AC415" s="70">
        <f>AC414/AB414-1</f>
        <v>7.6426745786341233E-2</v>
      </c>
      <c r="AD415" s="70">
        <f>AD414/AC414-1</f>
        <v>-8.8667496886674968E-2</v>
      </c>
      <c r="AE415" s="70">
        <f>AE414/AD414-1</f>
        <v>2.7767149494397625E-2</v>
      </c>
      <c r="AF415" s="23"/>
      <c r="AG415" s="70">
        <f>AG414/AE414-1</f>
        <v>2.8204719105107134E-2</v>
      </c>
      <c r="AH415" s="70">
        <f>AH414/AG414-1</f>
        <v>0</v>
      </c>
      <c r="AI415" s="70">
        <f>AI414/AH414-1</f>
        <v>1.7241379310344751E-2</v>
      </c>
      <c r="AJ415" s="70">
        <f>AJ414/AI414-1</f>
        <v>-3.3898305084745783E-2</v>
      </c>
      <c r="AK415" s="23"/>
      <c r="AL415" s="70">
        <v>6.1502017897876904E-2</v>
      </c>
      <c r="AM415" s="70">
        <f>AM414/AL414-1</f>
        <v>1.6393442622950838E-2</v>
      </c>
      <c r="AN415" s="70">
        <f>AN414/AM414-1</f>
        <v>-4.8387096774193505E-2</v>
      </c>
      <c r="AO415" s="70">
        <f>AO414/AN414-1</f>
        <v>-1.6949152542372836E-2</v>
      </c>
      <c r="AP415" s="23"/>
      <c r="AQ415" s="70">
        <f>AQ414/AO414-1</f>
        <v>-0.36206896551724133</v>
      </c>
      <c r="AR415" s="70">
        <f>AR414/AQ414-1</f>
        <v>0.27027027027027017</v>
      </c>
      <c r="AS415" s="70">
        <f>AS414/AR414-1</f>
        <v>-4.2553191489361653E-2</v>
      </c>
      <c r="AT415" s="70">
        <f>AT414/AS414-1</f>
        <v>4.4444444444444509E-2</v>
      </c>
      <c r="AU415" s="23"/>
      <c r="AV415" s="70">
        <f>AV414/AT414-1</f>
        <v>4.2553191489361764E-2</v>
      </c>
      <c r="AW415" s="70">
        <f>AW414/AV414-1</f>
        <v>-8.1632653061224469E-2</v>
      </c>
      <c r="AX415" s="70">
        <f>AX414/AW414-1</f>
        <v>-0.1333333333333333</v>
      </c>
      <c r="AY415" s="70">
        <f>AY414/AX414-1</f>
        <v>-0.10256410256410253</v>
      </c>
      <c r="AZ415" s="23"/>
      <c r="BA415" s="70">
        <v>-5.7142857142857162E-2</v>
      </c>
      <c r="BB415" s="70">
        <v>-0.12121212121212122</v>
      </c>
      <c r="BC415" s="70">
        <v>3.4482758620689724E-2</v>
      </c>
      <c r="BD415" s="70">
        <v>-0.3666666666666667</v>
      </c>
      <c r="BE415" s="23"/>
      <c r="BF415" s="70">
        <v>0.73684210526315796</v>
      </c>
      <c r="BG415" s="70">
        <v>-0.48484848484848486</v>
      </c>
      <c r="BH415" s="83" t="s">
        <v>39</v>
      </c>
      <c r="BI415" s="70">
        <v>3.0952380952380949</v>
      </c>
      <c r="BJ415" s="23"/>
      <c r="BK415" s="83" t="s">
        <v>39</v>
      </c>
    </row>
    <row r="416" spans="1:64">
      <c r="A416" s="69" t="s">
        <v>8</v>
      </c>
      <c r="B416" s="23"/>
      <c r="C416" s="71"/>
      <c r="D416" s="71"/>
      <c r="E416" s="71"/>
      <c r="F416" s="71"/>
      <c r="G416" s="23">
        <f t="shared" ref="G416:N416" si="753">G414/B414-1</f>
        <v>0.18634843133691259</v>
      </c>
      <c r="H416" s="71">
        <f t="shared" si="753"/>
        <v>9.7755474452554836E-2</v>
      </c>
      <c r="I416" s="71">
        <f t="shared" si="753"/>
        <v>8.0464179533902502E-2</v>
      </c>
      <c r="J416" s="71">
        <f t="shared" si="753"/>
        <v>0.12300324895085968</v>
      </c>
      <c r="K416" s="71">
        <f t="shared" si="753"/>
        <v>2.5115278204734137E-2</v>
      </c>
      <c r="L416" s="23">
        <f t="shared" si="753"/>
        <v>7.988638527977221E-2</v>
      </c>
      <c r="M416" s="71">
        <f t="shared" si="753"/>
        <v>2.3056335921006754E-2</v>
      </c>
      <c r="N416" s="71">
        <f t="shared" si="753"/>
        <v>0.82991597135925188</v>
      </c>
      <c r="O416" s="71">
        <f>O414/J414-1</f>
        <v>4.7871619076320426E-2</v>
      </c>
      <c r="P416" s="71">
        <v>-1.4999999999999999E-2</v>
      </c>
      <c r="Q416" s="23">
        <f t="shared" ref="Q416:Y416" si="754">Q414/L414-1</f>
        <v>0.22628943453522088</v>
      </c>
      <c r="R416" s="71">
        <f t="shared" si="754"/>
        <v>-1.1211490965813087E-2</v>
      </c>
      <c r="S416" s="71">
        <f t="shared" si="754"/>
        <v>-0.51234083835239908</v>
      </c>
      <c r="T416" s="71">
        <f t="shared" si="754"/>
        <v>-0.11756923873342728</v>
      </c>
      <c r="U416" s="71">
        <f t="shared" si="754"/>
        <v>-9.9246733282090882E-2</v>
      </c>
      <c r="V416" s="23">
        <f t="shared" si="754"/>
        <v>-0.24605494776929071</v>
      </c>
      <c r="W416" s="71">
        <f t="shared" si="754"/>
        <v>-0.185312387024682</v>
      </c>
      <c r="X416" s="71">
        <f t="shared" si="754"/>
        <v>-0.1220138923426336</v>
      </c>
      <c r="Y416" s="71">
        <f t="shared" si="754"/>
        <v>-0.10535149757194529</v>
      </c>
      <c r="Z416" s="71">
        <v>5.1643512987677553E-2</v>
      </c>
      <c r="AA416" s="23">
        <f t="shared" ref="AA416:AI416" si="755">AA414/V414-1</f>
        <v>-9.1550376345200801E-2</v>
      </c>
      <c r="AB416" s="71">
        <f t="shared" si="755"/>
        <v>0.12852734130746102</v>
      </c>
      <c r="AC416" s="71">
        <f t="shared" si="755"/>
        <v>0.13715753101338723</v>
      </c>
      <c r="AD416" s="71">
        <f t="shared" si="755"/>
        <v>-2.9143367151795996E-4</v>
      </c>
      <c r="AE416" s="71">
        <f t="shared" si="755"/>
        <v>-8.4566699123660882E-2</v>
      </c>
      <c r="AF416" s="23">
        <f t="shared" si="755"/>
        <v>3.838691859270793E-2</v>
      </c>
      <c r="AG416" s="71">
        <f t="shared" si="755"/>
        <v>3.6658385315197828E-2</v>
      </c>
      <c r="AH416" s="71">
        <f t="shared" si="755"/>
        <v>-3.6944790369447977E-2</v>
      </c>
      <c r="AI416" s="71">
        <f t="shared" si="755"/>
        <v>7.4974947617746146E-2</v>
      </c>
      <c r="AJ416" s="71">
        <f>AJ414/AE414-1</f>
        <v>1.047705153432954E-2</v>
      </c>
      <c r="AK416" s="23">
        <f>AK414/AF414-1</f>
        <v>1.9923681572792784E-2</v>
      </c>
      <c r="AL416" s="71">
        <v>3.9004534212695896E-2</v>
      </c>
      <c r="AM416" s="71">
        <f>AM414/AH414-1</f>
        <v>6.8965517241379226E-2</v>
      </c>
      <c r="AN416" s="71">
        <f>AN414/AI414-1</f>
        <v>0</v>
      </c>
      <c r="AO416" s="71">
        <f>AO414/AJ414-1</f>
        <v>1.7543859649122862E-2</v>
      </c>
      <c r="AP416" s="23">
        <f>AP414/AK414-1</f>
        <v>3.4482758620689724E-2</v>
      </c>
      <c r="AQ416" s="71">
        <f t="shared" ref="AQ416" si="756">AQ414/AL414-1</f>
        <v>-0.39344262295081966</v>
      </c>
      <c r="AR416" s="71">
        <f>AR414/AM414-1</f>
        <v>-0.24193548387096775</v>
      </c>
      <c r="AS416" s="71">
        <f>AS414/AN414-1</f>
        <v>-0.23728813559322037</v>
      </c>
      <c r="AT416" s="71">
        <f>AT414/AO414-1</f>
        <v>-0.18965517241379315</v>
      </c>
      <c r="AU416" s="23">
        <f>AU414/AP414-1</f>
        <v>-0.26666666666666672</v>
      </c>
      <c r="AV416" s="71">
        <f t="shared" ref="AV416:AX416" si="757">AV414/AQ414-1</f>
        <v>0.32432432432432434</v>
      </c>
      <c r="AW416" s="71">
        <f t="shared" si="757"/>
        <v>-4.2553191489361653E-2</v>
      </c>
      <c r="AX416" s="71">
        <f t="shared" si="757"/>
        <v>-0.1333333333333333</v>
      </c>
      <c r="AY416" s="71">
        <f>AY414/AT414-1</f>
        <v>-0.25531914893617025</v>
      </c>
      <c r="AZ416" s="23">
        <v>-4.5454545454545414E-2</v>
      </c>
      <c r="BA416" s="71">
        <v>-0.32653061224489799</v>
      </c>
      <c r="BB416" s="71">
        <v>-0.35555555555555551</v>
      </c>
      <c r="BC416" s="71">
        <v>-0.23076923076923073</v>
      </c>
      <c r="BD416" s="71">
        <v>-0.45714285714285718</v>
      </c>
      <c r="BE416" s="23">
        <v>-0.3392857142857143</v>
      </c>
      <c r="BF416" s="71">
        <v>0</v>
      </c>
      <c r="BG416" s="71">
        <v>-0.41379310344827591</v>
      </c>
      <c r="BH416" s="83" t="s">
        <v>39</v>
      </c>
      <c r="BI416" s="83" t="s">
        <v>39</v>
      </c>
      <c r="BJ416" s="90" t="s">
        <v>39</v>
      </c>
      <c r="BK416" s="71">
        <v>9.0909090909090828E-2</v>
      </c>
    </row>
    <row r="417" spans="1:63" s="35" customFormat="1">
      <c r="A417" s="67" t="s">
        <v>160</v>
      </c>
      <c r="B417" s="36">
        <v>153.02000000000001</v>
      </c>
      <c r="C417" s="68">
        <v>41.5</v>
      </c>
      <c r="D417" s="68">
        <v>47.055999999999997</v>
      </c>
      <c r="E417" s="68">
        <v>44.006</v>
      </c>
      <c r="F417" s="68">
        <f>G417-E417-D417-C417</f>
        <v>45.786999999999992</v>
      </c>
      <c r="G417" s="36">
        <v>178.34899999999999</v>
      </c>
      <c r="H417" s="68">
        <v>44.088999999999999</v>
      </c>
      <c r="I417" s="68">
        <v>55.793999999999997</v>
      </c>
      <c r="J417" s="68">
        <v>50.698999999999998</v>
      </c>
      <c r="K417" s="68">
        <f>L417-J417-I417-H417</f>
        <v>49.417999999999992</v>
      </c>
      <c r="L417" s="36">
        <v>200</v>
      </c>
      <c r="M417" s="68">
        <v>46.469000000000001</v>
      </c>
      <c r="N417" s="68">
        <v>108.223</v>
      </c>
      <c r="O417" s="68">
        <v>53.423000000000002</v>
      </c>
      <c r="P417" s="68">
        <f>Q417-O417-N417-M417</f>
        <v>45.856000000000002</v>
      </c>
      <c r="Q417" s="36">
        <v>253.971</v>
      </c>
      <c r="R417" s="68">
        <v>45.963999999999999</v>
      </c>
      <c r="S417" s="68">
        <v>46.347000000000001</v>
      </c>
      <c r="T417" s="68">
        <v>45.918999999999997</v>
      </c>
      <c r="U417" s="68">
        <f>V417-T417-S417-R417</f>
        <v>43.99199999999999</v>
      </c>
      <c r="V417" s="36">
        <v>182.22200000000001</v>
      </c>
      <c r="W417" s="68">
        <v>35.805</v>
      </c>
      <c r="X417" s="68">
        <v>38.872999999999998</v>
      </c>
      <c r="Y417" s="68">
        <v>40.29</v>
      </c>
      <c r="Z417" s="68">
        <f>AA417-Y417-X417-W417</f>
        <v>44.630000000000031</v>
      </c>
      <c r="AA417" s="36">
        <v>159.59800000000001</v>
      </c>
      <c r="AB417" s="68">
        <v>37.485999999999997</v>
      </c>
      <c r="AC417" s="68">
        <v>43.552999999999997</v>
      </c>
      <c r="AD417" s="68">
        <v>38.768999999999998</v>
      </c>
      <c r="AE417" s="68">
        <f>AF417-AD417-AC417-AB417</f>
        <v>38.378000000000007</v>
      </c>
      <c r="AF417" s="36">
        <f>158.186</f>
        <v>158.18600000000001</v>
      </c>
      <c r="AG417" s="68">
        <v>42</v>
      </c>
      <c r="AH417" s="68">
        <v>41</v>
      </c>
      <c r="AI417" s="68">
        <v>42</v>
      </c>
      <c r="AJ417" s="68">
        <f>AK417-AI417-AH417-AG417</f>
        <v>40</v>
      </c>
      <c r="AK417" s="36">
        <v>165</v>
      </c>
      <c r="AL417" s="68">
        <v>44</v>
      </c>
      <c r="AM417" s="68">
        <v>45</v>
      </c>
      <c r="AN417" s="68">
        <v>41</v>
      </c>
      <c r="AO417" s="68">
        <f>AP417-AN417-AM417-AL417</f>
        <v>42</v>
      </c>
      <c r="AP417" s="36">
        <v>172</v>
      </c>
      <c r="AQ417" s="68">
        <v>26</v>
      </c>
      <c r="AR417" s="68">
        <v>33</v>
      </c>
      <c r="AS417" s="68">
        <v>33</v>
      </c>
      <c r="AT417" s="68">
        <f>AU417-AS417-AR417-AQ417</f>
        <v>33</v>
      </c>
      <c r="AU417" s="36">
        <v>125</v>
      </c>
      <c r="AV417" s="68">
        <v>36</v>
      </c>
      <c r="AW417" s="68">
        <v>33</v>
      </c>
      <c r="AX417" s="68">
        <v>27</v>
      </c>
      <c r="AY417" s="68">
        <f>AZ417-AX417-AW417-AV417</f>
        <v>31</v>
      </c>
      <c r="AZ417" s="36">
        <v>127</v>
      </c>
      <c r="BA417" s="68">
        <v>24</v>
      </c>
      <c r="BB417" s="68">
        <v>20</v>
      </c>
      <c r="BC417" s="68">
        <v>20</v>
      </c>
      <c r="BD417" s="147">
        <v>13</v>
      </c>
      <c r="BE417" s="36">
        <v>77</v>
      </c>
      <c r="BF417" s="68">
        <v>25</v>
      </c>
      <c r="BG417" s="68">
        <v>10</v>
      </c>
      <c r="BH417" s="182">
        <v>-18</v>
      </c>
      <c r="BI417" s="147">
        <v>-67</v>
      </c>
      <c r="BJ417" s="174">
        <v>-50</v>
      </c>
      <c r="BK417" s="68">
        <v>27</v>
      </c>
    </row>
    <row r="418" spans="1:63">
      <c r="A418" s="69" t="s">
        <v>7</v>
      </c>
      <c r="B418" s="23"/>
      <c r="C418" s="70"/>
      <c r="D418" s="70">
        <f>D417/C417-1</f>
        <v>0.13387951807228915</v>
      </c>
      <c r="E418" s="70">
        <f>E417/D417-1</f>
        <v>-6.4816388983338968E-2</v>
      </c>
      <c r="F418" s="70">
        <f>F417/E417-1</f>
        <v>4.0471753851747394E-2</v>
      </c>
      <c r="G418" s="23"/>
      <c r="H418" s="70">
        <f>H417/F417-1</f>
        <v>-3.7084762050363484E-2</v>
      </c>
      <c r="I418" s="70">
        <f>I417/H417-1</f>
        <v>0.26548572206219245</v>
      </c>
      <c r="J418" s="70">
        <f>J417/I417-1</f>
        <v>-9.1318062874144124E-2</v>
      </c>
      <c r="K418" s="70">
        <f>K417/J417-1</f>
        <v>-2.5266770547742623E-2</v>
      </c>
      <c r="L418" s="23"/>
      <c r="M418" s="70">
        <f>M417/K417-1</f>
        <v>-5.9674612489376222E-2</v>
      </c>
      <c r="N418" s="70">
        <f>N417/M417-1</f>
        <v>1.3289289633949513</v>
      </c>
      <c r="O418" s="70">
        <f>O417/N417-1</f>
        <v>-0.50636186392910931</v>
      </c>
      <c r="P418" s="70">
        <f>P417/O417-1</f>
        <v>-0.14164311251708062</v>
      </c>
      <c r="Q418" s="23"/>
      <c r="R418" s="70">
        <f>R417/P417-1</f>
        <v>2.3551988834611404E-3</v>
      </c>
      <c r="S418" s="70">
        <f>S417/R417-1</f>
        <v>8.3326081281003272E-3</v>
      </c>
      <c r="T418" s="70">
        <f>T417/S417-1</f>
        <v>-9.2346861717048645E-3</v>
      </c>
      <c r="U418" s="70">
        <f>U417/T417-1</f>
        <v>-4.1965199590583535E-2</v>
      </c>
      <c r="V418" s="23"/>
      <c r="W418" s="70">
        <f>W417/U417-1</f>
        <v>-0.18610201854882691</v>
      </c>
      <c r="X418" s="70">
        <f>X417/W417-1</f>
        <v>8.5686356654098628E-2</v>
      </c>
      <c r="Y418" s="70">
        <f>Y417/X417-1</f>
        <v>3.6452036117613718E-2</v>
      </c>
      <c r="Z418" s="70">
        <v>0.10771903698188212</v>
      </c>
      <c r="AA418" s="23"/>
      <c r="AB418" s="70">
        <f>AB417/Z417-1</f>
        <v>-0.16007170064978782</v>
      </c>
      <c r="AC418" s="70">
        <f>AC417/AB417-1</f>
        <v>0.16184708958010985</v>
      </c>
      <c r="AD418" s="70">
        <f>AD417/AC417-1</f>
        <v>-0.10984317957431178</v>
      </c>
      <c r="AE418" s="70">
        <f>AE417/AD417-1</f>
        <v>-1.0085377492326075E-2</v>
      </c>
      <c r="AF418" s="23"/>
      <c r="AG418" s="70">
        <f>AG417/AE417-1</f>
        <v>9.4376986815362773E-2</v>
      </c>
      <c r="AH418" s="70">
        <f>AH417/AG417-1</f>
        <v>-2.3809523809523836E-2</v>
      </c>
      <c r="AI418" s="70">
        <f>AI417/AH417-1</f>
        <v>2.4390243902439046E-2</v>
      </c>
      <c r="AJ418" s="70">
        <f>AJ417/AI417-1</f>
        <v>-4.7619047619047672E-2</v>
      </c>
      <c r="AK418" s="23"/>
      <c r="AL418" s="70">
        <f>AL417/AJ417-1</f>
        <v>0.10000000000000009</v>
      </c>
      <c r="AM418" s="70">
        <f>AM417/AL417-1</f>
        <v>2.2727272727272707E-2</v>
      </c>
      <c r="AN418" s="70">
        <f>AN417/AM417-1</f>
        <v>-8.8888888888888906E-2</v>
      </c>
      <c r="AO418" s="70">
        <f>AO417/AN417-1</f>
        <v>2.4390243902439046E-2</v>
      </c>
      <c r="AP418" s="23"/>
      <c r="AQ418" s="70">
        <f>AQ417/AO417-1</f>
        <v>-0.38095238095238093</v>
      </c>
      <c r="AR418" s="70">
        <f>AR417/AQ417-1</f>
        <v>0.26923076923076916</v>
      </c>
      <c r="AS418" s="70">
        <f>AS417/AR417-1</f>
        <v>0</v>
      </c>
      <c r="AT418" s="70">
        <f>AT417/AS417-1</f>
        <v>0</v>
      </c>
      <c r="AU418" s="23"/>
      <c r="AV418" s="70">
        <f>AV417/AT417-1</f>
        <v>9.0909090909090828E-2</v>
      </c>
      <c r="AW418" s="70">
        <f>AW417/AV417-1</f>
        <v>-8.333333333333337E-2</v>
      </c>
      <c r="AX418" s="70">
        <f>AX417/AW417-1</f>
        <v>-0.18181818181818177</v>
      </c>
      <c r="AY418" s="70">
        <f>AY417/AX417-1</f>
        <v>0.14814814814814814</v>
      </c>
      <c r="AZ418" s="23"/>
      <c r="BA418" s="70">
        <v>-0.22580645161290325</v>
      </c>
      <c r="BB418" s="70">
        <v>-0.16666666666666663</v>
      </c>
      <c r="BC418" s="70">
        <v>0</v>
      </c>
      <c r="BD418" s="70">
        <v>-0.35</v>
      </c>
      <c r="BE418" s="23"/>
      <c r="BF418" s="70">
        <v>0.92307692307692313</v>
      </c>
      <c r="BG418" s="70">
        <v>-0.6</v>
      </c>
      <c r="BH418" s="83" t="s">
        <v>39</v>
      </c>
      <c r="BI418" s="70">
        <v>2.7222222222222223</v>
      </c>
      <c r="BJ418" s="23"/>
      <c r="BK418" s="83" t="s">
        <v>39</v>
      </c>
    </row>
    <row r="419" spans="1:63">
      <c r="A419" s="69" t="s">
        <v>8</v>
      </c>
      <c r="B419" s="23"/>
      <c r="C419" s="71"/>
      <c r="D419" s="71"/>
      <c r="E419" s="71"/>
      <c r="F419" s="71"/>
      <c r="G419" s="23">
        <f t="shared" ref="G419:N419" si="758">G417/B417-1</f>
        <v>0.16552738204156303</v>
      </c>
      <c r="H419" s="71">
        <f t="shared" si="758"/>
        <v>6.2385542168674757E-2</v>
      </c>
      <c r="I419" s="71">
        <f t="shared" si="758"/>
        <v>0.18569364161849711</v>
      </c>
      <c r="J419" s="71">
        <f t="shared" si="758"/>
        <v>0.15209289642321489</v>
      </c>
      <c r="K419" s="71">
        <f t="shared" si="758"/>
        <v>7.9301985279664589E-2</v>
      </c>
      <c r="L419" s="23">
        <f t="shared" si="758"/>
        <v>0.12139681186886397</v>
      </c>
      <c r="M419" s="71">
        <f t="shared" si="758"/>
        <v>5.3981718796071609E-2</v>
      </c>
      <c r="N419" s="71">
        <f t="shared" si="758"/>
        <v>0.93968885543248382</v>
      </c>
      <c r="O419" s="71">
        <f t="shared" ref="O419:Y419" si="759">O417/J417-1</f>
        <v>5.372887039192098E-2</v>
      </c>
      <c r="P419" s="71">
        <f t="shared" si="759"/>
        <v>-7.2078999554817891E-2</v>
      </c>
      <c r="Q419" s="23">
        <f t="shared" si="759"/>
        <v>0.26985499999999996</v>
      </c>
      <c r="R419" s="71">
        <f t="shared" si="759"/>
        <v>-1.0867460027114917E-2</v>
      </c>
      <c r="S419" s="71">
        <f t="shared" si="759"/>
        <v>-0.5717453775999557</v>
      </c>
      <c r="T419" s="71">
        <f t="shared" si="759"/>
        <v>-0.14046384516032429</v>
      </c>
      <c r="U419" s="71">
        <f t="shared" si="759"/>
        <v>-4.0648988136776198E-2</v>
      </c>
      <c r="V419" s="23">
        <f t="shared" si="759"/>
        <v>-0.28250863287540706</v>
      </c>
      <c r="W419" s="71">
        <f t="shared" si="759"/>
        <v>-0.22102079888608472</v>
      </c>
      <c r="X419" s="71">
        <f t="shared" si="759"/>
        <v>-0.16126178609187225</v>
      </c>
      <c r="Y419" s="71">
        <f t="shared" si="759"/>
        <v>-0.12258542215640578</v>
      </c>
      <c r="Z419" s="71">
        <v>1.450263684306341E-2</v>
      </c>
      <c r="AA419" s="23">
        <f t="shared" ref="AA419:AI419" si="760">AA417/V417-1</f>
        <v>-0.12415624897103528</v>
      </c>
      <c r="AB419" s="71">
        <f t="shared" si="760"/>
        <v>4.6948750174556464E-2</v>
      </c>
      <c r="AC419" s="71">
        <f t="shared" si="760"/>
        <v>0.12039204589303631</v>
      </c>
      <c r="AD419" s="71">
        <f t="shared" si="760"/>
        <v>-3.775130305286678E-2</v>
      </c>
      <c r="AE419" s="71">
        <f t="shared" si="760"/>
        <v>-0.14008514452162268</v>
      </c>
      <c r="AF419" s="23">
        <f t="shared" si="760"/>
        <v>-8.8472286620133733E-3</v>
      </c>
      <c r="AG419" s="71">
        <f t="shared" si="760"/>
        <v>0.12041828949474476</v>
      </c>
      <c r="AH419" s="71">
        <f t="shared" si="760"/>
        <v>-5.8618235253598994E-2</v>
      </c>
      <c r="AI419" s="71">
        <f t="shared" si="760"/>
        <v>8.3339781784415479E-2</v>
      </c>
      <c r="AJ419" s="71">
        <f t="shared" ref="AJ419:AS419" si="761">AJ417/AE417-1</f>
        <v>4.2263796967012102E-2</v>
      </c>
      <c r="AK419" s="23">
        <f t="shared" si="761"/>
        <v>4.3075872706813456E-2</v>
      </c>
      <c r="AL419" s="71">
        <f t="shared" si="761"/>
        <v>4.7619047619047672E-2</v>
      </c>
      <c r="AM419" s="71">
        <f t="shared" si="761"/>
        <v>9.7560975609756184E-2</v>
      </c>
      <c r="AN419" s="71">
        <f t="shared" si="761"/>
        <v>-2.3809523809523836E-2</v>
      </c>
      <c r="AO419" s="71">
        <f t="shared" si="761"/>
        <v>5.0000000000000044E-2</v>
      </c>
      <c r="AP419" s="23">
        <f t="shared" si="761"/>
        <v>4.2424242424242475E-2</v>
      </c>
      <c r="AQ419" s="71">
        <f t="shared" si="761"/>
        <v>-0.40909090909090906</v>
      </c>
      <c r="AR419" s="71">
        <f t="shared" si="761"/>
        <v>-0.26666666666666672</v>
      </c>
      <c r="AS419" s="71">
        <f t="shared" si="761"/>
        <v>-0.19512195121951215</v>
      </c>
      <c r="AT419" s="71">
        <f t="shared" ref="AT419" si="762">AT417/AO417-1</f>
        <v>-0.2142857142857143</v>
      </c>
      <c r="AU419" s="23">
        <f t="shared" ref="AU419:AX419" si="763">AU417/AP417-1</f>
        <v>-0.27325581395348841</v>
      </c>
      <c r="AV419" s="71">
        <f t="shared" si="763"/>
        <v>0.38461538461538458</v>
      </c>
      <c r="AW419" s="71">
        <f t="shared" si="763"/>
        <v>0</v>
      </c>
      <c r="AX419" s="71">
        <f t="shared" si="763"/>
        <v>-0.18181818181818177</v>
      </c>
      <c r="AY419" s="71">
        <f t="shared" ref="AY419" si="764">AY417/AT417-1</f>
        <v>-6.0606060606060552E-2</v>
      </c>
      <c r="AZ419" s="23">
        <v>1.6000000000000014E-2</v>
      </c>
      <c r="BA419" s="71">
        <v>-0.33333333333333337</v>
      </c>
      <c r="BB419" s="71">
        <v>-0.39393939393939392</v>
      </c>
      <c r="BC419" s="71">
        <v>-0.2592592592592593</v>
      </c>
      <c r="BD419" s="71">
        <v>-0.58064516129032251</v>
      </c>
      <c r="BE419" s="23">
        <v>-0.39370078740157477</v>
      </c>
      <c r="BF419" s="71">
        <v>4.1666666666666741E-2</v>
      </c>
      <c r="BG419" s="71">
        <v>-0.5</v>
      </c>
      <c r="BH419" s="83" t="s">
        <v>39</v>
      </c>
      <c r="BI419" s="83" t="s">
        <v>39</v>
      </c>
      <c r="BJ419" s="90" t="s">
        <v>39</v>
      </c>
      <c r="BK419" s="71">
        <v>8.0000000000000071E-2</v>
      </c>
    </row>
    <row r="420" spans="1:63" s="35" customFormat="1">
      <c r="A420" s="67" t="s">
        <v>240</v>
      </c>
      <c r="B420" s="36">
        <f>B403+B414</f>
        <v>290.178</v>
      </c>
      <c r="C420" s="75">
        <f>C403+C414</f>
        <v>74.8</v>
      </c>
      <c r="D420" s="75">
        <f>D403+D414</f>
        <v>82.878999999999991</v>
      </c>
      <c r="E420" s="75">
        <f>E403+E414</f>
        <v>79</v>
      </c>
      <c r="F420" s="68">
        <f>G420-E420-D420-C420</f>
        <v>84.921000000000035</v>
      </c>
      <c r="G420" s="36">
        <f>G403+G414</f>
        <v>321.60000000000002</v>
      </c>
      <c r="H420" s="75">
        <f>H403+H414</f>
        <v>79.771000000000001</v>
      </c>
      <c r="I420" s="75">
        <f>I403+I414</f>
        <v>88.27000000000001</v>
      </c>
      <c r="J420" s="75">
        <f>J403+J414</f>
        <v>87.765000000000001</v>
      </c>
      <c r="K420" s="68">
        <f>L420-J420-I420-H420</f>
        <v>89.240000000000052</v>
      </c>
      <c r="L420" s="36">
        <f>L403+L414</f>
        <v>345.04600000000005</v>
      </c>
      <c r="M420" s="75">
        <f>M403+M414</f>
        <v>84.132999999999996</v>
      </c>
      <c r="N420" s="75">
        <f>N403+N414</f>
        <v>146.69499999999999</v>
      </c>
      <c r="O420" s="75">
        <f>O403+O414</f>
        <v>93.061999999999998</v>
      </c>
      <c r="P420" s="68">
        <v>90</v>
      </c>
      <c r="Q420" s="36">
        <f>Q403+Q414</f>
        <v>414.12200000000001</v>
      </c>
      <c r="R420" s="75">
        <f>R403+R414</f>
        <v>85.12</v>
      </c>
      <c r="S420" s="75">
        <f>S403+S414</f>
        <v>86.72399999999999</v>
      </c>
      <c r="T420" s="75">
        <f>T403+T414</f>
        <v>89.338999999999999</v>
      </c>
      <c r="U420" s="68">
        <f>V420-T420-S420-R420</f>
        <v>88.837999999999965</v>
      </c>
      <c r="V420" s="36">
        <f>V403+V414</f>
        <v>350.02099999999996</v>
      </c>
      <c r="W420" s="75">
        <f>W403+W414</f>
        <v>83.932999999999993</v>
      </c>
      <c r="X420" s="75">
        <f>X403+X414</f>
        <v>87.402999999999992</v>
      </c>
      <c r="Y420" s="75">
        <f>Y403+Y414</f>
        <v>89.403999999999996</v>
      </c>
      <c r="Z420" s="68">
        <f>AA420-Y420-X420-W420</f>
        <v>94.693000000000012</v>
      </c>
      <c r="AA420" s="36">
        <f>AA403+AA414</f>
        <v>355.43299999999999</v>
      </c>
      <c r="AB420" s="75">
        <f>AB403+AB414</f>
        <v>87.241</v>
      </c>
      <c r="AC420" s="75">
        <f>AC403+AC414</f>
        <v>92.757000000000005</v>
      </c>
      <c r="AD420" s="75">
        <f>AD403+AD414</f>
        <v>87.835000000000008</v>
      </c>
      <c r="AE420" s="68">
        <f>AF420-AD420-AC420-AB420</f>
        <v>89.63499999999992</v>
      </c>
      <c r="AF420" s="36">
        <f>AF403+AF414</f>
        <v>357.46799999999996</v>
      </c>
      <c r="AG420" s="75">
        <f>AG403+AG414</f>
        <v>90</v>
      </c>
      <c r="AH420" s="75">
        <f>AH403+AH414</f>
        <v>90</v>
      </c>
      <c r="AI420" s="75">
        <f>AI403+AI414</f>
        <v>91</v>
      </c>
      <c r="AJ420" s="68">
        <f>AK420-AI420-AH420-AG420</f>
        <v>91</v>
      </c>
      <c r="AK420" s="36">
        <f>AK403+AK414</f>
        <v>362</v>
      </c>
      <c r="AL420" s="75">
        <f>AL403+AL414</f>
        <v>93</v>
      </c>
      <c r="AM420" s="75">
        <f>AM403+AM414</f>
        <v>94</v>
      </c>
      <c r="AN420" s="75">
        <f>AN403+AN414</f>
        <v>92</v>
      </c>
      <c r="AO420" s="68">
        <f>AP420-AN420-AM420-AL420</f>
        <v>93</v>
      </c>
      <c r="AP420" s="36">
        <f>AP403+AP414</f>
        <v>372</v>
      </c>
      <c r="AQ420" s="75">
        <f>AQ403+AQ414</f>
        <v>70</v>
      </c>
      <c r="AR420" s="75">
        <f>AR403+AR414</f>
        <v>82</v>
      </c>
      <c r="AS420" s="75">
        <f>AS403+AS414</f>
        <v>80</v>
      </c>
      <c r="AT420" s="68">
        <f>AU420-AS420-AR420-AQ420</f>
        <v>81</v>
      </c>
      <c r="AU420" s="36">
        <f>AU403+AU414</f>
        <v>313</v>
      </c>
      <c r="AV420" s="75">
        <f>AV403+AV414</f>
        <v>82</v>
      </c>
      <c r="AW420" s="75">
        <f>AW403+AW414</f>
        <v>78</v>
      </c>
      <c r="AX420" s="75">
        <f>AX403+AX414</f>
        <v>73</v>
      </c>
      <c r="AY420" s="68">
        <f>AZ420-AX420-AW420-AV420</f>
        <v>70</v>
      </c>
      <c r="AZ420" s="36">
        <v>303</v>
      </c>
      <c r="BA420" s="75">
        <v>76</v>
      </c>
      <c r="BB420" s="75">
        <v>74</v>
      </c>
      <c r="BC420" s="75">
        <v>76</v>
      </c>
      <c r="BD420" s="147">
        <v>79</v>
      </c>
      <c r="BE420" s="36">
        <v>305</v>
      </c>
      <c r="BF420" s="75">
        <v>79</v>
      </c>
      <c r="BG420" s="75">
        <v>63</v>
      </c>
      <c r="BH420" s="75">
        <v>26</v>
      </c>
      <c r="BI420" s="147">
        <v>-35</v>
      </c>
      <c r="BJ420" s="36">
        <v>133</v>
      </c>
      <c r="BK420" s="75">
        <v>80</v>
      </c>
    </row>
    <row r="421" spans="1:63">
      <c r="A421" s="69" t="s">
        <v>7</v>
      </c>
      <c r="B421" s="23"/>
      <c r="C421" s="70"/>
      <c r="D421" s="70">
        <f>D420/C420-1</f>
        <v>0.10800802139037424</v>
      </c>
      <c r="E421" s="70">
        <f>E420/D420-1</f>
        <v>-4.6803170887679491E-2</v>
      </c>
      <c r="F421" s="70">
        <f>F420/E420-1</f>
        <v>7.494936708860811E-2</v>
      </c>
      <c r="G421" s="23"/>
      <c r="H421" s="70">
        <f>H420/F420-1</f>
        <v>-6.0644599097985585E-2</v>
      </c>
      <c r="I421" s="70">
        <f>I420/H420-1</f>
        <v>0.10654247784282522</v>
      </c>
      <c r="J421" s="70">
        <f>J420/I420-1</f>
        <v>-5.7210830406707602E-3</v>
      </c>
      <c r="K421" s="70">
        <f>K420/J420-1</f>
        <v>1.6806243946904331E-2</v>
      </c>
      <c r="L421" s="23"/>
      <c r="M421" s="70">
        <f>M420/K420-1</f>
        <v>-5.7227700582698993E-2</v>
      </c>
      <c r="N421" s="70">
        <f>N420/M420-1</f>
        <v>0.7436083344228781</v>
      </c>
      <c r="O421" s="70">
        <f>O420/N420-1</f>
        <v>-0.36560891645932037</v>
      </c>
      <c r="P421" s="70">
        <f>P420/O420-1</f>
        <v>-3.2902795985472078E-2</v>
      </c>
      <c r="Q421" s="23"/>
      <c r="R421" s="70">
        <f>R420/P420-1</f>
        <v>-5.4222222222222172E-2</v>
      </c>
      <c r="S421" s="70">
        <f>S420/R420-1</f>
        <v>1.8843984962405802E-2</v>
      </c>
      <c r="T421" s="70">
        <f>T420/S420-1</f>
        <v>3.0153129468198037E-2</v>
      </c>
      <c r="U421" s="70">
        <f>U420/T420-1</f>
        <v>-5.607853233190796E-3</v>
      </c>
      <c r="V421" s="23"/>
      <c r="W421" s="70">
        <f>W420/U420-1</f>
        <v>-5.5212859361984501E-2</v>
      </c>
      <c r="X421" s="70">
        <f>X420/W420-1</f>
        <v>4.1342499374501074E-2</v>
      </c>
      <c r="Y421" s="70">
        <f>Y420/X420-1</f>
        <v>2.2893951008546631E-2</v>
      </c>
      <c r="Z421" s="70">
        <v>5.9158426916021911E-2</v>
      </c>
      <c r="AA421" s="23"/>
      <c r="AB421" s="70">
        <f>AB420/Z420-1</f>
        <v>-7.8696418953882685E-2</v>
      </c>
      <c r="AC421" s="70">
        <f>AC420/AB420-1</f>
        <v>6.3227152371018169E-2</v>
      </c>
      <c r="AD421" s="70">
        <f>AD420/AC420-1</f>
        <v>-5.3063380661297788E-2</v>
      </c>
      <c r="AE421" s="70">
        <f>AE420/AD420-1</f>
        <v>2.049296977286863E-2</v>
      </c>
      <c r="AF421" s="23"/>
      <c r="AG421" s="70">
        <f>AG420/AE420-1</f>
        <v>4.0720700619185646E-3</v>
      </c>
      <c r="AH421" s="70">
        <f>AH420/AG420-1</f>
        <v>0</v>
      </c>
      <c r="AI421" s="70">
        <f>AI420/AH420-1</f>
        <v>1.1111111111111072E-2</v>
      </c>
      <c r="AJ421" s="70">
        <f>AJ420/AI420-1</f>
        <v>0</v>
      </c>
      <c r="AK421" s="23"/>
      <c r="AL421" s="70">
        <f>AL420/AJ420-1</f>
        <v>2.19780219780219E-2</v>
      </c>
      <c r="AM421" s="70">
        <f>AM420/AL420-1</f>
        <v>1.0752688172043001E-2</v>
      </c>
      <c r="AN421" s="70">
        <f>AN420/AM420-1</f>
        <v>-2.1276595744680882E-2</v>
      </c>
      <c r="AO421" s="70">
        <f>AO420/AN420-1</f>
        <v>1.0869565217391353E-2</v>
      </c>
      <c r="AP421" s="23"/>
      <c r="AQ421" s="70">
        <f>AQ420/AO420-1</f>
        <v>-0.24731182795698925</v>
      </c>
      <c r="AR421" s="70">
        <f>AR420/AQ420-1</f>
        <v>0.17142857142857149</v>
      </c>
      <c r="AS421" s="70">
        <f>AS420/AR420-1</f>
        <v>-2.4390243902439046E-2</v>
      </c>
      <c r="AT421" s="70">
        <f>AT420/AS420-1</f>
        <v>1.2499999999999956E-2</v>
      </c>
      <c r="AU421" s="23"/>
      <c r="AV421" s="70">
        <f>AV420/AT420-1</f>
        <v>1.2345679012345734E-2</v>
      </c>
      <c r="AW421" s="70">
        <f>AW420/AV420-1</f>
        <v>-4.8780487804878092E-2</v>
      </c>
      <c r="AX421" s="70">
        <f>AX420/AW420-1</f>
        <v>-6.4102564102564097E-2</v>
      </c>
      <c r="AY421" s="70">
        <f>AY420/AX420-1</f>
        <v>-4.1095890410958957E-2</v>
      </c>
      <c r="AZ421" s="23"/>
      <c r="BA421" s="70">
        <v>8.5714285714285632E-2</v>
      </c>
      <c r="BB421" s="70">
        <v>-2.6315789473684181E-2</v>
      </c>
      <c r="BC421" s="70">
        <v>2.7027027027026973E-2</v>
      </c>
      <c r="BD421" s="70">
        <v>3.9473684210526327E-2</v>
      </c>
      <c r="BE421" s="23"/>
      <c r="BF421" s="70">
        <v>0</v>
      </c>
      <c r="BG421" s="70">
        <v>-0.20253164556962022</v>
      </c>
      <c r="BH421" s="70">
        <v>-0.58730158730158732</v>
      </c>
      <c r="BI421" s="83" t="s">
        <v>39</v>
      </c>
      <c r="BJ421" s="23"/>
      <c r="BK421" s="83" t="s">
        <v>39</v>
      </c>
    </row>
    <row r="422" spans="1:63">
      <c r="A422" s="69" t="s">
        <v>8</v>
      </c>
      <c r="B422" s="23"/>
      <c r="C422" s="71"/>
      <c r="D422" s="71"/>
      <c r="E422" s="71"/>
      <c r="F422" s="71"/>
      <c r="G422" s="23">
        <f t="shared" ref="G422:N422" si="765">G420/B420-1</f>
        <v>0.10828525939251099</v>
      </c>
      <c r="H422" s="71">
        <f t="shared" si="765"/>
        <v>6.6457219251336852E-2</v>
      </c>
      <c r="I422" s="71">
        <f t="shared" si="765"/>
        <v>6.5046634249930957E-2</v>
      </c>
      <c r="J422" s="71">
        <f t="shared" si="765"/>
        <v>0.1109493670886077</v>
      </c>
      <c r="K422" s="71">
        <f t="shared" si="765"/>
        <v>5.085903369013578E-2</v>
      </c>
      <c r="L422" s="23">
        <f t="shared" si="765"/>
        <v>7.2904228855721565E-2</v>
      </c>
      <c r="M422" s="71">
        <f t="shared" si="765"/>
        <v>5.4681525867796399E-2</v>
      </c>
      <c r="N422" s="71">
        <f t="shared" si="765"/>
        <v>0.66188965673501721</v>
      </c>
      <c r="O422" s="71">
        <f>O420/J420-1</f>
        <v>6.0354355380846547E-2</v>
      </c>
      <c r="P422" s="71">
        <v>0.01</v>
      </c>
      <c r="Q422" s="23">
        <f t="shared" ref="Q422:Y422" si="766">Q420/L420-1</f>
        <v>0.20019359737542231</v>
      </c>
      <c r="R422" s="71">
        <f t="shared" si="766"/>
        <v>1.1731425243364679E-2</v>
      </c>
      <c r="S422" s="71">
        <f t="shared" si="766"/>
        <v>-0.40881420634650134</v>
      </c>
      <c r="T422" s="71">
        <f t="shared" si="766"/>
        <v>-4.0005587672734322E-2</v>
      </c>
      <c r="U422" s="71">
        <f t="shared" si="766"/>
        <v>-1.291111111111154E-2</v>
      </c>
      <c r="V422" s="23">
        <f t="shared" si="766"/>
        <v>-0.15478771956090243</v>
      </c>
      <c r="W422" s="71">
        <f t="shared" si="766"/>
        <v>-1.3945018796992614E-2</v>
      </c>
      <c r="X422" s="71">
        <f t="shared" si="766"/>
        <v>7.829435911627769E-3</v>
      </c>
      <c r="Y422" s="71">
        <f t="shared" si="766"/>
        <v>7.2756578873733879E-4</v>
      </c>
      <c r="Z422" s="71">
        <v>6.5906481460636712E-2</v>
      </c>
      <c r="AA422" s="23">
        <f t="shared" ref="AA422:AI422" si="767">AA420/V420-1</f>
        <v>1.5461929427091681E-2</v>
      </c>
      <c r="AB422" s="71">
        <f t="shared" si="767"/>
        <v>3.9412388452694458E-2</v>
      </c>
      <c r="AC422" s="71">
        <f t="shared" si="767"/>
        <v>6.1256478610574261E-2</v>
      </c>
      <c r="AD422" s="71">
        <f t="shared" si="767"/>
        <v>-1.7549550355688615E-2</v>
      </c>
      <c r="AE422" s="71">
        <f t="shared" si="767"/>
        <v>-5.3414719145027489E-2</v>
      </c>
      <c r="AF422" s="23">
        <f t="shared" si="767"/>
        <v>5.725410977596157E-3</v>
      </c>
      <c r="AG422" s="71">
        <f t="shared" si="767"/>
        <v>3.1625038685938911E-2</v>
      </c>
      <c r="AH422" s="71">
        <f t="shared" si="767"/>
        <v>-2.9722824153433192E-2</v>
      </c>
      <c r="AI422" s="71">
        <f t="shared" si="767"/>
        <v>3.6033471850628995E-2</v>
      </c>
      <c r="AJ422" s="71">
        <f t="shared" ref="AJ422:AS422" si="768">AJ420/AE420-1</f>
        <v>1.5228426395939909E-2</v>
      </c>
      <c r="AK422" s="23">
        <f t="shared" si="768"/>
        <v>1.2678057896091444E-2</v>
      </c>
      <c r="AL422" s="71">
        <f t="shared" si="768"/>
        <v>3.3333333333333437E-2</v>
      </c>
      <c r="AM422" s="71">
        <f t="shared" si="768"/>
        <v>4.4444444444444509E-2</v>
      </c>
      <c r="AN422" s="71">
        <f t="shared" si="768"/>
        <v>1.098901098901095E-2</v>
      </c>
      <c r="AO422" s="71">
        <f t="shared" si="768"/>
        <v>2.19780219780219E-2</v>
      </c>
      <c r="AP422" s="23">
        <f t="shared" si="768"/>
        <v>2.7624309392265234E-2</v>
      </c>
      <c r="AQ422" s="71">
        <f t="shared" si="768"/>
        <v>-0.24731182795698925</v>
      </c>
      <c r="AR422" s="71">
        <f t="shared" si="768"/>
        <v>-0.12765957446808507</v>
      </c>
      <c r="AS422" s="71">
        <f t="shared" si="768"/>
        <v>-0.13043478260869568</v>
      </c>
      <c r="AT422" s="71">
        <f t="shared" ref="AT422" si="769">AT420/AO420-1</f>
        <v>-0.12903225806451613</v>
      </c>
      <c r="AU422" s="23">
        <f t="shared" ref="AU422:AX422" si="770">AU420/AP420-1</f>
        <v>-0.15860215053763438</v>
      </c>
      <c r="AV422" s="71">
        <f t="shared" si="770"/>
        <v>0.17142857142857149</v>
      </c>
      <c r="AW422" s="71">
        <f t="shared" si="770"/>
        <v>-4.8780487804878092E-2</v>
      </c>
      <c r="AX422" s="71">
        <f t="shared" si="770"/>
        <v>-8.7500000000000022E-2</v>
      </c>
      <c r="AY422" s="71">
        <f t="shared" ref="AY422" si="771">AY420/AT420-1</f>
        <v>-0.13580246913580252</v>
      </c>
      <c r="AZ422" s="23">
        <v>-3.1948881789137351E-2</v>
      </c>
      <c r="BA422" s="71">
        <v>-7.3170731707317027E-2</v>
      </c>
      <c r="BB422" s="71">
        <v>-5.1282051282051322E-2</v>
      </c>
      <c r="BC422" s="71">
        <v>4.1095890410958846E-2</v>
      </c>
      <c r="BD422" s="71">
        <v>0.12857142857142856</v>
      </c>
      <c r="BE422" s="23">
        <v>6.6006600660066805E-3</v>
      </c>
      <c r="BF422" s="71">
        <v>3.9473684210526327E-2</v>
      </c>
      <c r="BG422" s="71">
        <v>-0.14864864864864868</v>
      </c>
      <c r="BH422" s="71">
        <v>-0.65789473684210531</v>
      </c>
      <c r="BI422" s="83" t="s">
        <v>39</v>
      </c>
      <c r="BJ422" s="23">
        <v>-0.56393442622950818</v>
      </c>
      <c r="BK422" s="71">
        <v>1.2658227848101333E-2</v>
      </c>
    </row>
    <row r="423" spans="1:63" ht="26.45" customHeight="1">
      <c r="A423" s="87" t="s">
        <v>260</v>
      </c>
      <c r="B423" s="23"/>
      <c r="C423" s="71"/>
      <c r="D423" s="71"/>
      <c r="E423" s="71"/>
      <c r="F423" s="71"/>
      <c r="G423" s="23"/>
      <c r="H423" s="71"/>
      <c r="I423" s="71"/>
      <c r="J423" s="71"/>
      <c r="K423" s="71"/>
      <c r="L423" s="23"/>
      <c r="M423" s="71"/>
      <c r="N423" s="71"/>
      <c r="O423" s="71"/>
      <c r="P423" s="71"/>
      <c r="Q423" s="23"/>
      <c r="R423" s="71"/>
      <c r="S423" s="71"/>
      <c r="T423" s="71"/>
      <c r="U423" s="71"/>
      <c r="V423" s="23"/>
      <c r="W423" s="71"/>
      <c r="X423" s="71"/>
      <c r="Y423" s="71"/>
      <c r="Z423" s="71"/>
      <c r="AA423" s="23"/>
      <c r="AB423" s="75"/>
      <c r="AC423" s="75"/>
      <c r="AD423" s="75"/>
      <c r="AE423" s="147"/>
      <c r="AF423" s="36">
        <f>AF420+AF412</f>
        <v>360.46799999999996</v>
      </c>
      <c r="AG423" s="75"/>
      <c r="AH423" s="75"/>
      <c r="AI423" s="75"/>
      <c r="AJ423" s="147"/>
      <c r="AK423" s="36">
        <f>AK420</f>
        <v>362</v>
      </c>
      <c r="AL423" s="75">
        <f>AL420</f>
        <v>93</v>
      </c>
      <c r="AM423" s="75">
        <f t="shared" ref="AM423:AN423" si="772">AM420+AM412</f>
        <v>92</v>
      </c>
      <c r="AN423" s="75">
        <f t="shared" si="772"/>
        <v>93</v>
      </c>
      <c r="AO423" s="147">
        <f>AP423-AN423-AM423-AL423</f>
        <v>92</v>
      </c>
      <c r="AP423" s="36">
        <f>AP420+AP412</f>
        <v>370</v>
      </c>
      <c r="AQ423" s="75">
        <f t="shared" ref="AQ423" si="773">AQ420+AQ412</f>
        <v>84</v>
      </c>
      <c r="AR423" s="75">
        <f>AR420</f>
        <v>82</v>
      </c>
      <c r="AS423" s="75">
        <f>AS420</f>
        <v>80</v>
      </c>
      <c r="AT423" s="147">
        <f>AU423-AS423-AR423-AQ423</f>
        <v>85</v>
      </c>
      <c r="AU423" s="36">
        <f>AU420+AU412</f>
        <v>331</v>
      </c>
      <c r="AV423" s="75">
        <f>AV420</f>
        <v>82</v>
      </c>
      <c r="AW423" s="75">
        <f t="shared" ref="AW423:AX423" si="774">AW420+AW412</f>
        <v>79</v>
      </c>
      <c r="AX423" s="75">
        <f t="shared" si="774"/>
        <v>72</v>
      </c>
      <c r="AY423" s="147">
        <f>AZ423-AX423-AW423-AV423</f>
        <v>73</v>
      </c>
      <c r="AZ423" s="36">
        <v>306</v>
      </c>
      <c r="BA423" s="75">
        <v>78</v>
      </c>
      <c r="BB423" s="75">
        <v>73</v>
      </c>
      <c r="BC423" s="75">
        <v>78</v>
      </c>
      <c r="BD423" s="147">
        <v>84</v>
      </c>
      <c r="BE423" s="36">
        <v>313</v>
      </c>
      <c r="BF423" s="75">
        <v>79</v>
      </c>
      <c r="BG423" s="75">
        <v>78</v>
      </c>
      <c r="BH423" s="75">
        <v>71</v>
      </c>
      <c r="BI423" s="147">
        <v>68</v>
      </c>
      <c r="BJ423" s="36">
        <v>296</v>
      </c>
      <c r="BK423" s="75">
        <v>80</v>
      </c>
    </row>
    <row r="424" spans="1:63" ht="12.75" hidden="1" customHeight="1">
      <c r="A424" s="67" t="s">
        <v>242</v>
      </c>
      <c r="B424" s="23"/>
      <c r="C424" s="71"/>
      <c r="D424" s="71"/>
      <c r="E424" s="71"/>
      <c r="F424" s="71"/>
      <c r="G424" s="23"/>
      <c r="H424" s="71"/>
      <c r="I424" s="71"/>
      <c r="J424" s="71"/>
      <c r="K424" s="71"/>
      <c r="L424" s="23"/>
      <c r="M424" s="71"/>
      <c r="N424" s="71"/>
      <c r="O424" s="71"/>
      <c r="P424" s="71"/>
      <c r="Q424" s="23"/>
      <c r="R424" s="71"/>
      <c r="S424" s="71"/>
      <c r="T424" s="71"/>
      <c r="U424" s="71"/>
      <c r="V424" s="23"/>
      <c r="W424" s="71"/>
      <c r="X424" s="71"/>
      <c r="Y424" s="71"/>
      <c r="Z424" s="71"/>
      <c r="AA424" s="23"/>
      <c r="AB424" s="71"/>
      <c r="AC424" s="71"/>
      <c r="AD424" s="71"/>
      <c r="AE424" s="71"/>
      <c r="AF424" s="23"/>
      <c r="AG424" s="71"/>
      <c r="AH424" s="71"/>
      <c r="AI424" s="71"/>
      <c r="AJ424" s="71"/>
      <c r="AK424" s="23"/>
      <c r="AL424" s="71"/>
      <c r="AM424" s="71"/>
      <c r="AN424" s="71"/>
      <c r="AO424" s="71"/>
      <c r="AP424" s="23"/>
      <c r="AQ424" s="71"/>
      <c r="AR424" s="71"/>
      <c r="AS424" s="71"/>
      <c r="AT424" s="71"/>
      <c r="AU424" s="23"/>
      <c r="AV424" s="71"/>
      <c r="AW424" s="71"/>
      <c r="AX424" s="71"/>
      <c r="AY424" s="71"/>
      <c r="AZ424" s="23"/>
      <c r="BA424" s="75">
        <v>67</v>
      </c>
      <c r="BB424" s="75">
        <v>65</v>
      </c>
      <c r="BC424" s="75">
        <v>67</v>
      </c>
      <c r="BD424" s="147">
        <v>70</v>
      </c>
      <c r="BE424" s="36">
        <v>269</v>
      </c>
      <c r="BF424" s="75"/>
      <c r="BG424" s="75"/>
      <c r="BH424" s="75"/>
      <c r="BI424" s="147">
        <v>97</v>
      </c>
      <c r="BJ424" s="36">
        <v>97</v>
      </c>
      <c r="BK424" s="75"/>
    </row>
    <row r="425" spans="1:63" ht="12" customHeight="1">
      <c r="A425" s="67"/>
      <c r="B425" s="23"/>
      <c r="C425" s="71"/>
      <c r="D425" s="71"/>
      <c r="E425" s="71"/>
      <c r="F425" s="71"/>
      <c r="G425" s="23"/>
      <c r="H425" s="71"/>
      <c r="I425" s="71"/>
      <c r="J425" s="71"/>
      <c r="K425" s="71"/>
      <c r="L425" s="23"/>
      <c r="M425" s="71"/>
      <c r="N425" s="71"/>
      <c r="O425" s="71"/>
      <c r="P425" s="71"/>
      <c r="Q425" s="23"/>
      <c r="R425" s="71"/>
      <c r="S425" s="71"/>
      <c r="T425" s="71"/>
      <c r="U425" s="71"/>
      <c r="V425" s="23"/>
      <c r="W425" s="71"/>
      <c r="X425" s="71"/>
      <c r="Y425" s="71"/>
      <c r="Z425" s="71"/>
      <c r="AA425" s="23"/>
      <c r="AB425" s="71"/>
      <c r="AC425" s="71"/>
      <c r="AD425" s="71"/>
      <c r="AE425" s="71"/>
      <c r="AF425" s="23"/>
      <c r="AG425" s="71"/>
      <c r="AH425" s="71"/>
      <c r="AI425" s="71"/>
      <c r="AJ425" s="71"/>
      <c r="AK425" s="23"/>
      <c r="AL425" s="71"/>
      <c r="AM425" s="71"/>
      <c r="AN425" s="71"/>
      <c r="AO425" s="71"/>
      <c r="AP425" s="23"/>
      <c r="AQ425" s="71"/>
      <c r="AR425" s="71"/>
      <c r="AS425" s="71"/>
      <c r="AT425" s="71"/>
      <c r="AU425" s="23"/>
      <c r="AV425" s="71"/>
      <c r="AW425" s="71"/>
      <c r="AX425" s="71"/>
      <c r="AY425" s="71"/>
      <c r="AZ425" s="23"/>
      <c r="BA425" s="71"/>
      <c r="BB425" s="71"/>
      <c r="BC425" s="71"/>
      <c r="BD425" s="71"/>
      <c r="BE425" s="23"/>
      <c r="BF425" s="71"/>
      <c r="BG425" s="71"/>
      <c r="BH425" s="71"/>
      <c r="BI425" s="71"/>
      <c r="BJ425" s="23"/>
      <c r="BK425" s="71"/>
    </row>
    <row r="426" spans="1:63">
      <c r="A426" s="39" t="s">
        <v>72</v>
      </c>
      <c r="B426" s="40"/>
      <c r="C426" s="48"/>
      <c r="D426" s="48"/>
      <c r="E426" s="48"/>
      <c r="F426" s="48"/>
      <c r="G426" s="40"/>
      <c r="H426" s="48"/>
      <c r="I426" s="48"/>
      <c r="J426" s="48"/>
      <c r="K426" s="48"/>
      <c r="L426" s="40"/>
      <c r="M426" s="48"/>
      <c r="N426" s="48"/>
      <c r="O426" s="48"/>
      <c r="P426" s="48"/>
      <c r="Q426" s="40"/>
      <c r="R426" s="48"/>
      <c r="S426" s="48"/>
      <c r="T426" s="48"/>
      <c r="U426" s="48"/>
      <c r="V426" s="40"/>
      <c r="W426" s="48"/>
      <c r="X426" s="48"/>
      <c r="Y426" s="48"/>
      <c r="Z426" s="48"/>
      <c r="AA426" s="40"/>
      <c r="AB426" s="48"/>
      <c r="AC426" s="48"/>
      <c r="AD426" s="48"/>
      <c r="AE426" s="48"/>
      <c r="AF426" s="40"/>
      <c r="AG426" s="48"/>
      <c r="AH426" s="48"/>
      <c r="AI426" s="48"/>
      <c r="AJ426" s="48"/>
      <c r="AK426" s="40"/>
      <c r="AL426" s="48"/>
      <c r="AM426" s="48"/>
      <c r="AN426" s="48"/>
      <c r="AO426" s="48"/>
      <c r="AP426" s="40"/>
      <c r="AQ426" s="48"/>
      <c r="AR426" s="48"/>
      <c r="AS426" s="48"/>
      <c r="AT426" s="48"/>
      <c r="AU426" s="40"/>
      <c r="AV426" s="48"/>
      <c r="AW426" s="48"/>
      <c r="AX426" s="48"/>
      <c r="AY426" s="48"/>
      <c r="AZ426" s="40"/>
      <c r="BA426" s="48"/>
      <c r="BB426" s="48"/>
      <c r="BC426" s="48"/>
      <c r="BD426" s="48"/>
      <c r="BE426" s="40"/>
      <c r="BF426" s="48"/>
      <c r="BG426" s="48"/>
      <c r="BH426" s="48"/>
      <c r="BI426" s="48"/>
      <c r="BJ426" s="40"/>
      <c r="BK426" s="48"/>
    </row>
    <row r="427" spans="1:63" s="35" customFormat="1">
      <c r="A427" s="67" t="s">
        <v>12</v>
      </c>
      <c r="B427" s="36">
        <v>92.694000000000003</v>
      </c>
      <c r="C427" s="68">
        <v>7.5179999999999998</v>
      </c>
      <c r="D427" s="68">
        <v>50.93</v>
      </c>
      <c r="E427" s="68">
        <v>31.88</v>
      </c>
      <c r="F427" s="68">
        <f>G427-E427-D427-C427</f>
        <v>73.117999999999995</v>
      </c>
      <c r="G427" s="36">
        <v>163.446</v>
      </c>
      <c r="H427" s="68">
        <f>83.509</f>
        <v>83.509</v>
      </c>
      <c r="I427" s="68">
        <v>82.688000000000002</v>
      </c>
      <c r="J427" s="68">
        <v>81.460999999999999</v>
      </c>
      <c r="K427" s="68">
        <f>L427-J427-I427-H427</f>
        <v>71.909000000000006</v>
      </c>
      <c r="L427" s="36">
        <f>319.858-0.291</f>
        <v>319.56700000000001</v>
      </c>
      <c r="M427" s="68">
        <f>59.48</f>
        <v>59.48</v>
      </c>
      <c r="N427" s="68">
        <f>125.337-59.48</f>
        <v>65.856999999999999</v>
      </c>
      <c r="O427" s="68">
        <v>74.631</v>
      </c>
      <c r="P427" s="68">
        <f>Q427-O427-N427-M427</f>
        <v>90.108000000000033</v>
      </c>
      <c r="Q427" s="36">
        <f>291.87-1.794</f>
        <v>290.07600000000002</v>
      </c>
      <c r="R427" s="68">
        <f>42.049-0.051</f>
        <v>41.997999999999998</v>
      </c>
      <c r="S427" s="68">
        <f>68.191-0.075</f>
        <v>68.116</v>
      </c>
      <c r="T427" s="68">
        <f>57.303+0.147</f>
        <v>57.449999999999996</v>
      </c>
      <c r="U427" s="68">
        <f>V427-T427-S427-R427</f>
        <v>75.928000000000026</v>
      </c>
      <c r="V427" s="36">
        <f>242.86+0.632</f>
        <v>243.49200000000002</v>
      </c>
      <c r="W427" s="68">
        <f>58.496-0.079</f>
        <v>58.417000000000002</v>
      </c>
      <c r="X427" s="68">
        <f>63.904+0.307</f>
        <v>64.210999999999999</v>
      </c>
      <c r="Y427" s="68">
        <f>63.132+0.004</f>
        <v>63.135999999999996</v>
      </c>
      <c r="Z427" s="68">
        <f>AA427-Y427-X427-W427</f>
        <v>86.321999999999974</v>
      </c>
      <c r="AA427" s="36">
        <f>271.953+0.133</f>
        <v>272.08599999999996</v>
      </c>
      <c r="AB427" s="68">
        <f>58.59-0.278</f>
        <v>58.312000000000005</v>
      </c>
      <c r="AC427" s="68">
        <f>81.111+0.088</f>
        <v>81.198999999999998</v>
      </c>
      <c r="AD427" s="68">
        <f>71.669-0.179</f>
        <v>71.489999999999995</v>
      </c>
      <c r="AE427" s="68">
        <f>AF427-AD427-AC427-AB427</f>
        <v>76.723999999999933</v>
      </c>
      <c r="AF427" s="36">
        <f>288.131-0.406</f>
        <v>287.72499999999997</v>
      </c>
      <c r="AG427" s="68">
        <v>74</v>
      </c>
      <c r="AH427" s="68">
        <v>95</v>
      </c>
      <c r="AI427" s="68">
        <v>71</v>
      </c>
      <c r="AJ427" s="68">
        <f>AK427-AI427-AH427-AG427</f>
        <v>72</v>
      </c>
      <c r="AK427" s="36">
        <f>311+1</f>
        <v>312</v>
      </c>
      <c r="AL427" s="68">
        <v>62</v>
      </c>
      <c r="AM427" s="68">
        <v>74</v>
      </c>
      <c r="AN427" s="68">
        <v>69</v>
      </c>
      <c r="AO427" s="68">
        <f>AP427-AN427-AM427-AL427</f>
        <v>96</v>
      </c>
      <c r="AP427" s="36">
        <v>301</v>
      </c>
      <c r="AQ427" s="68">
        <v>49</v>
      </c>
      <c r="AR427" s="68">
        <v>69</v>
      </c>
      <c r="AS427" s="68">
        <v>65</v>
      </c>
      <c r="AT427" s="68">
        <f>AU427-AS427-AR427-AQ427</f>
        <v>86</v>
      </c>
      <c r="AU427" s="36">
        <v>269</v>
      </c>
      <c r="AV427" s="68">
        <v>52</v>
      </c>
      <c r="AW427" s="68">
        <v>69</v>
      </c>
      <c r="AX427" s="68">
        <v>74</v>
      </c>
      <c r="AY427" s="68">
        <f>AZ427-AX427-AW427-AV427</f>
        <v>82</v>
      </c>
      <c r="AZ427" s="36">
        <v>277</v>
      </c>
      <c r="BA427" s="68">
        <v>67</v>
      </c>
      <c r="BB427" s="68">
        <v>54</v>
      </c>
      <c r="BC427" s="68">
        <v>73</v>
      </c>
      <c r="BD427" s="147">
        <v>106</v>
      </c>
      <c r="BE427" s="36">
        <v>300</v>
      </c>
      <c r="BF427" s="68">
        <v>56</v>
      </c>
      <c r="BG427" s="68">
        <v>48</v>
      </c>
      <c r="BH427" s="68">
        <v>64</v>
      </c>
      <c r="BI427" s="147">
        <v>87</v>
      </c>
      <c r="BJ427" s="36">
        <v>255</v>
      </c>
      <c r="BK427" s="68">
        <v>60</v>
      </c>
    </row>
    <row r="428" spans="1:63">
      <c r="A428" s="80" t="s">
        <v>7</v>
      </c>
      <c r="B428" s="23"/>
      <c r="C428" s="70"/>
      <c r="D428" s="70">
        <f>D427/C427-1</f>
        <v>5.7744080872572496</v>
      </c>
      <c r="E428" s="70">
        <f>E427/D427-1</f>
        <v>-0.37404280384841937</v>
      </c>
      <c r="F428" s="70">
        <f>F427/E427-1</f>
        <v>1.293538268506901</v>
      </c>
      <c r="G428" s="23"/>
      <c r="H428" s="70">
        <f>H427/F427-1</f>
        <v>0.14211274925462969</v>
      </c>
      <c r="I428" s="70">
        <f>I427/H427-1</f>
        <v>-9.8312756708857085E-3</v>
      </c>
      <c r="J428" s="70">
        <f>J427/I427-1</f>
        <v>-1.4838912538699733E-2</v>
      </c>
      <c r="K428" s="70">
        <f>K427/J427-1</f>
        <v>-0.11725856544849678</v>
      </c>
      <c r="L428" s="23"/>
      <c r="M428" s="70">
        <f>M427/K427-1</f>
        <v>-0.17284345492219344</v>
      </c>
      <c r="N428" s="70">
        <f>N427/M427-1</f>
        <v>0.10721250840618701</v>
      </c>
      <c r="O428" s="70">
        <f>O427/N427-1</f>
        <v>0.13322805472463073</v>
      </c>
      <c r="P428" s="70">
        <f>P427/O427-1</f>
        <v>0.20738031113076372</v>
      </c>
      <c r="Q428" s="23"/>
      <c r="R428" s="70">
        <f>R427/P427-1</f>
        <v>-0.53391485772628422</v>
      </c>
      <c r="S428" s="70">
        <f>S427/R427-1</f>
        <v>0.62188675651221503</v>
      </c>
      <c r="T428" s="70">
        <f>T427/S427-1</f>
        <v>-0.1565858241822774</v>
      </c>
      <c r="U428" s="70">
        <f>U427/T427-1</f>
        <v>0.32163620539599713</v>
      </c>
      <c r="V428" s="23"/>
      <c r="W428" s="70">
        <f>W427/U427-1</f>
        <v>-0.23062638288905302</v>
      </c>
      <c r="X428" s="70">
        <f>X427/W427-1</f>
        <v>9.9183456870431508E-2</v>
      </c>
      <c r="Y428" s="70">
        <f>Y427/X427-1</f>
        <v>-1.6741679774493479E-2</v>
      </c>
      <c r="Z428" s="70">
        <v>0.36723897617840828</v>
      </c>
      <c r="AA428" s="23"/>
      <c r="AB428" s="70">
        <f>AB427/Z427-1</f>
        <v>-0.32448275063135679</v>
      </c>
      <c r="AC428" s="70">
        <f>AC427/AB427-1</f>
        <v>0.3924921114007407</v>
      </c>
      <c r="AD428" s="70">
        <f>AD427/AC427-1</f>
        <v>-0.11957043805958201</v>
      </c>
      <c r="AE428" s="70">
        <f>AE427/AD427-1</f>
        <v>7.3213036788361219E-2</v>
      </c>
      <c r="AF428" s="23"/>
      <c r="AG428" s="70">
        <f>AG427/AE427-1</f>
        <v>-3.5503884051925505E-2</v>
      </c>
      <c r="AH428" s="70">
        <f>AH427/AG427-1</f>
        <v>0.28378378378378377</v>
      </c>
      <c r="AI428" s="70">
        <f>AI427/AH427-1</f>
        <v>-0.25263157894736843</v>
      </c>
      <c r="AJ428" s="70">
        <f>AJ427/AI427-1</f>
        <v>1.4084507042253502E-2</v>
      </c>
      <c r="AK428" s="23"/>
      <c r="AL428" s="70">
        <f>AL427/AJ427-1</f>
        <v>-0.13888888888888884</v>
      </c>
      <c r="AM428" s="70">
        <f>AM427/AL427-1</f>
        <v>0.19354838709677424</v>
      </c>
      <c r="AN428" s="70">
        <f>AN427/AM427-1</f>
        <v>-6.7567567567567544E-2</v>
      </c>
      <c r="AO428" s="70">
        <f>AO427/AN427-1</f>
        <v>0.39130434782608692</v>
      </c>
      <c r="AP428" s="23"/>
      <c r="AQ428" s="70">
        <f>AQ427/AO427-1</f>
        <v>-0.48958333333333337</v>
      </c>
      <c r="AR428" s="70">
        <f>AR427/AQ427-1</f>
        <v>0.40816326530612246</v>
      </c>
      <c r="AS428" s="70">
        <f>AS427/AR427-1</f>
        <v>-5.7971014492753659E-2</v>
      </c>
      <c r="AT428" s="70">
        <f>AT427/AS427-1</f>
        <v>0.32307692307692304</v>
      </c>
      <c r="AU428" s="23"/>
      <c r="AV428" s="70">
        <f>AV427/AT427-1</f>
        <v>-0.39534883720930236</v>
      </c>
      <c r="AW428" s="70">
        <f>AW427/AV427-1</f>
        <v>0.32692307692307687</v>
      </c>
      <c r="AX428" s="70">
        <f>AX427/AW427-1</f>
        <v>7.2463768115942129E-2</v>
      </c>
      <c r="AY428" s="70">
        <f>AY427/AX427-1</f>
        <v>0.10810810810810811</v>
      </c>
      <c r="AZ428" s="23"/>
      <c r="BA428" s="70">
        <v>-0.18292682926829273</v>
      </c>
      <c r="BB428" s="70">
        <v>-0.19402985074626866</v>
      </c>
      <c r="BC428" s="70">
        <v>0.35185185185185186</v>
      </c>
      <c r="BD428" s="70">
        <v>0.45205479452054798</v>
      </c>
      <c r="BE428" s="23"/>
      <c r="BF428" s="70">
        <v>-0.47169811320754718</v>
      </c>
      <c r="BG428" s="70">
        <v>-0.1428571428571429</v>
      </c>
      <c r="BH428" s="70">
        <v>0.33333333333333326</v>
      </c>
      <c r="BI428" s="70">
        <v>0.359375</v>
      </c>
      <c r="BJ428" s="23"/>
      <c r="BK428" s="70">
        <v>-0.31034482758620685</v>
      </c>
    </row>
    <row r="429" spans="1:63">
      <c r="A429" s="82" t="s">
        <v>8</v>
      </c>
      <c r="B429" s="23"/>
      <c r="C429" s="71"/>
      <c r="D429" s="71"/>
      <c r="E429" s="71"/>
      <c r="F429" s="71"/>
      <c r="G429" s="23">
        <f t="shared" ref="G429:N429" si="775">G427/B427-1</f>
        <v>0.76328564955660561</v>
      </c>
      <c r="H429" s="71">
        <f t="shared" si="775"/>
        <v>10.107874434690077</v>
      </c>
      <c r="I429" s="71">
        <f t="shared" si="775"/>
        <v>0.62356175142352255</v>
      </c>
      <c r="J429" s="71">
        <f t="shared" si="775"/>
        <v>1.5552383939774153</v>
      </c>
      <c r="K429" s="71">
        <f t="shared" si="775"/>
        <v>-1.6534916162914581E-2</v>
      </c>
      <c r="L429" s="23">
        <f t="shared" si="775"/>
        <v>0.95518397513551889</v>
      </c>
      <c r="M429" s="71">
        <f t="shared" si="775"/>
        <v>-0.28774144104228294</v>
      </c>
      <c r="N429" s="71">
        <f t="shared" si="775"/>
        <v>-0.20354827786377716</v>
      </c>
      <c r="O429" s="71">
        <f t="shared" ref="O429:Y429" si="776">O427/J427-1</f>
        <v>-8.3843802555824243E-2</v>
      </c>
      <c r="P429" s="71">
        <f t="shared" si="776"/>
        <v>0.2530837586393917</v>
      </c>
      <c r="Q429" s="23">
        <f t="shared" si="776"/>
        <v>-9.2284247121886764E-2</v>
      </c>
      <c r="R429" s="71">
        <f t="shared" si="776"/>
        <v>-0.29391392064559518</v>
      </c>
      <c r="S429" s="71">
        <f t="shared" si="776"/>
        <v>3.4301592845103812E-2</v>
      </c>
      <c r="T429" s="71">
        <f t="shared" si="776"/>
        <v>-0.23021264621939952</v>
      </c>
      <c r="U429" s="71">
        <f t="shared" si="776"/>
        <v>-0.15736671549695924</v>
      </c>
      <c r="V429" s="23">
        <f t="shared" si="776"/>
        <v>-0.16059239647540646</v>
      </c>
      <c r="W429" s="71">
        <f t="shared" si="776"/>
        <v>0.39094718796133154</v>
      </c>
      <c r="X429" s="71">
        <f t="shared" si="776"/>
        <v>-5.7328674613894015E-2</v>
      </c>
      <c r="Y429" s="71">
        <f t="shared" si="776"/>
        <v>9.8973020017406377E-2</v>
      </c>
      <c r="Z429" s="71">
        <v>0.13689284585396622</v>
      </c>
      <c r="AA429" s="23">
        <f t="shared" ref="AA429:AI429" si="777">AA427/V427-1</f>
        <v>0.11743301627979541</v>
      </c>
      <c r="AB429" s="71">
        <f t="shared" si="777"/>
        <v>-1.7974219833266636E-3</v>
      </c>
      <c r="AC429" s="71">
        <f t="shared" si="777"/>
        <v>0.2645652614038092</v>
      </c>
      <c r="AD429" s="71">
        <f t="shared" si="777"/>
        <v>0.13231753674607205</v>
      </c>
      <c r="AE429" s="71">
        <f t="shared" si="777"/>
        <v>-0.11118834132666111</v>
      </c>
      <c r="AF429" s="23">
        <f t="shared" si="777"/>
        <v>5.7478150290716901E-2</v>
      </c>
      <c r="AG429" s="71">
        <f t="shared" si="777"/>
        <v>0.26903553299492367</v>
      </c>
      <c r="AH429" s="71">
        <f t="shared" si="777"/>
        <v>0.16996514735403156</v>
      </c>
      <c r="AI429" s="71">
        <f t="shared" si="777"/>
        <v>-6.8541054692963232E-3</v>
      </c>
      <c r="AJ429" s="71">
        <f t="shared" ref="AJ429:AS429" si="778">AJ427/AE427-1</f>
        <v>-6.1571346645116765E-2</v>
      </c>
      <c r="AK429" s="23">
        <f t="shared" si="778"/>
        <v>8.4368754887479414E-2</v>
      </c>
      <c r="AL429" s="71">
        <f t="shared" si="778"/>
        <v>-0.16216216216216217</v>
      </c>
      <c r="AM429" s="71">
        <f t="shared" si="778"/>
        <v>-0.22105263157894739</v>
      </c>
      <c r="AN429" s="71">
        <f t="shared" si="778"/>
        <v>-2.8169014084507005E-2</v>
      </c>
      <c r="AO429" s="71">
        <f t="shared" si="778"/>
        <v>0.33333333333333326</v>
      </c>
      <c r="AP429" s="23">
        <f t="shared" si="778"/>
        <v>-3.5256410256410242E-2</v>
      </c>
      <c r="AQ429" s="71">
        <f t="shared" si="778"/>
        <v>-0.20967741935483875</v>
      </c>
      <c r="AR429" s="71">
        <f t="shared" si="778"/>
        <v>-6.7567567567567544E-2</v>
      </c>
      <c r="AS429" s="71">
        <f t="shared" si="778"/>
        <v>-5.7971014492753659E-2</v>
      </c>
      <c r="AT429" s="71">
        <f t="shared" ref="AT429" si="779">AT427/AO427-1</f>
        <v>-0.10416666666666663</v>
      </c>
      <c r="AU429" s="23">
        <f t="shared" ref="AU429:AX429" si="780">AU427/AP427-1</f>
        <v>-0.10631229235880402</v>
      </c>
      <c r="AV429" s="71">
        <f t="shared" si="780"/>
        <v>6.1224489795918435E-2</v>
      </c>
      <c r="AW429" s="71">
        <f t="shared" si="780"/>
        <v>0</v>
      </c>
      <c r="AX429" s="71">
        <f t="shared" si="780"/>
        <v>0.13846153846153841</v>
      </c>
      <c r="AY429" s="71">
        <f t="shared" ref="AY429" si="781">AY427/AT427-1</f>
        <v>-4.6511627906976716E-2</v>
      </c>
      <c r="AZ429" s="23">
        <v>2.9739776951672958E-2</v>
      </c>
      <c r="BA429" s="71">
        <v>0.28846153846153855</v>
      </c>
      <c r="BB429" s="71">
        <v>-0.21739130434782605</v>
      </c>
      <c r="BC429" s="71">
        <v>-1.3513513513513487E-2</v>
      </c>
      <c r="BD429" s="71">
        <v>0.29268292682926833</v>
      </c>
      <c r="BE429" s="23">
        <v>8.3032490974729312E-2</v>
      </c>
      <c r="BF429" s="71">
        <v>-0.16417910447761197</v>
      </c>
      <c r="BG429" s="71">
        <v>-0.11111111111111116</v>
      </c>
      <c r="BH429" s="71">
        <v>-0.12328767123287676</v>
      </c>
      <c r="BI429" s="71">
        <v>-0.17924528301886788</v>
      </c>
      <c r="BJ429" s="23">
        <v>-0.15000000000000002</v>
      </c>
      <c r="BK429" s="71">
        <v>7.1428571428571397E-2</v>
      </c>
    </row>
    <row r="430" spans="1:63" hidden="1">
      <c r="A430" s="67" t="s">
        <v>65</v>
      </c>
      <c r="B430" s="36">
        <f>90+41</f>
        <v>131</v>
      </c>
      <c r="C430" s="68">
        <v>27</v>
      </c>
      <c r="D430" s="68">
        <v>50</v>
      </c>
      <c r="E430" s="68">
        <v>14</v>
      </c>
      <c r="F430" s="68">
        <f>G430-E430-D430-C430</f>
        <v>29</v>
      </c>
      <c r="G430" s="36">
        <v>120</v>
      </c>
      <c r="H430" s="68">
        <v>20</v>
      </c>
      <c r="I430" s="68">
        <v>63</v>
      </c>
      <c r="J430" s="68">
        <v>29</v>
      </c>
      <c r="K430" s="68">
        <f>L430-J430-I430-H430</f>
        <v>38</v>
      </c>
      <c r="L430" s="36">
        <v>150</v>
      </c>
      <c r="M430" s="68">
        <v>20</v>
      </c>
      <c r="N430" s="68">
        <v>43</v>
      </c>
      <c r="O430" s="68">
        <v>29</v>
      </c>
      <c r="P430" s="68">
        <v>69</v>
      </c>
      <c r="Q430" s="36">
        <v>160</v>
      </c>
      <c r="R430" s="68">
        <v>49</v>
      </c>
      <c r="S430" s="68">
        <v>71</v>
      </c>
      <c r="T430" s="68">
        <v>85</v>
      </c>
      <c r="U430" s="68">
        <f>V430-T430-S430-R430</f>
        <v>80</v>
      </c>
      <c r="V430" s="36">
        <v>285</v>
      </c>
      <c r="W430" s="68">
        <v>81</v>
      </c>
      <c r="X430" s="68">
        <v>29</v>
      </c>
      <c r="Y430" s="68">
        <v>29</v>
      </c>
      <c r="Z430" s="68">
        <f>AA430-Y430-X430-W430</f>
        <v>30</v>
      </c>
      <c r="AA430" s="36">
        <v>169</v>
      </c>
      <c r="AB430" s="68">
        <v>26</v>
      </c>
      <c r="AC430" s="68">
        <v>39</v>
      </c>
      <c r="AD430" s="68">
        <v>16</v>
      </c>
      <c r="AE430" s="68">
        <v>25</v>
      </c>
      <c r="AF430" s="36">
        <f>AE430+AD430+AC430+AB430</f>
        <v>106</v>
      </c>
      <c r="AG430" s="68">
        <v>33</v>
      </c>
      <c r="AH430" s="68">
        <v>24</v>
      </c>
      <c r="AI430" s="68">
        <v>28</v>
      </c>
      <c r="AJ430" s="68">
        <f>AK430-AI430-AH430-AG430</f>
        <v>25</v>
      </c>
      <c r="AK430" s="36">
        <v>110</v>
      </c>
      <c r="AL430" s="68">
        <v>56</v>
      </c>
      <c r="AM430" s="68">
        <v>17</v>
      </c>
      <c r="AN430" s="68">
        <v>27</v>
      </c>
      <c r="AO430" s="68">
        <v>27</v>
      </c>
      <c r="AP430" s="36">
        <f>AO430+AN430+AM430+AL430</f>
        <v>127</v>
      </c>
      <c r="AQ430" s="68">
        <v>45</v>
      </c>
      <c r="AR430" s="68">
        <v>35</v>
      </c>
      <c r="AS430" s="68">
        <v>20</v>
      </c>
      <c r="AT430" s="68"/>
      <c r="AU430" s="36"/>
      <c r="AV430" s="68"/>
      <c r="AW430" s="68"/>
      <c r="AX430" s="68"/>
      <c r="AY430" s="68"/>
      <c r="AZ430" s="36"/>
      <c r="BA430" s="68"/>
      <c r="BB430" s="68"/>
      <c r="BC430" s="68"/>
      <c r="BD430" s="68"/>
      <c r="BE430" s="36"/>
      <c r="BF430" s="68"/>
      <c r="BG430" s="68"/>
      <c r="BH430" s="68"/>
      <c r="BI430" s="68"/>
      <c r="BJ430" s="36"/>
      <c r="BK430" s="68"/>
    </row>
    <row r="431" spans="1:63" hidden="1">
      <c r="A431" s="69" t="s">
        <v>7</v>
      </c>
      <c r="B431" s="23"/>
      <c r="C431" s="70"/>
      <c r="D431" s="70">
        <f>D430/C430-1</f>
        <v>0.85185185185185186</v>
      </c>
      <c r="E431" s="70">
        <f>E430/D430-1</f>
        <v>-0.72</v>
      </c>
      <c r="F431" s="70">
        <f>F430/E430-1</f>
        <v>1.0714285714285716</v>
      </c>
      <c r="G431" s="23"/>
      <c r="H431" s="70">
        <f>H430/F430-1</f>
        <v>-0.31034482758620685</v>
      </c>
      <c r="I431" s="70">
        <f>I430/H430-1</f>
        <v>2.15</v>
      </c>
      <c r="J431" s="70">
        <f>J430/I430-1</f>
        <v>-0.53968253968253976</v>
      </c>
      <c r="K431" s="70">
        <f>K430/J430-1</f>
        <v>0.31034482758620685</v>
      </c>
      <c r="L431" s="23"/>
      <c r="M431" s="70">
        <f>M430/K430-1</f>
        <v>-0.47368421052631582</v>
      </c>
      <c r="N431" s="70">
        <f>N430/M430-1</f>
        <v>1.1499999999999999</v>
      </c>
      <c r="O431" s="70">
        <f>O430/N430-1</f>
        <v>-0.32558139534883723</v>
      </c>
      <c r="P431" s="70">
        <f>P430/O430-1</f>
        <v>1.3793103448275863</v>
      </c>
      <c r="Q431" s="23"/>
      <c r="R431" s="70">
        <f>R430/P430-1</f>
        <v>-0.28985507246376807</v>
      </c>
      <c r="S431" s="70">
        <f>S430/R430-1</f>
        <v>0.44897959183673475</v>
      </c>
      <c r="T431" s="70">
        <f>T430/S430-1</f>
        <v>0.19718309859154926</v>
      </c>
      <c r="U431" s="70">
        <f>U430/T430-1</f>
        <v>-5.8823529411764719E-2</v>
      </c>
      <c r="V431" s="23"/>
      <c r="W431" s="70">
        <f>W430/U430-1</f>
        <v>1.2499999999999956E-2</v>
      </c>
      <c r="X431" s="70">
        <f>X430/W430-1</f>
        <v>-0.64197530864197527</v>
      </c>
      <c r="Y431" s="70">
        <f>Y430/X430-1</f>
        <v>0</v>
      </c>
      <c r="Z431" s="70">
        <v>3.4482758620689724E-2</v>
      </c>
      <c r="AA431" s="23"/>
      <c r="AB431" s="70">
        <f>AB430/Z430-1</f>
        <v>-0.1333333333333333</v>
      </c>
      <c r="AC431" s="70">
        <f>AC430/AB430-1</f>
        <v>0.5</v>
      </c>
      <c r="AD431" s="70">
        <f>AD430/AC430-1</f>
        <v>-0.58974358974358976</v>
      </c>
      <c r="AE431" s="70">
        <f>AE430/AD430-1</f>
        <v>0.5625</v>
      </c>
      <c r="AF431" s="23"/>
      <c r="AG431" s="70">
        <f>AG430/AE430-1</f>
        <v>0.32000000000000006</v>
      </c>
      <c r="AH431" s="70">
        <f>AH430/AG430-1</f>
        <v>-0.27272727272727271</v>
      </c>
      <c r="AI431" s="70">
        <f>AI430/AH430-1</f>
        <v>0.16666666666666674</v>
      </c>
      <c r="AJ431" s="70">
        <f>AJ430/AI430-1</f>
        <v>-0.1071428571428571</v>
      </c>
      <c r="AK431" s="23"/>
      <c r="AL431" s="70">
        <f>AL430/AJ430-1</f>
        <v>1.2400000000000002</v>
      </c>
      <c r="AM431" s="70">
        <f>AM430/AL430-1</f>
        <v>-0.6964285714285714</v>
      </c>
      <c r="AN431" s="70">
        <f>AN430/AM430-1</f>
        <v>0.58823529411764697</v>
      </c>
      <c r="AO431" s="70">
        <f>AO430/AN430-1</f>
        <v>0</v>
      </c>
      <c r="AP431" s="23"/>
      <c r="AQ431" s="70">
        <f>AQ430/AO430-1</f>
        <v>0.66666666666666674</v>
      </c>
      <c r="AR431" s="70">
        <f>AR430/AQ430-1</f>
        <v>-0.22222222222222221</v>
      </c>
      <c r="AS431" s="70">
        <f>AS430/AR430-1</f>
        <v>-0.4285714285714286</v>
      </c>
      <c r="AT431" s="70"/>
      <c r="AU431" s="23"/>
      <c r="AV431" s="70"/>
      <c r="AW431" s="70"/>
      <c r="AX431" s="70"/>
      <c r="AY431" s="70"/>
      <c r="AZ431" s="23"/>
      <c r="BA431" s="70"/>
      <c r="BB431" s="70"/>
      <c r="BC431" s="70"/>
      <c r="BD431" s="70"/>
      <c r="BE431" s="23"/>
      <c r="BF431" s="70"/>
      <c r="BG431" s="70"/>
      <c r="BH431" s="70"/>
      <c r="BI431" s="70"/>
      <c r="BJ431" s="23"/>
      <c r="BK431" s="70"/>
    </row>
    <row r="432" spans="1:63" hidden="1">
      <c r="A432" s="69" t="s">
        <v>8</v>
      </c>
      <c r="B432" s="23"/>
      <c r="C432" s="71"/>
      <c r="D432" s="71"/>
      <c r="E432" s="71"/>
      <c r="F432" s="71"/>
      <c r="G432" s="23">
        <f t="shared" ref="G432:N432" si="782">G430/B430-1</f>
        <v>-8.3969465648854991E-2</v>
      </c>
      <c r="H432" s="71">
        <f t="shared" si="782"/>
        <v>-0.2592592592592593</v>
      </c>
      <c r="I432" s="71">
        <f t="shared" si="782"/>
        <v>0.26</v>
      </c>
      <c r="J432" s="71">
        <f t="shared" si="782"/>
        <v>1.0714285714285716</v>
      </c>
      <c r="K432" s="71">
        <f t="shared" si="782"/>
        <v>0.31034482758620685</v>
      </c>
      <c r="L432" s="23">
        <f t="shared" si="782"/>
        <v>0.25</v>
      </c>
      <c r="M432" s="71">
        <f t="shared" si="782"/>
        <v>0</v>
      </c>
      <c r="N432" s="71">
        <f t="shared" si="782"/>
        <v>-0.31746031746031744</v>
      </c>
      <c r="O432" s="71">
        <f t="shared" ref="O432:Y432" si="783">O430/J430-1</f>
        <v>0</v>
      </c>
      <c r="P432" s="71">
        <f t="shared" si="783"/>
        <v>0.81578947368421062</v>
      </c>
      <c r="Q432" s="23">
        <f t="shared" si="783"/>
        <v>6.6666666666666652E-2</v>
      </c>
      <c r="R432" s="71">
        <f t="shared" si="783"/>
        <v>1.4500000000000002</v>
      </c>
      <c r="S432" s="71">
        <f t="shared" si="783"/>
        <v>0.65116279069767447</v>
      </c>
      <c r="T432" s="71">
        <f t="shared" si="783"/>
        <v>1.9310344827586206</v>
      </c>
      <c r="U432" s="71">
        <f t="shared" si="783"/>
        <v>0.15942028985507251</v>
      </c>
      <c r="V432" s="23">
        <f t="shared" si="783"/>
        <v>0.78125</v>
      </c>
      <c r="W432" s="71">
        <f t="shared" si="783"/>
        <v>0.65306122448979598</v>
      </c>
      <c r="X432" s="71">
        <f t="shared" si="783"/>
        <v>-0.59154929577464788</v>
      </c>
      <c r="Y432" s="71">
        <f t="shared" si="783"/>
        <v>-0.6588235294117647</v>
      </c>
      <c r="Z432" s="71">
        <v>-0.625</v>
      </c>
      <c r="AA432" s="23">
        <f t="shared" ref="AA432:AI432" si="784">AA430/V430-1</f>
        <v>-0.40701754385964917</v>
      </c>
      <c r="AB432" s="71">
        <f t="shared" si="784"/>
        <v>-0.67901234567901236</v>
      </c>
      <c r="AC432" s="71">
        <f t="shared" si="784"/>
        <v>0.34482758620689657</v>
      </c>
      <c r="AD432" s="71">
        <f t="shared" si="784"/>
        <v>-0.44827586206896552</v>
      </c>
      <c r="AE432" s="71">
        <f t="shared" si="784"/>
        <v>-0.16666666666666663</v>
      </c>
      <c r="AF432" s="23">
        <f t="shared" si="784"/>
        <v>-0.37278106508875741</v>
      </c>
      <c r="AG432" s="71">
        <f t="shared" si="784"/>
        <v>0.26923076923076916</v>
      </c>
      <c r="AH432" s="71">
        <f t="shared" si="784"/>
        <v>-0.38461538461538458</v>
      </c>
      <c r="AI432" s="71">
        <f t="shared" si="784"/>
        <v>0.75</v>
      </c>
      <c r="AJ432" s="71">
        <f t="shared" ref="AJ432:AS432" si="785">AJ430/AE430-1</f>
        <v>0</v>
      </c>
      <c r="AK432" s="23">
        <f t="shared" si="785"/>
        <v>3.7735849056603765E-2</v>
      </c>
      <c r="AL432" s="71">
        <f t="shared" si="785"/>
        <v>0.69696969696969702</v>
      </c>
      <c r="AM432" s="71">
        <f t="shared" si="785"/>
        <v>-0.29166666666666663</v>
      </c>
      <c r="AN432" s="71">
        <f t="shared" si="785"/>
        <v>-3.5714285714285698E-2</v>
      </c>
      <c r="AO432" s="71">
        <f t="shared" si="785"/>
        <v>8.0000000000000071E-2</v>
      </c>
      <c r="AP432" s="23">
        <f t="shared" si="785"/>
        <v>0.15454545454545454</v>
      </c>
      <c r="AQ432" s="71">
        <f t="shared" si="785"/>
        <v>-0.1964285714285714</v>
      </c>
      <c r="AR432" s="71">
        <f t="shared" si="785"/>
        <v>1.0588235294117645</v>
      </c>
      <c r="AS432" s="71">
        <f t="shared" si="785"/>
        <v>-0.2592592592592593</v>
      </c>
      <c r="AT432" s="71"/>
      <c r="AU432" s="23"/>
      <c r="AV432" s="71"/>
      <c r="AW432" s="71"/>
      <c r="AX432" s="71"/>
      <c r="AY432" s="71"/>
      <c r="AZ432" s="23"/>
      <c r="BA432" s="71"/>
      <c r="BB432" s="71"/>
      <c r="BC432" s="71"/>
      <c r="BD432" s="71"/>
      <c r="BE432" s="23"/>
      <c r="BF432" s="71"/>
      <c r="BG432" s="71"/>
      <c r="BH432" s="71"/>
      <c r="BI432" s="71"/>
      <c r="BJ432" s="23"/>
      <c r="BK432" s="71"/>
    </row>
    <row r="433" spans="1:63">
      <c r="A433" s="67" t="s">
        <v>64</v>
      </c>
      <c r="B433" s="36">
        <f>41.15+8.994+40.879+12.468</f>
        <v>103.491</v>
      </c>
      <c r="C433" s="68">
        <f>8.133+2.208+17.166</f>
        <v>27.506999999999998</v>
      </c>
      <c r="D433" s="68">
        <f>10.724+7.38+12.816</f>
        <v>30.92</v>
      </c>
      <c r="E433" s="68">
        <f>13.406+2.329+17.566</f>
        <v>33.301000000000002</v>
      </c>
      <c r="F433" s="68">
        <f>G433-E433-D433-C433</f>
        <v>26.93</v>
      </c>
      <c r="G433" s="36">
        <f>45.028+9.918+58.712+5</f>
        <v>118.658</v>
      </c>
      <c r="H433" s="68">
        <f>15.023+5.147+1.278</f>
        <v>21.448</v>
      </c>
      <c r="I433" s="68">
        <f>7.388+9.424+9.283</f>
        <v>26.094999999999999</v>
      </c>
      <c r="J433" s="68">
        <f>9.214+6.57+17.691</f>
        <v>33.475000000000001</v>
      </c>
      <c r="K433" s="68">
        <f>L433-J433-I433-H433</f>
        <v>38.912000000000013</v>
      </c>
      <c r="L433" s="36">
        <f>39.192+27.4+53.338</f>
        <v>119.93</v>
      </c>
      <c r="M433" s="68">
        <f>6.574+8.15+22.007</f>
        <v>36.731000000000002</v>
      </c>
      <c r="N433" s="68">
        <f>(29.638+15.235+24.624)-(6.574+8.15+22.007)</f>
        <v>32.765999999999998</v>
      </c>
      <c r="O433" s="68">
        <f>18.586+1.753+9.684</f>
        <v>30.022999999999996</v>
      </c>
      <c r="P433" s="68">
        <f>Q433-O433-N433-M433</f>
        <v>80.244000000000028</v>
      </c>
      <c r="Q433" s="36">
        <f>101.972+33.208+44.584</f>
        <v>179.76400000000001</v>
      </c>
      <c r="R433" s="68">
        <f>25.962+19.629+0.432</f>
        <v>46.023000000000003</v>
      </c>
      <c r="S433" s="68">
        <f>31.759+14.805+0.408</f>
        <v>46.972000000000001</v>
      </c>
      <c r="T433" s="68">
        <f>74.585+16.26+0.829</f>
        <v>91.673999999999992</v>
      </c>
      <c r="U433" s="68">
        <f>V433-T433-S433-R433</f>
        <v>103.74900000000002</v>
      </c>
      <c r="V433" s="36">
        <f>209.208+57.026+22.184</f>
        <v>288.41800000000001</v>
      </c>
      <c r="W433" s="68">
        <f>53.395+13.741+3.912</f>
        <v>71.048000000000002</v>
      </c>
      <c r="X433" s="68">
        <f>16.256+12.968+6.548</f>
        <v>35.771999999999998</v>
      </c>
      <c r="Y433" s="68">
        <f>15.176+11.446+3.054</f>
        <v>29.675999999999998</v>
      </c>
      <c r="Z433" s="68">
        <f>AA433-Y433-X433-W433</f>
        <v>38.865000000000009</v>
      </c>
      <c r="AA433" s="36">
        <f>113.803+54.321+7.237</f>
        <v>175.36099999999999</v>
      </c>
      <c r="AB433" s="68">
        <f>16.608+11.749+2.527</f>
        <v>30.884</v>
      </c>
      <c r="AC433" s="68">
        <f>15.364+9.196+3.058</f>
        <v>27.618000000000002</v>
      </c>
      <c r="AD433" s="68">
        <f>10.822+14.215</f>
        <v>25.036999999999999</v>
      </c>
      <c r="AE433" s="68">
        <f>AF433-AD433-AC433-AB433</f>
        <v>20.976000000000006</v>
      </c>
      <c r="AF433" s="36">
        <f>50.18+44.784+9.551</f>
        <v>104.515</v>
      </c>
      <c r="AG433" s="68">
        <f>14.362+9.277+7.122</f>
        <v>30.760999999999999</v>
      </c>
      <c r="AH433" s="68">
        <f>14.573+9.287</f>
        <v>23.86</v>
      </c>
      <c r="AI433" s="68">
        <f>10.98+9.355+7.009</f>
        <v>27.344000000000001</v>
      </c>
      <c r="AJ433" s="68">
        <f>AK433-AI433-AH433-AG433</f>
        <v>28.035000000000007</v>
      </c>
      <c r="AK433" s="36">
        <f>54+39+17</f>
        <v>110</v>
      </c>
      <c r="AL433" s="68">
        <f>18.282+25.425+9.25</f>
        <v>52.957000000000001</v>
      </c>
      <c r="AM433" s="68">
        <f>13.146+9.421+3.217</f>
        <v>25.783999999999999</v>
      </c>
      <c r="AN433" s="68">
        <f>10.83+5.827+11.582</f>
        <v>28.239000000000001</v>
      </c>
      <c r="AO433" s="68">
        <f>AP433-AN433-AM433-AL433</f>
        <v>21.020000000000003</v>
      </c>
      <c r="AP433" s="36">
        <f>51+51+26</f>
        <v>128</v>
      </c>
      <c r="AQ433" s="68">
        <f>17+10+10</f>
        <v>37</v>
      </c>
      <c r="AR433" s="68">
        <v>33</v>
      </c>
      <c r="AS433" s="68">
        <f>15+9</f>
        <v>24</v>
      </c>
      <c r="AT433" s="68">
        <f>AU433-AS433-AR433-AQ433</f>
        <v>26</v>
      </c>
      <c r="AU433" s="36">
        <f>56+39+25</f>
        <v>120</v>
      </c>
      <c r="AV433" s="68">
        <f>7+13+9</f>
        <v>29</v>
      </c>
      <c r="AW433" s="68">
        <f>14+13+19</f>
        <v>46</v>
      </c>
      <c r="AX433" s="68">
        <f>19+7+5</f>
        <v>31</v>
      </c>
      <c r="AY433" s="68">
        <f>AZ433-AX433-AW433-AV433</f>
        <v>36</v>
      </c>
      <c r="AZ433" s="36">
        <v>142</v>
      </c>
      <c r="BA433" s="68">
        <v>31</v>
      </c>
      <c r="BB433" s="68">
        <v>44</v>
      </c>
      <c r="BC433" s="68">
        <v>27</v>
      </c>
      <c r="BD433" s="147">
        <v>25</v>
      </c>
      <c r="BE433" s="36">
        <v>127</v>
      </c>
      <c r="BF433" s="68">
        <v>33</v>
      </c>
      <c r="BG433" s="68">
        <v>34</v>
      </c>
      <c r="BH433" s="68">
        <v>40</v>
      </c>
      <c r="BI433" s="147">
        <v>21</v>
      </c>
      <c r="BJ433" s="36">
        <v>128</v>
      </c>
      <c r="BK433" s="68">
        <v>34</v>
      </c>
    </row>
    <row r="434" spans="1:63">
      <c r="A434" s="69" t="s">
        <v>7</v>
      </c>
      <c r="B434" s="23"/>
      <c r="C434" s="70"/>
      <c r="D434" s="70">
        <f>D433/C433-1</f>
        <v>0.12407750754353453</v>
      </c>
      <c r="E434" s="70">
        <f>E433/D433-1</f>
        <v>7.7005174644243279E-2</v>
      </c>
      <c r="F434" s="70">
        <f>F433/E433-1</f>
        <v>-0.19131557610882566</v>
      </c>
      <c r="G434" s="23"/>
      <c r="H434" s="70">
        <f>H433/F433-1</f>
        <v>-0.20356479762346824</v>
      </c>
      <c r="I434" s="70">
        <f>I433/H433-1</f>
        <v>0.21666355837374107</v>
      </c>
      <c r="J434" s="70">
        <f>J433/I433-1</f>
        <v>0.28281279938685588</v>
      </c>
      <c r="K434" s="70">
        <f>K433/J433-1</f>
        <v>0.16241971620612428</v>
      </c>
      <c r="L434" s="23"/>
      <c r="M434" s="70">
        <f>M433/K433-1</f>
        <v>-5.6049547697368696E-2</v>
      </c>
      <c r="N434" s="70">
        <f>N433/M433-1</f>
        <v>-0.1079469657782256</v>
      </c>
      <c r="O434" s="70">
        <f>O433/N433-1</f>
        <v>-8.3714826344381432E-2</v>
      </c>
      <c r="P434" s="70">
        <f>P433/O433-1</f>
        <v>1.6727508909835804</v>
      </c>
      <c r="Q434" s="23"/>
      <c r="R434" s="70">
        <f>R433/P433-1</f>
        <v>-0.42646179153581587</v>
      </c>
      <c r="S434" s="70">
        <f>S433/R433-1</f>
        <v>2.0620124720248434E-2</v>
      </c>
      <c r="T434" s="70">
        <f>T433/S433-1</f>
        <v>0.95167333730733183</v>
      </c>
      <c r="U434" s="70">
        <f>U433/T433-1</f>
        <v>0.13171673538844209</v>
      </c>
      <c r="V434" s="23"/>
      <c r="W434" s="70">
        <f>W433/U433-1</f>
        <v>-0.31519339945445268</v>
      </c>
      <c r="X434" s="70">
        <f>X433/W433-1</f>
        <v>-0.49650940209435879</v>
      </c>
      <c r="Y434" s="70">
        <f>Y433/X433-1</f>
        <v>-0.17041261321704126</v>
      </c>
      <c r="Z434" s="70">
        <v>0.30964415689446056</v>
      </c>
      <c r="AA434" s="23"/>
      <c r="AB434" s="70">
        <f>AB433/Z433-1</f>
        <v>-0.20535185899909958</v>
      </c>
      <c r="AC434" s="70">
        <f>AC433/AB433-1</f>
        <v>-0.10575055044683324</v>
      </c>
      <c r="AD434" s="70">
        <f>AD433/AC433-1</f>
        <v>-9.3453544789630083E-2</v>
      </c>
      <c r="AE434" s="70">
        <f>AE433/AD433-1</f>
        <v>-0.16219994408275729</v>
      </c>
      <c r="AF434" s="23"/>
      <c r="AG434" s="70">
        <f>AG433/AE433-1</f>
        <v>0.46648550724637627</v>
      </c>
      <c r="AH434" s="70">
        <f>AH433/AG433-1</f>
        <v>-0.22434251162185881</v>
      </c>
      <c r="AI434" s="70">
        <f>AI433/AH433-1</f>
        <v>0.14601844090528093</v>
      </c>
      <c r="AJ434" s="70">
        <f>AJ433/AI433-1</f>
        <v>2.5270626097133153E-2</v>
      </c>
      <c r="AK434" s="23"/>
      <c r="AL434" s="70">
        <f>AL433/AJ433-1</f>
        <v>0.88896022828607046</v>
      </c>
      <c r="AM434" s="70">
        <f>AM433/AL433-1</f>
        <v>-0.51311441358082976</v>
      </c>
      <c r="AN434" s="70">
        <f>AN433/AM433-1</f>
        <v>9.5214086255041908E-2</v>
      </c>
      <c r="AO434" s="70">
        <f>AO433/AN433-1</f>
        <v>-0.25563936400014153</v>
      </c>
      <c r="AP434" s="23"/>
      <c r="AQ434" s="70">
        <f>AQ433/AO433-1</f>
        <v>0.76022835394862009</v>
      </c>
      <c r="AR434" s="70">
        <f>AR433/AQ433-1</f>
        <v>-0.10810810810810811</v>
      </c>
      <c r="AS434" s="70">
        <f>AS433/AR433-1</f>
        <v>-0.27272727272727271</v>
      </c>
      <c r="AT434" s="70">
        <f>AT433/AS433-1</f>
        <v>8.3333333333333259E-2</v>
      </c>
      <c r="AU434" s="23"/>
      <c r="AV434" s="70">
        <f>AV433/AT433-1</f>
        <v>0.11538461538461542</v>
      </c>
      <c r="AW434" s="70">
        <f>AW433/AV433-1</f>
        <v>0.5862068965517242</v>
      </c>
      <c r="AX434" s="70">
        <f>AX433/AW433-1</f>
        <v>-0.32608695652173914</v>
      </c>
      <c r="AY434" s="70">
        <f>AY433/AX433-1</f>
        <v>0.16129032258064524</v>
      </c>
      <c r="AZ434" s="23"/>
      <c r="BA434" s="70">
        <v>-0.13888888888888884</v>
      </c>
      <c r="BB434" s="70">
        <v>0.41935483870967749</v>
      </c>
      <c r="BC434" s="70">
        <v>-0.38636363636363635</v>
      </c>
      <c r="BD434" s="70">
        <v>-7.407407407407407E-2</v>
      </c>
      <c r="BE434" s="23"/>
      <c r="BF434" s="70">
        <v>0.32000000000000006</v>
      </c>
      <c r="BG434" s="70">
        <v>3.0303030303030276E-2</v>
      </c>
      <c r="BH434" s="70">
        <v>0.17647058823529416</v>
      </c>
      <c r="BI434" s="70">
        <v>-0.47499999999999998</v>
      </c>
      <c r="BJ434" s="23"/>
      <c r="BK434" s="70">
        <v>0.61904761904761907</v>
      </c>
    </row>
    <row r="435" spans="1:63">
      <c r="A435" s="69" t="s">
        <v>8</v>
      </c>
      <c r="B435" s="23"/>
      <c r="C435" s="71"/>
      <c r="D435" s="71"/>
      <c r="E435" s="71"/>
      <c r="F435" s="71"/>
      <c r="G435" s="23">
        <f t="shared" ref="G435:N435" si="786">G433/B433-1</f>
        <v>0.14655380661120287</v>
      </c>
      <c r="H435" s="71">
        <f t="shared" si="786"/>
        <v>-0.2202712036936052</v>
      </c>
      <c r="I435" s="71">
        <f t="shared" si="786"/>
        <v>-0.15604786545924976</v>
      </c>
      <c r="J435" s="71">
        <f t="shared" si="786"/>
        <v>5.2250683162666789E-3</v>
      </c>
      <c r="K435" s="71">
        <f t="shared" si="786"/>
        <v>0.44493130337913156</v>
      </c>
      <c r="L435" s="23">
        <f t="shared" si="786"/>
        <v>1.0719884036474614E-2</v>
      </c>
      <c r="M435" s="71">
        <f t="shared" si="786"/>
        <v>0.71256061171204776</v>
      </c>
      <c r="N435" s="71">
        <f t="shared" si="786"/>
        <v>0.25564284345660093</v>
      </c>
      <c r="O435" s="71">
        <f t="shared" ref="O435:Y435" si="787">O433/J433-1</f>
        <v>-0.10312173263629587</v>
      </c>
      <c r="P435" s="71">
        <f t="shared" si="787"/>
        <v>1.0621916118421053</v>
      </c>
      <c r="Q435" s="23">
        <f t="shared" si="787"/>
        <v>0.49890769615609099</v>
      </c>
      <c r="R435" s="71">
        <f t="shared" si="787"/>
        <v>0.25297432686286792</v>
      </c>
      <c r="S435" s="71">
        <f t="shared" si="787"/>
        <v>0.43355917719587378</v>
      </c>
      <c r="T435" s="71">
        <f t="shared" si="787"/>
        <v>2.0534590147553544</v>
      </c>
      <c r="U435" s="71">
        <f t="shared" si="787"/>
        <v>0.29291909675489736</v>
      </c>
      <c r="V435" s="23">
        <f t="shared" si="787"/>
        <v>0.6044258027191205</v>
      </c>
      <c r="W435" s="71">
        <f t="shared" si="787"/>
        <v>0.5437498641983356</v>
      </c>
      <c r="X435" s="71">
        <f t="shared" si="787"/>
        <v>-0.23843992165545436</v>
      </c>
      <c r="Y435" s="71">
        <f t="shared" si="787"/>
        <v>-0.67628771516460495</v>
      </c>
      <c r="Z435" s="71">
        <v>-0.62539397970100918</v>
      </c>
      <c r="AA435" s="23">
        <f t="shared" ref="AA435:AI435" si="788">AA433/V433-1</f>
        <v>-0.39199009770541371</v>
      </c>
      <c r="AB435" s="71">
        <f t="shared" si="788"/>
        <v>-0.5653079608152235</v>
      </c>
      <c r="AC435" s="71">
        <f t="shared" si="788"/>
        <v>-0.22794364307279424</v>
      </c>
      <c r="AD435" s="71">
        <f t="shared" si="788"/>
        <v>-0.15632160668553707</v>
      </c>
      <c r="AE435" s="71">
        <f t="shared" si="788"/>
        <v>-0.46028560401389418</v>
      </c>
      <c r="AF435" s="23">
        <f t="shared" si="788"/>
        <v>-0.40400088959346714</v>
      </c>
      <c r="AG435" s="71">
        <f t="shared" si="788"/>
        <v>-3.9826447351379857E-3</v>
      </c>
      <c r="AH435" s="71">
        <f t="shared" si="788"/>
        <v>-0.13607067854297927</v>
      </c>
      <c r="AI435" s="71">
        <f t="shared" si="788"/>
        <v>9.2143627431401587E-2</v>
      </c>
      <c r="AJ435" s="71">
        <f t="shared" ref="AJ435:AS435" si="789">AJ433/AE433-1</f>
        <v>0.33652745995423339</v>
      </c>
      <c r="AK435" s="23">
        <f t="shared" si="789"/>
        <v>5.2480505190642512E-2</v>
      </c>
      <c r="AL435" s="71">
        <f t="shared" si="789"/>
        <v>0.7215630181073438</v>
      </c>
      <c r="AM435" s="71">
        <f t="shared" si="789"/>
        <v>8.0637049455155152E-2</v>
      </c>
      <c r="AN435" s="71">
        <f t="shared" si="789"/>
        <v>3.2731129315389129E-2</v>
      </c>
      <c r="AO435" s="71">
        <f t="shared" si="789"/>
        <v>-0.25022293561619413</v>
      </c>
      <c r="AP435" s="23">
        <f t="shared" si="789"/>
        <v>0.16363636363636358</v>
      </c>
      <c r="AQ435" s="71">
        <f t="shared" si="789"/>
        <v>-0.30131993881828656</v>
      </c>
      <c r="AR435" s="71">
        <f t="shared" si="789"/>
        <v>0.27986348122866889</v>
      </c>
      <c r="AS435" s="71">
        <f t="shared" si="789"/>
        <v>-0.15011154785934344</v>
      </c>
      <c r="AT435" s="71">
        <f t="shared" ref="AT435" si="790">AT433/AO433-1</f>
        <v>0.23691722169362484</v>
      </c>
      <c r="AU435" s="23">
        <f t="shared" ref="AU435:AX435" si="791">AU433/AP433-1</f>
        <v>-6.25E-2</v>
      </c>
      <c r="AV435" s="71">
        <f t="shared" si="791"/>
        <v>-0.21621621621621623</v>
      </c>
      <c r="AW435" s="71">
        <f t="shared" si="791"/>
        <v>0.39393939393939403</v>
      </c>
      <c r="AX435" s="71">
        <f t="shared" si="791"/>
        <v>0.29166666666666674</v>
      </c>
      <c r="AY435" s="71">
        <f t="shared" ref="AY435" si="792">AY433/AT433-1</f>
        <v>0.38461538461538458</v>
      </c>
      <c r="AZ435" s="23">
        <v>0.18333333333333335</v>
      </c>
      <c r="BA435" s="71">
        <v>6.8965517241379226E-2</v>
      </c>
      <c r="BB435" s="71">
        <v>-4.3478260869565188E-2</v>
      </c>
      <c r="BC435" s="71">
        <v>-0.12903225806451613</v>
      </c>
      <c r="BD435" s="71">
        <v>-0.30555555555555558</v>
      </c>
      <c r="BE435" s="23">
        <v>-0.10563380281690138</v>
      </c>
      <c r="BF435" s="71">
        <v>6.4516129032258007E-2</v>
      </c>
      <c r="BG435" s="71">
        <v>-0.22727272727272729</v>
      </c>
      <c r="BH435" s="71">
        <v>0.4814814814814814</v>
      </c>
      <c r="BI435" s="71">
        <v>-0.16000000000000003</v>
      </c>
      <c r="BJ435" s="23">
        <v>7.8740157480314821E-3</v>
      </c>
      <c r="BK435" s="71">
        <v>3.0303030303030276E-2</v>
      </c>
    </row>
    <row r="436" spans="1:63" s="35" customFormat="1" ht="14.25">
      <c r="A436" s="67" t="s">
        <v>63</v>
      </c>
      <c r="B436" s="36">
        <f>B433-3.926</f>
        <v>99.564999999999998</v>
      </c>
      <c r="C436" s="68">
        <f>8.133+2.208+17.166</f>
        <v>27.506999999999998</v>
      </c>
      <c r="D436" s="68">
        <f>10.724+7.38+12.816</f>
        <v>30.92</v>
      </c>
      <c r="E436" s="68">
        <f>E433</f>
        <v>33.301000000000002</v>
      </c>
      <c r="F436" s="68">
        <f>G436-E436-D436-C436</f>
        <v>26.417999999999999</v>
      </c>
      <c r="G436" s="36">
        <f>G433-0.512</f>
        <v>118.146</v>
      </c>
      <c r="H436" s="68">
        <f>H433-0.107</f>
        <v>21.341000000000001</v>
      </c>
      <c r="I436" s="68">
        <f>I433-0.045</f>
        <v>26.049999999999997</v>
      </c>
      <c r="J436" s="68">
        <f>J433</f>
        <v>33.475000000000001</v>
      </c>
      <c r="K436" s="68">
        <f>L436-J436-I436-H436</f>
        <v>38.908000000000008</v>
      </c>
      <c r="L436" s="36">
        <f>L433-0.156</f>
        <v>119.774</v>
      </c>
      <c r="M436" s="68">
        <f>M433-0.021</f>
        <v>36.71</v>
      </c>
      <c r="N436" s="68">
        <f>N433</f>
        <v>32.765999999999998</v>
      </c>
      <c r="O436" s="68">
        <f>O433-0.101</f>
        <v>29.921999999999997</v>
      </c>
      <c r="P436" s="68">
        <f>Q436-O436-N436-M436</f>
        <v>80.232000000000028</v>
      </c>
      <c r="Q436" s="36">
        <f>Q433-0.134</f>
        <v>179.63000000000002</v>
      </c>
      <c r="R436" s="68">
        <f>R433-0.256</f>
        <v>45.767000000000003</v>
      </c>
      <c r="S436" s="68">
        <f>S433</f>
        <v>46.972000000000001</v>
      </c>
      <c r="T436" s="68">
        <f>T433-0.097</f>
        <v>91.576999999999998</v>
      </c>
      <c r="U436" s="68">
        <f>V436-T436-S436-R436</f>
        <v>103.32200000000003</v>
      </c>
      <c r="V436" s="36">
        <f>V433-0.78</f>
        <v>287.63800000000003</v>
      </c>
      <c r="W436" s="68">
        <f>W433-0.422</f>
        <v>70.626000000000005</v>
      </c>
      <c r="X436" s="68">
        <f>X433-0.121</f>
        <v>35.650999999999996</v>
      </c>
      <c r="Y436" s="68">
        <f>Y433-1.073</f>
        <v>28.602999999999998</v>
      </c>
      <c r="Z436" s="68">
        <f>AA436-Y436-X436-W436</f>
        <v>38.155999999999992</v>
      </c>
      <c r="AA436" s="36">
        <f>AA433-2.325</f>
        <v>173.036</v>
      </c>
      <c r="AB436" s="68">
        <f>AB433-0.173</f>
        <v>30.711000000000002</v>
      </c>
      <c r="AC436" s="68">
        <f>AC433-0.475</f>
        <v>27.143000000000001</v>
      </c>
      <c r="AD436" s="68">
        <f>AD433-3.627</f>
        <v>21.41</v>
      </c>
      <c r="AE436" s="68">
        <f>AF436-AD436-AC436-AB436</f>
        <v>17.895000000000007</v>
      </c>
      <c r="AF436" s="36">
        <f>AF433-7.356</f>
        <v>97.159000000000006</v>
      </c>
      <c r="AG436" s="68">
        <v>31</v>
      </c>
      <c r="AH436" s="68">
        <v>23</v>
      </c>
      <c r="AI436" s="68">
        <v>27</v>
      </c>
      <c r="AJ436" s="68">
        <f>AK436-AI436-AH436-AG436</f>
        <v>27</v>
      </c>
      <c r="AK436" s="36">
        <f>AK433-2</f>
        <v>108</v>
      </c>
      <c r="AL436" s="68">
        <v>53</v>
      </c>
      <c r="AM436" s="68">
        <v>26</v>
      </c>
      <c r="AN436" s="68">
        <v>28</v>
      </c>
      <c r="AO436" s="68">
        <f>AP436-AN436-AM436-AL436</f>
        <v>21</v>
      </c>
      <c r="AP436" s="36">
        <f>AP433</f>
        <v>128</v>
      </c>
      <c r="AQ436" s="68">
        <f>AQ433</f>
        <v>37</v>
      </c>
      <c r="AR436" s="68">
        <f>AR433</f>
        <v>33</v>
      </c>
      <c r="AS436" s="68">
        <f>AS433</f>
        <v>24</v>
      </c>
      <c r="AT436" s="68">
        <f>AU436-AS436-AR436-AQ436</f>
        <v>25</v>
      </c>
      <c r="AU436" s="36">
        <f>AU433-1</f>
        <v>119</v>
      </c>
      <c r="AV436" s="68">
        <f>AV433</f>
        <v>29</v>
      </c>
      <c r="AW436" s="68">
        <f>AW433</f>
        <v>46</v>
      </c>
      <c r="AX436" s="68">
        <f>AX433-2</f>
        <v>29</v>
      </c>
      <c r="AY436" s="68">
        <f>AZ436-AX436-AW436-AV436</f>
        <v>35</v>
      </c>
      <c r="AZ436" s="36">
        <v>139</v>
      </c>
      <c r="BA436" s="68">
        <v>31</v>
      </c>
      <c r="BB436" s="68">
        <v>44</v>
      </c>
      <c r="BC436" s="68">
        <v>26</v>
      </c>
      <c r="BD436" s="147">
        <v>25</v>
      </c>
      <c r="BE436" s="36">
        <v>126</v>
      </c>
      <c r="BF436" s="68">
        <v>33</v>
      </c>
      <c r="BG436" s="68">
        <v>34</v>
      </c>
      <c r="BH436" s="68">
        <v>40</v>
      </c>
      <c r="BI436" s="147">
        <v>21</v>
      </c>
      <c r="BJ436" s="36">
        <v>128</v>
      </c>
      <c r="BK436" s="68">
        <v>34</v>
      </c>
    </row>
    <row r="437" spans="1:63">
      <c r="A437" s="69" t="s">
        <v>7</v>
      </c>
      <c r="B437" s="23"/>
      <c r="C437" s="70"/>
      <c r="D437" s="70">
        <f>D436/C436-1</f>
        <v>0.12407750754353453</v>
      </c>
      <c r="E437" s="70">
        <f>E436/D436-1</f>
        <v>7.7005174644243279E-2</v>
      </c>
      <c r="F437" s="70">
        <f>F436/E436-1</f>
        <v>-0.20669048977508186</v>
      </c>
      <c r="G437" s="23"/>
      <c r="H437" s="70">
        <f>H436/F436-1</f>
        <v>-0.19217957453251566</v>
      </c>
      <c r="I437" s="70">
        <f>I436/H436-1</f>
        <v>0.22065507708167353</v>
      </c>
      <c r="J437" s="70">
        <f>J436/I436-1</f>
        <v>0.28502879078694843</v>
      </c>
      <c r="K437" s="70">
        <f>K436/J436-1</f>
        <v>0.16230022404779709</v>
      </c>
      <c r="L437" s="23"/>
      <c r="M437" s="70">
        <f>M436/K436-1</f>
        <v>-5.6492238100133818E-2</v>
      </c>
      <c r="N437" s="70">
        <f>N436/M436-1</f>
        <v>-0.10743666575864896</v>
      </c>
      <c r="O437" s="70">
        <f>O436/N436-1</f>
        <v>-8.6797289873649541E-2</v>
      </c>
      <c r="P437" s="70">
        <f>P436/O436-1</f>
        <v>1.6813715660717876</v>
      </c>
      <c r="Q437" s="23"/>
      <c r="R437" s="70">
        <f>R436/P436-1</f>
        <v>-0.4295667564064215</v>
      </c>
      <c r="S437" s="70">
        <f>S436/R436-1</f>
        <v>2.6329014355321423E-2</v>
      </c>
      <c r="T437" s="70">
        <f>T436/S436-1</f>
        <v>0.94960827727156594</v>
      </c>
      <c r="U437" s="70">
        <f>U436/T436-1</f>
        <v>0.12825272721316527</v>
      </c>
      <c r="V437" s="23"/>
      <c r="W437" s="70">
        <f>W436/U436-1</f>
        <v>-0.31644761038307445</v>
      </c>
      <c r="X437" s="70">
        <f>X436/W436-1</f>
        <v>-0.49521422705519225</v>
      </c>
      <c r="Y437" s="70">
        <f>Y436/X436-1</f>
        <v>-0.19769431432498386</v>
      </c>
      <c r="Z437" s="70">
        <v>0.33398594553018901</v>
      </c>
      <c r="AA437" s="23"/>
      <c r="AB437" s="70">
        <f>AB436/Z436-1</f>
        <v>-0.1951200335464931</v>
      </c>
      <c r="AC437" s="70">
        <f>AC436/AB436-1</f>
        <v>-0.11617987040474098</v>
      </c>
      <c r="AD437" s="70">
        <f>AD436/AC436-1</f>
        <v>-0.21121467781748515</v>
      </c>
      <c r="AE437" s="70">
        <f>AE436/AD436-1</f>
        <v>-0.16417561886968679</v>
      </c>
      <c r="AF437" s="23"/>
      <c r="AG437" s="70">
        <f>AG436/AE436-1</f>
        <v>0.73232746577256158</v>
      </c>
      <c r="AH437" s="70">
        <f>AH436/AG436-1</f>
        <v>-0.25806451612903225</v>
      </c>
      <c r="AI437" s="70">
        <f>AI436/AH436-1</f>
        <v>0.17391304347826098</v>
      </c>
      <c r="AJ437" s="70">
        <f>AJ436/AI436-1</f>
        <v>0</v>
      </c>
      <c r="AK437" s="23"/>
      <c r="AL437" s="70">
        <f>AL436/AJ436-1</f>
        <v>0.96296296296296302</v>
      </c>
      <c r="AM437" s="70">
        <f>AM436/AL436-1</f>
        <v>-0.50943396226415094</v>
      </c>
      <c r="AN437" s="70">
        <f>AN436/AM436-1</f>
        <v>7.6923076923076872E-2</v>
      </c>
      <c r="AO437" s="70">
        <f>AO436/AN436-1</f>
        <v>-0.25</v>
      </c>
      <c r="AP437" s="23"/>
      <c r="AQ437" s="70">
        <f>AQ436/AO436-1</f>
        <v>0.76190476190476186</v>
      </c>
      <c r="AR437" s="70">
        <f>AR436/AQ436-1</f>
        <v>-0.10810810810810811</v>
      </c>
      <c r="AS437" s="70">
        <f>AS436/AR436-1</f>
        <v>-0.27272727272727271</v>
      </c>
      <c r="AT437" s="70">
        <f>AT436/AS436-1</f>
        <v>4.1666666666666741E-2</v>
      </c>
      <c r="AU437" s="23"/>
      <c r="AV437" s="70">
        <f>AV436/AT436-1</f>
        <v>0.15999999999999992</v>
      </c>
      <c r="AW437" s="70">
        <f>AW436/AV436-1</f>
        <v>0.5862068965517242</v>
      </c>
      <c r="AX437" s="70">
        <f>AX436/AW436-1</f>
        <v>-0.36956521739130432</v>
      </c>
      <c r="AY437" s="70">
        <f>AY436/AX436-1</f>
        <v>0.2068965517241379</v>
      </c>
      <c r="AZ437" s="23"/>
      <c r="BA437" s="70">
        <v>-0.11428571428571432</v>
      </c>
      <c r="BB437" s="70">
        <v>0.41935483870967749</v>
      </c>
      <c r="BC437" s="70">
        <v>-0.40909090909090906</v>
      </c>
      <c r="BD437" s="70">
        <v>-3.8461538461538436E-2</v>
      </c>
      <c r="BE437" s="23"/>
      <c r="BF437" s="70">
        <v>0.32000000000000006</v>
      </c>
      <c r="BG437" s="70">
        <v>3.0303030303030276E-2</v>
      </c>
      <c r="BH437" s="70">
        <v>0.17647058823529416</v>
      </c>
      <c r="BI437" s="70">
        <v>-0.47499999999999998</v>
      </c>
      <c r="BJ437" s="23"/>
      <c r="BK437" s="70">
        <v>0.61904761904761907</v>
      </c>
    </row>
    <row r="438" spans="1:63">
      <c r="A438" s="69" t="s">
        <v>8</v>
      </c>
      <c r="B438" s="23"/>
      <c r="C438" s="71"/>
      <c r="D438" s="71"/>
      <c r="E438" s="71"/>
      <c r="F438" s="71"/>
      <c r="G438" s="23">
        <f t="shared" ref="G438:N438" si="793">G436/B436-1</f>
        <v>0.18662180485110236</v>
      </c>
      <c r="H438" s="71">
        <f t="shared" si="793"/>
        <v>-0.2241611226233321</v>
      </c>
      <c r="I438" s="71">
        <f t="shared" si="793"/>
        <v>-0.15750323415265211</v>
      </c>
      <c r="J438" s="71">
        <f t="shared" si="793"/>
        <v>5.2250683162666789E-3</v>
      </c>
      <c r="K438" s="71">
        <f t="shared" si="793"/>
        <v>0.4727837080778261</v>
      </c>
      <c r="L438" s="23">
        <f t="shared" si="793"/>
        <v>1.3779560882298147E-2</v>
      </c>
      <c r="M438" s="71">
        <f t="shared" si="793"/>
        <v>0.7201630663980132</v>
      </c>
      <c r="N438" s="71">
        <f t="shared" si="793"/>
        <v>0.25781190019193856</v>
      </c>
      <c r="O438" s="71">
        <f t="shared" ref="O438:Y438" si="794">O436/J436-1</f>
        <v>-0.10613890963405537</v>
      </c>
      <c r="P438" s="71">
        <f t="shared" si="794"/>
        <v>1.0620951989308116</v>
      </c>
      <c r="Q438" s="23">
        <f t="shared" si="794"/>
        <v>0.49974117922086614</v>
      </c>
      <c r="R438" s="71">
        <f t="shared" si="794"/>
        <v>0.24671751566330702</v>
      </c>
      <c r="S438" s="71">
        <f t="shared" si="794"/>
        <v>0.43355917719587378</v>
      </c>
      <c r="T438" s="71">
        <f t="shared" si="794"/>
        <v>2.0605240291424374</v>
      </c>
      <c r="U438" s="71">
        <f t="shared" si="794"/>
        <v>0.28779040781732967</v>
      </c>
      <c r="V438" s="23">
        <f t="shared" si="794"/>
        <v>0.60128040973111396</v>
      </c>
      <c r="W438" s="71">
        <f t="shared" si="794"/>
        <v>0.54316428867961641</v>
      </c>
      <c r="X438" s="71">
        <f t="shared" si="794"/>
        <v>-0.24101592438048214</v>
      </c>
      <c r="Y438" s="71">
        <f t="shared" si="794"/>
        <v>-0.68766174912914813</v>
      </c>
      <c r="Z438" s="71">
        <v>-0.63070788409051337</v>
      </c>
      <c r="AA438" s="23">
        <f t="shared" ref="AA438:AI438" si="795">AA436/V436-1</f>
        <v>-0.39842440845785332</v>
      </c>
      <c r="AB438" s="71">
        <f t="shared" si="795"/>
        <v>-0.56516013932546083</v>
      </c>
      <c r="AC438" s="71">
        <f t="shared" si="795"/>
        <v>-0.23864688227539188</v>
      </c>
      <c r="AD438" s="71">
        <f t="shared" si="795"/>
        <v>-0.25147711778484771</v>
      </c>
      <c r="AE438" s="71">
        <f t="shared" si="795"/>
        <v>-0.53100429814445937</v>
      </c>
      <c r="AF438" s="23">
        <f t="shared" si="795"/>
        <v>-0.43850412630897617</v>
      </c>
      <c r="AG438" s="71">
        <f t="shared" si="795"/>
        <v>9.4103090098009989E-3</v>
      </c>
      <c r="AH438" s="71">
        <f t="shared" si="795"/>
        <v>-0.15263603875769072</v>
      </c>
      <c r="AI438" s="71">
        <f t="shared" si="795"/>
        <v>0.26109294722092469</v>
      </c>
      <c r="AJ438" s="71">
        <f t="shared" ref="AJ438:AS438" si="796">AJ436/AE436-1</f>
        <v>0.50880134115674713</v>
      </c>
      <c r="AK438" s="23">
        <f t="shared" si="796"/>
        <v>0.11157998744326303</v>
      </c>
      <c r="AL438" s="71">
        <f t="shared" si="796"/>
        <v>0.70967741935483875</v>
      </c>
      <c r="AM438" s="71">
        <f t="shared" si="796"/>
        <v>0.13043478260869557</v>
      </c>
      <c r="AN438" s="71">
        <f t="shared" si="796"/>
        <v>3.7037037037036979E-2</v>
      </c>
      <c r="AO438" s="71">
        <f t="shared" si="796"/>
        <v>-0.22222222222222221</v>
      </c>
      <c r="AP438" s="23">
        <f t="shared" si="796"/>
        <v>0.18518518518518512</v>
      </c>
      <c r="AQ438" s="71">
        <f t="shared" si="796"/>
        <v>-0.30188679245283023</v>
      </c>
      <c r="AR438" s="71">
        <f t="shared" si="796"/>
        <v>0.26923076923076916</v>
      </c>
      <c r="AS438" s="71">
        <f t="shared" si="796"/>
        <v>-0.1428571428571429</v>
      </c>
      <c r="AT438" s="71">
        <f t="shared" ref="AT438" si="797">AT436/AO436-1</f>
        <v>0.19047619047619047</v>
      </c>
      <c r="AU438" s="23">
        <f t="shared" ref="AU438:AX438" si="798">AU436/AP436-1</f>
        <v>-7.03125E-2</v>
      </c>
      <c r="AV438" s="71">
        <f t="shared" si="798"/>
        <v>-0.21621621621621623</v>
      </c>
      <c r="AW438" s="71">
        <f t="shared" si="798"/>
        <v>0.39393939393939403</v>
      </c>
      <c r="AX438" s="71">
        <f t="shared" si="798"/>
        <v>0.20833333333333326</v>
      </c>
      <c r="AY438" s="71">
        <f t="shared" ref="AY438" si="799">AY436/AT436-1</f>
        <v>0.39999999999999991</v>
      </c>
      <c r="AZ438" s="23">
        <v>0.16806722689075637</v>
      </c>
      <c r="BA438" s="71">
        <v>6.8965517241379226E-2</v>
      </c>
      <c r="BB438" s="71">
        <v>-4.3478260869565188E-2</v>
      </c>
      <c r="BC438" s="71">
        <v>-0.10344827586206895</v>
      </c>
      <c r="BD438" s="71">
        <v>-0.2857142857142857</v>
      </c>
      <c r="BE438" s="23">
        <v>-9.3525179856115082E-2</v>
      </c>
      <c r="BF438" s="71">
        <v>6.4516129032258007E-2</v>
      </c>
      <c r="BG438" s="71">
        <v>-0.22727272727272729</v>
      </c>
      <c r="BH438" s="71">
        <v>0.53846153846153855</v>
      </c>
      <c r="BI438" s="71">
        <v>-0.16000000000000003</v>
      </c>
      <c r="BJ438" s="23">
        <v>1.5873015873015817E-2</v>
      </c>
      <c r="BK438" s="71">
        <v>3.0303030303030276E-2</v>
      </c>
    </row>
    <row r="439" spans="1:63">
      <c r="A439" s="67" t="s">
        <v>241</v>
      </c>
      <c r="B439" s="23"/>
      <c r="C439" s="71"/>
      <c r="D439" s="71"/>
      <c r="E439" s="71"/>
      <c r="F439" s="71"/>
      <c r="G439" s="23"/>
      <c r="H439" s="71"/>
      <c r="I439" s="71"/>
      <c r="J439" s="71"/>
      <c r="K439" s="71"/>
      <c r="L439" s="23"/>
      <c r="M439" s="71"/>
      <c r="N439" s="71"/>
      <c r="O439" s="71"/>
      <c r="P439" s="71"/>
      <c r="Q439" s="23"/>
      <c r="R439" s="71"/>
      <c r="S439" s="71"/>
      <c r="T439" s="71"/>
      <c r="U439" s="71"/>
      <c r="V439" s="23"/>
      <c r="W439" s="71"/>
      <c r="X439" s="71"/>
      <c r="Y439" s="71"/>
      <c r="Z439" s="71"/>
      <c r="AA439" s="23"/>
      <c r="AB439" s="71"/>
      <c r="AC439" s="71"/>
      <c r="AD439" s="71"/>
      <c r="AE439" s="71"/>
      <c r="AF439" s="23"/>
      <c r="AG439" s="71"/>
      <c r="AH439" s="71"/>
      <c r="AI439" s="71"/>
      <c r="AJ439" s="71"/>
      <c r="AK439" s="23"/>
      <c r="AL439" s="71"/>
      <c r="AM439" s="71"/>
      <c r="AN439" s="71"/>
      <c r="AO439" s="71"/>
      <c r="AP439" s="23"/>
      <c r="AQ439" s="71"/>
      <c r="AR439" s="71"/>
      <c r="AS439" s="71"/>
      <c r="AT439" s="71"/>
      <c r="AU439" s="23"/>
      <c r="AV439" s="71"/>
      <c r="AW439" s="71"/>
      <c r="AX439" s="71"/>
      <c r="AY439" s="71"/>
      <c r="AZ439" s="23"/>
      <c r="BA439" s="68">
        <v>9</v>
      </c>
      <c r="BB439" s="68">
        <v>9</v>
      </c>
      <c r="BC439" s="68">
        <v>9</v>
      </c>
      <c r="BD439" s="147">
        <v>9</v>
      </c>
      <c r="BE439" s="36">
        <v>36</v>
      </c>
      <c r="BF439" s="68">
        <v>8</v>
      </c>
      <c r="BG439" s="68">
        <v>8</v>
      </c>
      <c r="BH439" s="68">
        <v>8</v>
      </c>
      <c r="BI439" s="147">
        <v>8</v>
      </c>
      <c r="BJ439" s="36">
        <v>32</v>
      </c>
      <c r="BK439" s="68">
        <v>8</v>
      </c>
    </row>
    <row r="440" spans="1:63" s="35" customFormat="1" ht="16.149999999999999" customHeight="1">
      <c r="A440" s="67" t="s">
        <v>62</v>
      </c>
      <c r="B440" s="174">
        <f>B427-B436</f>
        <v>-6.8709999999999951</v>
      </c>
      <c r="C440" s="182">
        <f>C427-C436</f>
        <v>-19.988999999999997</v>
      </c>
      <c r="D440" s="182">
        <f>D427-D436</f>
        <v>20.009999999999998</v>
      </c>
      <c r="E440" s="182">
        <f>E427-E436</f>
        <v>-1.4210000000000029</v>
      </c>
      <c r="F440" s="182">
        <f>G440-E440-D440-C440</f>
        <v>46.7</v>
      </c>
      <c r="G440" s="36">
        <f>G427-G436</f>
        <v>45.3</v>
      </c>
      <c r="H440" s="68">
        <f>H427-H436</f>
        <v>62.167999999999999</v>
      </c>
      <c r="I440" s="68">
        <f>I427-I436</f>
        <v>56.638000000000005</v>
      </c>
      <c r="J440" s="68">
        <f>J427-J436</f>
        <v>47.985999999999997</v>
      </c>
      <c r="K440" s="68">
        <f>L440-J440-I440-H440</f>
        <v>33.001000000000012</v>
      </c>
      <c r="L440" s="36">
        <f>L427-L436</f>
        <v>199.79300000000001</v>
      </c>
      <c r="M440" s="68">
        <f>M427-M436</f>
        <v>22.769999999999996</v>
      </c>
      <c r="N440" s="68">
        <f>N427-N436</f>
        <v>33.091000000000001</v>
      </c>
      <c r="O440" s="68">
        <f>O427-O436</f>
        <v>44.709000000000003</v>
      </c>
      <c r="P440" s="68">
        <f>Q440-O440-N440-M440</f>
        <v>9.8759999999999977</v>
      </c>
      <c r="Q440" s="36">
        <f>Q427-Q436</f>
        <v>110.446</v>
      </c>
      <c r="R440" s="182">
        <f>R427-R436</f>
        <v>-3.7690000000000055</v>
      </c>
      <c r="S440" s="182">
        <f>S427-S436</f>
        <v>21.143999999999998</v>
      </c>
      <c r="T440" s="182">
        <f>T427-T436</f>
        <v>-34.127000000000002</v>
      </c>
      <c r="U440" s="182">
        <f>V440-(SUM(R440:T440))</f>
        <v>-27.394000000000005</v>
      </c>
      <c r="V440" s="174">
        <f>V427-V436</f>
        <v>-44.146000000000015</v>
      </c>
      <c r="W440" s="182">
        <f>W427-W436</f>
        <v>-12.209000000000003</v>
      </c>
      <c r="X440" s="182">
        <f>X427-X436</f>
        <v>28.560000000000002</v>
      </c>
      <c r="Y440" s="182">
        <f>Y427-Y436</f>
        <v>34.533000000000001</v>
      </c>
      <c r="Z440" s="182">
        <f>AA440-Y440-X440-W440</f>
        <v>48.165999999999954</v>
      </c>
      <c r="AA440" s="36">
        <f>AA427-AA436</f>
        <v>99.049999999999955</v>
      </c>
      <c r="AB440" s="68">
        <f>AB427-AB436</f>
        <v>27.601000000000003</v>
      </c>
      <c r="AC440" s="68">
        <f>AC427-AC436</f>
        <v>54.055999999999997</v>
      </c>
      <c r="AD440" s="68">
        <f>AD427-AD436</f>
        <v>50.08</v>
      </c>
      <c r="AE440" s="68">
        <f>AF440-AD440-AC440-AB440</f>
        <v>58.828999999999994</v>
      </c>
      <c r="AF440" s="36">
        <f>AF427-AF436</f>
        <v>190.56599999999997</v>
      </c>
      <c r="AG440" s="68">
        <f>AG427-AG436</f>
        <v>43</v>
      </c>
      <c r="AH440" s="68">
        <f>AH427-AH436</f>
        <v>72</v>
      </c>
      <c r="AI440" s="68">
        <f>AI427-AI436</f>
        <v>44</v>
      </c>
      <c r="AJ440" s="143">
        <f>AK440-AI440-AH440-AG440</f>
        <v>45</v>
      </c>
      <c r="AK440" s="36">
        <f>AK427-AK436</f>
        <v>204</v>
      </c>
      <c r="AL440" s="68">
        <f>AL427-AL436</f>
        <v>9</v>
      </c>
      <c r="AM440" s="68">
        <f>AM427-AM436</f>
        <v>48</v>
      </c>
      <c r="AN440" s="68">
        <f>AN427-AN436</f>
        <v>41</v>
      </c>
      <c r="AO440" s="68">
        <f>AP440-AN440-AM440-AL440</f>
        <v>75</v>
      </c>
      <c r="AP440" s="36">
        <f>AP427-AP436</f>
        <v>173</v>
      </c>
      <c r="AQ440" s="68">
        <f>AQ427-AQ436</f>
        <v>12</v>
      </c>
      <c r="AR440" s="68">
        <f>AR427-AR436</f>
        <v>36</v>
      </c>
      <c r="AS440" s="68">
        <f>AS427-AS436</f>
        <v>41</v>
      </c>
      <c r="AT440" s="68">
        <f>AU440-AS440-AR440-AQ440</f>
        <v>61</v>
      </c>
      <c r="AU440" s="36">
        <f>AU427-AU436</f>
        <v>150</v>
      </c>
      <c r="AV440" s="68">
        <f>AV427-AV436</f>
        <v>23</v>
      </c>
      <c r="AW440" s="68">
        <f>AW427-AW436</f>
        <v>23</v>
      </c>
      <c r="AX440" s="68">
        <f>AX427-AX436</f>
        <v>45</v>
      </c>
      <c r="AY440" s="68">
        <f>AZ440-AX440-AW440-AV440</f>
        <v>47</v>
      </c>
      <c r="AZ440" s="36">
        <v>138</v>
      </c>
      <c r="BA440" s="68">
        <v>27</v>
      </c>
      <c r="BB440" s="68">
        <v>1</v>
      </c>
      <c r="BC440" s="68">
        <v>38</v>
      </c>
      <c r="BD440" s="147">
        <v>72</v>
      </c>
      <c r="BE440" s="36">
        <v>138</v>
      </c>
      <c r="BF440" s="68">
        <v>15</v>
      </c>
      <c r="BG440" s="68">
        <v>6</v>
      </c>
      <c r="BH440" s="68">
        <v>16</v>
      </c>
      <c r="BI440" s="147">
        <v>58</v>
      </c>
      <c r="BJ440" s="36">
        <v>95</v>
      </c>
      <c r="BK440" s="68">
        <v>18</v>
      </c>
    </row>
    <row r="441" spans="1:63">
      <c r="A441" s="69" t="s">
        <v>7</v>
      </c>
      <c r="B441" s="23"/>
      <c r="C441" s="70"/>
      <c r="D441" s="83" t="s">
        <v>39</v>
      </c>
      <c r="E441" s="83" t="s">
        <v>39</v>
      </c>
      <c r="F441" s="83" t="s">
        <v>39</v>
      </c>
      <c r="G441" s="23"/>
      <c r="H441" s="70">
        <f>H440/F440-1</f>
        <v>0.33122055674518203</v>
      </c>
      <c r="I441" s="70">
        <f>I440/H440-1</f>
        <v>-8.8952515763736861E-2</v>
      </c>
      <c r="J441" s="70">
        <f>J440/I440-1</f>
        <v>-0.15275963134291481</v>
      </c>
      <c r="K441" s="70">
        <f>K440/J440-1</f>
        <v>-0.31227858125286512</v>
      </c>
      <c r="L441" s="23"/>
      <c r="M441" s="70">
        <f>M440/K440-1</f>
        <v>-0.31002090845731989</v>
      </c>
      <c r="N441" s="70">
        <f>N440/M440-1</f>
        <v>0.45327184892402306</v>
      </c>
      <c r="O441" s="70">
        <f>O440/N440-1</f>
        <v>0.35109244205373069</v>
      </c>
      <c r="P441" s="70">
        <f>P440/O440-1</f>
        <v>-0.77910487821244057</v>
      </c>
      <c r="Q441" s="23"/>
      <c r="R441" s="83" t="s">
        <v>39</v>
      </c>
      <c r="S441" s="83" t="s">
        <v>39</v>
      </c>
      <c r="T441" s="83" t="s">
        <v>39</v>
      </c>
      <c r="U441" s="70">
        <f>U440/T440-1</f>
        <v>-0.19729246637559694</v>
      </c>
      <c r="V441" s="23"/>
      <c r="W441" s="70">
        <f>W440/U440-1</f>
        <v>-0.55431846389720374</v>
      </c>
      <c r="X441" s="83" t="s">
        <v>39</v>
      </c>
      <c r="Y441" s="70">
        <f>Y440/X440-1</f>
        <v>0.2091386554621848</v>
      </c>
      <c r="Z441" s="70">
        <v>0.39478180291315423</v>
      </c>
      <c r="AA441" s="23"/>
      <c r="AB441" s="70">
        <f>AB440/Z440-1</f>
        <v>-0.42696092679483388</v>
      </c>
      <c r="AC441" s="70">
        <f>AC440/AB440-1</f>
        <v>0.9584797652258974</v>
      </c>
      <c r="AD441" s="70">
        <f>AD440/AC440-1</f>
        <v>-7.3553352079325118E-2</v>
      </c>
      <c r="AE441" s="70">
        <f>AE440/AD440-1</f>
        <v>0.17470047923322674</v>
      </c>
      <c r="AF441" s="23"/>
      <c r="AG441" s="70">
        <f>AG440/AE440-1</f>
        <v>-0.26906797667816884</v>
      </c>
      <c r="AH441" s="70">
        <f>AH440/AG440-1</f>
        <v>0.67441860465116288</v>
      </c>
      <c r="AI441" s="70">
        <f>AI440/AH440-1</f>
        <v>-0.38888888888888884</v>
      </c>
      <c r="AJ441" s="70">
        <f>AJ440/AI440-1</f>
        <v>2.2727272727272707E-2</v>
      </c>
      <c r="AK441" s="23"/>
      <c r="AL441" s="70">
        <f>AL440/AJ440-1</f>
        <v>-0.8</v>
      </c>
      <c r="AM441" s="70">
        <f>AM440/AL440-1</f>
        <v>4.333333333333333</v>
      </c>
      <c r="AN441" s="70">
        <f>AN440/AM440-1</f>
        <v>-0.14583333333333337</v>
      </c>
      <c r="AO441" s="70">
        <f>AO440/AN440-1</f>
        <v>0.8292682926829269</v>
      </c>
      <c r="AP441" s="23"/>
      <c r="AQ441" s="70">
        <f>AQ440/AO440-1</f>
        <v>-0.84</v>
      </c>
      <c r="AR441" s="70">
        <f>AR440/AQ440-1</f>
        <v>2</v>
      </c>
      <c r="AS441" s="70">
        <f>AS440/AR440-1</f>
        <v>0.13888888888888884</v>
      </c>
      <c r="AT441" s="70">
        <f>AT440/AS440-1</f>
        <v>0.48780487804878048</v>
      </c>
      <c r="AU441" s="23"/>
      <c r="AV441" s="70">
        <f>AV440/AT440-1</f>
        <v>-0.62295081967213117</v>
      </c>
      <c r="AW441" s="70">
        <f>AW440/AV440-1</f>
        <v>0</v>
      </c>
      <c r="AX441" s="70">
        <f>AX440/AW440-1</f>
        <v>0.95652173913043481</v>
      </c>
      <c r="AY441" s="70">
        <f>AY440/AX440-1</f>
        <v>4.4444444444444509E-2</v>
      </c>
      <c r="AZ441" s="23"/>
      <c r="BA441" s="70">
        <v>-0.42553191489361697</v>
      </c>
      <c r="BB441" s="70">
        <v>-0.96296296296296302</v>
      </c>
      <c r="BC441" s="70">
        <v>37</v>
      </c>
      <c r="BD441" s="70">
        <v>0.89473684210526305</v>
      </c>
      <c r="BE441" s="23"/>
      <c r="BF441" s="70">
        <v>-0.79166666666666663</v>
      </c>
      <c r="BG441" s="70">
        <v>-0.6</v>
      </c>
      <c r="BH441" s="70">
        <v>1.6666666666666665</v>
      </c>
      <c r="BI441" s="70">
        <v>2.625</v>
      </c>
      <c r="BJ441" s="23"/>
      <c r="BK441" s="70">
        <v>-0.68965517241379315</v>
      </c>
    </row>
    <row r="442" spans="1:63">
      <c r="A442" s="69" t="s">
        <v>8</v>
      </c>
      <c r="B442" s="23"/>
      <c r="C442" s="71"/>
      <c r="D442" s="71"/>
      <c r="E442" s="71"/>
      <c r="F442" s="71"/>
      <c r="G442" s="90" t="s">
        <v>39</v>
      </c>
      <c r="H442" s="81" t="s">
        <v>44</v>
      </c>
      <c r="I442" s="71">
        <f t="shared" ref="I442:N442" si="800">I440/D440-1</f>
        <v>1.83048475762119</v>
      </c>
      <c r="J442" s="71">
        <f t="shared" si="800"/>
        <v>-34.769176636171636</v>
      </c>
      <c r="K442" s="71">
        <f t="shared" si="800"/>
        <v>-0.29334047109207684</v>
      </c>
      <c r="L442" s="23">
        <f t="shared" si="800"/>
        <v>3.4104415011037528</v>
      </c>
      <c r="M442" s="71">
        <f t="shared" si="800"/>
        <v>-0.63373439711748814</v>
      </c>
      <c r="N442" s="71">
        <f t="shared" si="800"/>
        <v>-0.4157456124863167</v>
      </c>
      <c r="O442" s="71">
        <f t="shared" ref="O442:X442" si="801">O440/J440-1</f>
        <v>-6.8290751469178401E-2</v>
      </c>
      <c r="P442" s="71">
        <f t="shared" si="801"/>
        <v>-0.70073634132299034</v>
      </c>
      <c r="Q442" s="23">
        <f t="shared" si="801"/>
        <v>-0.4471978497745166</v>
      </c>
      <c r="R442" s="83" t="s">
        <v>39</v>
      </c>
      <c r="S442" s="71">
        <f t="shared" si="801"/>
        <v>-0.36103472243208135</v>
      </c>
      <c r="T442" s="83" t="s">
        <v>39</v>
      </c>
      <c r="U442" s="83" t="s">
        <v>39</v>
      </c>
      <c r="V442" s="90" t="s">
        <v>39</v>
      </c>
      <c r="W442" s="71">
        <f t="shared" si="801"/>
        <v>2.2393207747413069</v>
      </c>
      <c r="X442" s="71">
        <f t="shared" si="801"/>
        <v>0.35073779795686733</v>
      </c>
      <c r="Y442" s="83" t="s">
        <v>39</v>
      </c>
      <c r="Z442" s="83" t="s">
        <v>39</v>
      </c>
      <c r="AA442" s="90" t="s">
        <v>39</v>
      </c>
      <c r="AB442" s="83" t="s">
        <v>39</v>
      </c>
      <c r="AC442" s="71">
        <f t="shared" ref="AC442:AI442" si="802">AC440/X440-1</f>
        <v>0.89271708683473361</v>
      </c>
      <c r="AD442" s="71">
        <f t="shared" si="802"/>
        <v>0.45020704833058223</v>
      </c>
      <c r="AE442" s="71">
        <f t="shared" si="802"/>
        <v>0.22138022671594171</v>
      </c>
      <c r="AF442" s="23">
        <f t="shared" si="802"/>
        <v>0.92393740535083357</v>
      </c>
      <c r="AG442" s="71">
        <f t="shared" si="802"/>
        <v>0.55791456831274222</v>
      </c>
      <c r="AH442" s="71">
        <f t="shared" si="802"/>
        <v>0.33195204972620984</v>
      </c>
      <c r="AI442" s="71">
        <f t="shared" si="802"/>
        <v>-0.12140575079872207</v>
      </c>
      <c r="AJ442" s="71">
        <f t="shared" ref="AJ442:AS442" si="803">AJ440/AE440-1</f>
        <v>-0.23507113838413018</v>
      </c>
      <c r="AK442" s="23">
        <f t="shared" si="803"/>
        <v>7.0495261484210259E-2</v>
      </c>
      <c r="AL442" s="71">
        <f t="shared" si="803"/>
        <v>-0.79069767441860461</v>
      </c>
      <c r="AM442" s="71">
        <f t="shared" si="803"/>
        <v>-0.33333333333333337</v>
      </c>
      <c r="AN442" s="71">
        <f t="shared" si="803"/>
        <v>-6.8181818181818232E-2</v>
      </c>
      <c r="AO442" s="71">
        <f t="shared" si="803"/>
        <v>0.66666666666666674</v>
      </c>
      <c r="AP442" s="23">
        <f t="shared" si="803"/>
        <v>-0.15196078431372551</v>
      </c>
      <c r="AQ442" s="71">
        <f t="shared" si="803"/>
        <v>0.33333333333333326</v>
      </c>
      <c r="AR442" s="71">
        <f t="shared" si="803"/>
        <v>-0.25</v>
      </c>
      <c r="AS442" s="71">
        <f t="shared" si="803"/>
        <v>0</v>
      </c>
      <c r="AT442" s="71">
        <f t="shared" ref="AT442" si="804">AT440/AO440-1</f>
        <v>-0.18666666666666665</v>
      </c>
      <c r="AU442" s="23">
        <f t="shared" ref="AU442:AX442" si="805">AU440/AP440-1</f>
        <v>-0.13294797687861271</v>
      </c>
      <c r="AV442" s="71">
        <f t="shared" si="805"/>
        <v>0.91666666666666674</v>
      </c>
      <c r="AW442" s="71">
        <f t="shared" si="805"/>
        <v>-0.36111111111111116</v>
      </c>
      <c r="AX442" s="71">
        <f t="shared" si="805"/>
        <v>9.7560975609756184E-2</v>
      </c>
      <c r="AY442" s="71">
        <f t="shared" ref="AY442" si="806">AY440/AT440-1</f>
        <v>-0.22950819672131151</v>
      </c>
      <c r="AZ442" s="23">
        <v>-7.999999999999996E-2</v>
      </c>
      <c r="BA442" s="71">
        <v>0.17391304347826098</v>
      </c>
      <c r="BB442" s="71">
        <v>-0.95652173913043481</v>
      </c>
      <c r="BC442" s="71">
        <v>-0.15555555555555556</v>
      </c>
      <c r="BD442" s="71">
        <v>0.53191489361702127</v>
      </c>
      <c r="BE442" s="23">
        <v>0</v>
      </c>
      <c r="BF442" s="71">
        <v>-0.44444444444444442</v>
      </c>
      <c r="BG442" s="71">
        <v>5</v>
      </c>
      <c r="BH442" s="71">
        <v>-0.57894736842105265</v>
      </c>
      <c r="BI442" s="71">
        <v>-0.19444444444444442</v>
      </c>
      <c r="BJ442" s="23">
        <v>-0.31159420289855078</v>
      </c>
      <c r="BK442" s="71">
        <v>0.19999999999999996</v>
      </c>
    </row>
    <row r="443" spans="1:63" ht="11.25" customHeight="1">
      <c r="A443" s="49" t="s">
        <v>19</v>
      </c>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row>
    <row r="444" spans="1:63" s="35" customFormat="1" ht="11.25" customHeight="1">
      <c r="A444" s="67" t="s">
        <v>28</v>
      </c>
      <c r="B444" s="54">
        <f t="shared" ref="B444:Y444" si="807">B414/B377</f>
        <v>0.15616554786161335</v>
      </c>
      <c r="C444" s="76">
        <f t="shared" si="807"/>
        <v>0.17457789104810451</v>
      </c>
      <c r="D444" s="76">
        <f t="shared" si="807"/>
        <v>0.19199160370468116</v>
      </c>
      <c r="E444" s="76">
        <f t="shared" si="807"/>
        <v>0.17971432307584698</v>
      </c>
      <c r="F444" s="76">
        <f t="shared" si="807"/>
        <v>0.19294874076183022</v>
      </c>
      <c r="G444" s="54">
        <f t="shared" si="807"/>
        <v>0.18496085478476831</v>
      </c>
      <c r="H444" s="76">
        <f t="shared" si="807"/>
        <v>0.18538938025825139</v>
      </c>
      <c r="I444" s="76">
        <f t="shared" si="807"/>
        <v>0.2068971849911084</v>
      </c>
      <c r="J444" s="76">
        <f t="shared" si="807"/>
        <v>0.19960358994718541</v>
      </c>
      <c r="K444" s="76">
        <f t="shared" si="807"/>
        <v>0.1996939945685533</v>
      </c>
      <c r="L444" s="54">
        <f t="shared" si="807"/>
        <v>0.19793453282617476</v>
      </c>
      <c r="M444" s="76">
        <f t="shared" si="807"/>
        <v>0.17936581953835393</v>
      </c>
      <c r="N444" s="76">
        <f t="shared" si="807"/>
        <v>0.36380882352941174</v>
      </c>
      <c r="O444" s="76">
        <f t="shared" si="807"/>
        <v>0.20019172253776157</v>
      </c>
      <c r="P444" s="76">
        <f t="shared" si="807"/>
        <v>0.18587201261815234</v>
      </c>
      <c r="Q444" s="54">
        <f t="shared" si="807"/>
        <v>0.23168285560921686</v>
      </c>
      <c r="R444" s="76">
        <f t="shared" si="807"/>
        <v>0.18473802924649446</v>
      </c>
      <c r="S444" s="76">
        <f t="shared" si="807"/>
        <v>0.18144873827235511</v>
      </c>
      <c r="T444" s="76">
        <f t="shared" si="807"/>
        <v>0.17499244321001031</v>
      </c>
      <c r="U444" s="76">
        <f t="shared" si="807"/>
        <v>0.17179162415414739</v>
      </c>
      <c r="V444" s="54">
        <f t="shared" si="807"/>
        <v>0.17814320605318254</v>
      </c>
      <c r="W444" s="76">
        <f t="shared" si="807"/>
        <v>0.14922852791205882</v>
      </c>
      <c r="X444" s="76">
        <f t="shared" si="807"/>
        <v>0.16056913650241181</v>
      </c>
      <c r="Y444" s="76">
        <f t="shared" si="807"/>
        <v>0.16216319996219217</v>
      </c>
      <c r="Z444" s="76">
        <v>0.18149793230203701</v>
      </c>
      <c r="AA444" s="54">
        <f t="shared" ref="AA444:AY444" si="808">AA414/AA377</f>
        <v>0.16346259319149001</v>
      </c>
      <c r="AB444" s="76">
        <f t="shared" si="808"/>
        <v>0.16190071069750211</v>
      </c>
      <c r="AC444" s="76">
        <f t="shared" si="808"/>
        <v>0.16787737216510937</v>
      </c>
      <c r="AD444" s="76">
        <f t="shared" si="808"/>
        <v>0.15261773407781459</v>
      </c>
      <c r="AE444" s="76">
        <f t="shared" si="808"/>
        <v>0.15294576985334196</v>
      </c>
      <c r="AF444" s="54">
        <f t="shared" si="808"/>
        <v>0.15876199868645224</v>
      </c>
      <c r="AG444" s="76">
        <f t="shared" si="808"/>
        <v>0.16338028169014085</v>
      </c>
      <c r="AH444" s="76">
        <f t="shared" si="808"/>
        <v>0.15890410958904111</v>
      </c>
      <c r="AI444" s="76">
        <f t="shared" si="808"/>
        <v>0.15324675324675324</v>
      </c>
      <c r="AJ444" s="76">
        <f t="shared" si="808"/>
        <v>0.14285714285714285</v>
      </c>
      <c r="AK444" s="54">
        <f t="shared" si="808"/>
        <v>0.15425531914893617</v>
      </c>
      <c r="AL444" s="76">
        <f t="shared" si="808"/>
        <v>0.15521628498727735</v>
      </c>
      <c r="AM444" s="76">
        <f t="shared" si="808"/>
        <v>0.15856777493606139</v>
      </c>
      <c r="AN444" s="76">
        <f t="shared" si="808"/>
        <v>0.15167095115681234</v>
      </c>
      <c r="AO444" s="76">
        <f t="shared" si="808"/>
        <v>0.14320987654320988</v>
      </c>
      <c r="AP444" s="54">
        <f t="shared" si="808"/>
        <v>0.15209125475285171</v>
      </c>
      <c r="AQ444" s="76">
        <f t="shared" si="808"/>
        <v>9.3670886075949367E-2</v>
      </c>
      <c r="AR444" s="76">
        <f t="shared" si="808"/>
        <v>0.12466843501326259</v>
      </c>
      <c r="AS444" s="76">
        <f t="shared" si="808"/>
        <v>0.1171875</v>
      </c>
      <c r="AT444" s="76">
        <f t="shared" si="808"/>
        <v>0.11989795918367346</v>
      </c>
      <c r="AU444" s="54">
        <f t="shared" si="808"/>
        <v>0.11369509043927649</v>
      </c>
      <c r="AV444" s="76">
        <f t="shared" si="808"/>
        <v>0.12760416666666666</v>
      </c>
      <c r="AW444" s="76">
        <f t="shared" si="808"/>
        <v>0.11056511056511056</v>
      </c>
      <c r="AX444" s="76">
        <f t="shared" si="808"/>
        <v>0.10626702997275204</v>
      </c>
      <c r="AY444" s="76">
        <f t="shared" si="808"/>
        <v>9.2348284960422161E-2</v>
      </c>
      <c r="AZ444" s="54">
        <v>0.10930383864671438</v>
      </c>
      <c r="BA444" s="76">
        <v>9.375E-2</v>
      </c>
      <c r="BB444" s="76">
        <v>8.6309523809523808E-2</v>
      </c>
      <c r="BC444" s="76">
        <v>9.0090090090090086E-2</v>
      </c>
      <c r="BD444" s="76">
        <v>5.1351351351351354E-2</v>
      </c>
      <c r="BE444" s="54">
        <v>7.979870596693027E-2</v>
      </c>
      <c r="BF444" s="76">
        <v>9.6774193548387094E-2</v>
      </c>
      <c r="BG444" s="76">
        <v>5.0147492625368731E-2</v>
      </c>
      <c r="BH444" s="76">
        <v>-6.3829787234042548E-2</v>
      </c>
      <c r="BI444" s="76">
        <v>-0.26060606060606062</v>
      </c>
      <c r="BJ444" s="54">
        <v>-4.2569081404032857E-2</v>
      </c>
      <c r="BK444" s="76">
        <v>0.11356466876971609</v>
      </c>
    </row>
    <row r="445" spans="1:63" s="35" customFormat="1" ht="10.5" customHeight="1">
      <c r="A445" s="67" t="s">
        <v>36</v>
      </c>
      <c r="B445" s="54">
        <f t="shared" ref="B445:Y445" si="809">B417/B377</f>
        <v>0.1173805617114764</v>
      </c>
      <c r="C445" s="76">
        <f t="shared" si="809"/>
        <v>0.13220770946161198</v>
      </c>
      <c r="D445" s="76">
        <f t="shared" si="809"/>
        <v>0.14440645925525841</v>
      </c>
      <c r="E445" s="76">
        <f t="shared" si="809"/>
        <v>0.13382476819540617</v>
      </c>
      <c r="F445" s="76">
        <f t="shared" si="809"/>
        <v>0.13579071615834487</v>
      </c>
      <c r="G445" s="54">
        <f t="shared" si="809"/>
        <v>0.13658436841149996</v>
      </c>
      <c r="H445" s="76">
        <f t="shared" si="809"/>
        <v>0.13587167555240531</v>
      </c>
      <c r="I445" s="76">
        <f t="shared" si="809"/>
        <v>0.17077373719441832</v>
      </c>
      <c r="J445" s="76">
        <f t="shared" si="809"/>
        <v>0.15248553313843674</v>
      </c>
      <c r="K445" s="76">
        <f t="shared" si="809"/>
        <v>0.14796650108838524</v>
      </c>
      <c r="L445" s="54">
        <f t="shared" si="809"/>
        <v>0.15178330201537871</v>
      </c>
      <c r="M445" s="76">
        <f t="shared" si="809"/>
        <v>0.13543075308929819</v>
      </c>
      <c r="N445" s="76">
        <f t="shared" si="809"/>
        <v>0.31830294117647057</v>
      </c>
      <c r="O445" s="76">
        <f t="shared" si="809"/>
        <v>0.15378968670925247</v>
      </c>
      <c r="P445" s="76">
        <f t="shared" si="809"/>
        <v>0.13102762506714821</v>
      </c>
      <c r="Q445" s="54">
        <f t="shared" si="809"/>
        <v>0.1839744318778618</v>
      </c>
      <c r="R445" s="76">
        <f t="shared" si="809"/>
        <v>0.13953558971120833</v>
      </c>
      <c r="S445" s="76">
        <f t="shared" si="809"/>
        <v>0.13941421184510938</v>
      </c>
      <c r="T445" s="76">
        <f t="shared" si="809"/>
        <v>0.13094348661735267</v>
      </c>
      <c r="U445" s="76">
        <f t="shared" si="809"/>
        <v>0.1289800513668507</v>
      </c>
      <c r="V445" s="54">
        <f t="shared" si="809"/>
        <v>0.1346200729608851</v>
      </c>
      <c r="W445" s="76">
        <f t="shared" si="809"/>
        <v>0.10777431958148467</v>
      </c>
      <c r="X445" s="76">
        <f t="shared" si="809"/>
        <v>0.11785661228561119</v>
      </c>
      <c r="Y445" s="76">
        <f t="shared" si="809"/>
        <v>0.11900612605374623</v>
      </c>
      <c r="Z445" s="76">
        <v>0.13145492889711002</v>
      </c>
      <c r="AA445" s="54">
        <f t="shared" ref="AA445:AY445" si="810">AA417/AA377</f>
        <v>0.11909258669205749</v>
      </c>
      <c r="AB445" s="76">
        <f t="shared" si="810"/>
        <v>0.10847396809963654</v>
      </c>
      <c r="AC445" s="76">
        <f t="shared" si="810"/>
        <v>0.12140412104453313</v>
      </c>
      <c r="AD445" s="76">
        <f t="shared" si="810"/>
        <v>0.10780426222943963</v>
      </c>
      <c r="AE445" s="76">
        <f t="shared" si="810"/>
        <v>0.10405702557094716</v>
      </c>
      <c r="AF445" s="54">
        <f t="shared" si="810"/>
        <v>0.11040641111811392</v>
      </c>
      <c r="AG445" s="76">
        <f t="shared" si="810"/>
        <v>0.11830985915492957</v>
      </c>
      <c r="AH445" s="76">
        <f t="shared" si="810"/>
        <v>0.11232876712328767</v>
      </c>
      <c r="AI445" s="76">
        <f t="shared" si="810"/>
        <v>0.10909090909090909</v>
      </c>
      <c r="AJ445" s="76">
        <f t="shared" si="810"/>
        <v>0.10025062656641603</v>
      </c>
      <c r="AK445" s="54">
        <f t="shared" si="810"/>
        <v>0.10970744680851063</v>
      </c>
      <c r="AL445" s="76">
        <f t="shared" si="810"/>
        <v>0.11195928753180662</v>
      </c>
      <c r="AM445" s="76">
        <f t="shared" si="810"/>
        <v>0.11508951406649616</v>
      </c>
      <c r="AN445" s="76">
        <f t="shared" si="810"/>
        <v>0.10539845758354756</v>
      </c>
      <c r="AO445" s="76">
        <f t="shared" si="810"/>
        <v>0.1037037037037037</v>
      </c>
      <c r="AP445" s="54">
        <f t="shared" si="810"/>
        <v>0.10899873257287707</v>
      </c>
      <c r="AQ445" s="76">
        <f t="shared" si="810"/>
        <v>6.5822784810126586E-2</v>
      </c>
      <c r="AR445" s="76">
        <f t="shared" si="810"/>
        <v>8.7533156498673742E-2</v>
      </c>
      <c r="AS445" s="76">
        <f t="shared" si="810"/>
        <v>8.59375E-2</v>
      </c>
      <c r="AT445" s="76">
        <f t="shared" si="810"/>
        <v>8.4183673469387751E-2</v>
      </c>
      <c r="AU445" s="54">
        <f t="shared" si="810"/>
        <v>8.0749354005167959E-2</v>
      </c>
      <c r="AV445" s="76">
        <f t="shared" si="810"/>
        <v>9.375E-2</v>
      </c>
      <c r="AW445" s="76">
        <f t="shared" si="810"/>
        <v>8.1081081081081086E-2</v>
      </c>
      <c r="AX445" s="76">
        <f t="shared" si="810"/>
        <v>7.3569482288828342E-2</v>
      </c>
      <c r="AY445" s="76">
        <f t="shared" si="810"/>
        <v>8.1794195250659632E-2</v>
      </c>
      <c r="AZ445" s="54">
        <v>8.2628497072218601E-2</v>
      </c>
      <c r="BA445" s="76">
        <v>6.8181818181818177E-2</v>
      </c>
      <c r="BB445" s="76">
        <v>5.9523809523809521E-2</v>
      </c>
      <c r="BC445" s="76">
        <v>6.006006006006006E-2</v>
      </c>
      <c r="BD445" s="76">
        <v>3.5135135135135137E-2</v>
      </c>
      <c r="BE445" s="54">
        <v>5.5355859094176854E-2</v>
      </c>
      <c r="BF445" s="76">
        <v>7.331378299120235E-2</v>
      </c>
      <c r="BG445" s="76">
        <v>2.9498525073746312E-2</v>
      </c>
      <c r="BH445" s="76">
        <v>-5.4711246200607903E-2</v>
      </c>
      <c r="BI445" s="76">
        <v>-0.20303030303030303</v>
      </c>
      <c r="BJ445" s="54">
        <v>-3.7341299477221805E-2</v>
      </c>
      <c r="BK445" s="76">
        <v>8.5173501577287064E-2</v>
      </c>
    </row>
    <row r="446" spans="1:63" s="35" customFormat="1" ht="10.5" customHeight="1">
      <c r="A446" s="67" t="s">
        <v>10</v>
      </c>
      <c r="B446" s="54">
        <f t="shared" ref="B446:Y446" si="811">B420/B377</f>
        <v>0.22259349520528557</v>
      </c>
      <c r="C446" s="76">
        <f t="shared" si="811"/>
        <v>0.23829244982478498</v>
      </c>
      <c r="D446" s="76">
        <f t="shared" si="811"/>
        <v>0.25434084785397315</v>
      </c>
      <c r="E446" s="76">
        <f t="shared" si="811"/>
        <v>0.24024352786976974</v>
      </c>
      <c r="F446" s="76">
        <f t="shared" si="811"/>
        <v>0.25185059966546863</v>
      </c>
      <c r="G446" s="54">
        <f t="shared" si="811"/>
        <v>0.24628976266274769</v>
      </c>
      <c r="H446" s="76">
        <f t="shared" si="811"/>
        <v>0.2458350026194952</v>
      </c>
      <c r="I446" s="76">
        <f t="shared" si="811"/>
        <v>0.27017596483764039</v>
      </c>
      <c r="J446" s="76">
        <f t="shared" si="811"/>
        <v>0.26396758941783666</v>
      </c>
      <c r="K446" s="76">
        <f t="shared" si="811"/>
        <v>0.26720082878966184</v>
      </c>
      <c r="L446" s="54">
        <f t="shared" si="811"/>
        <v>0.26186110613599184</v>
      </c>
      <c r="M446" s="76">
        <f t="shared" si="811"/>
        <v>0.24519993005362553</v>
      </c>
      <c r="N446" s="76">
        <f t="shared" si="811"/>
        <v>0.43145588235294113</v>
      </c>
      <c r="O446" s="76">
        <f t="shared" si="811"/>
        <v>0.26789914127878356</v>
      </c>
      <c r="P446" s="76">
        <f t="shared" si="811"/>
        <v>0.25716343021727445</v>
      </c>
      <c r="Q446" s="54">
        <f t="shared" si="811"/>
        <v>0.29998645387908024</v>
      </c>
      <c r="R446" s="76">
        <f t="shared" si="811"/>
        <v>0.25840373762549068</v>
      </c>
      <c r="S446" s="76">
        <f t="shared" si="811"/>
        <v>0.2608703499267539</v>
      </c>
      <c r="T446" s="76">
        <f t="shared" si="811"/>
        <v>0.25476077769349659</v>
      </c>
      <c r="U446" s="76">
        <f t="shared" si="811"/>
        <v>0.26046394351991908</v>
      </c>
      <c r="V446" s="54">
        <f t="shared" si="811"/>
        <v>0.25858487206726938</v>
      </c>
      <c r="W446" s="76">
        <f t="shared" si="811"/>
        <v>0.25264130611458602</v>
      </c>
      <c r="X446" s="76">
        <f t="shared" si="811"/>
        <v>0.26499167760654629</v>
      </c>
      <c r="Y446" s="76">
        <f t="shared" si="811"/>
        <v>0.26407604104515087</v>
      </c>
      <c r="Z446" s="76">
        <v>0.27891242621676071</v>
      </c>
      <c r="AA446" s="54">
        <f t="shared" ref="AA446:AY446" si="812">AA420/AA377</f>
        <v>0.26522534972692685</v>
      </c>
      <c r="AB446" s="76">
        <f t="shared" si="812"/>
        <v>0.25245098039215685</v>
      </c>
      <c r="AC446" s="76">
        <f t="shared" si="812"/>
        <v>0.25856042191646411</v>
      </c>
      <c r="AD446" s="76">
        <f t="shared" si="812"/>
        <v>0.24424120748337153</v>
      </c>
      <c r="AE446" s="76">
        <f t="shared" si="812"/>
        <v>0.24303380809452912</v>
      </c>
      <c r="AF446" s="54">
        <f t="shared" si="812"/>
        <v>0.24949590336420377</v>
      </c>
      <c r="AG446" s="76">
        <f t="shared" si="812"/>
        <v>0.25352112676056338</v>
      </c>
      <c r="AH446" s="76">
        <f t="shared" si="812"/>
        <v>0.24657534246575341</v>
      </c>
      <c r="AI446" s="76">
        <f t="shared" si="812"/>
        <v>0.23636363636363636</v>
      </c>
      <c r="AJ446" s="76">
        <f t="shared" si="812"/>
        <v>0.22807017543859648</v>
      </c>
      <c r="AK446" s="54">
        <f t="shared" si="812"/>
        <v>0.24069148936170212</v>
      </c>
      <c r="AL446" s="76">
        <f t="shared" si="812"/>
        <v>0.23664122137404581</v>
      </c>
      <c r="AM446" s="76">
        <f t="shared" si="812"/>
        <v>0.24040920716112532</v>
      </c>
      <c r="AN446" s="76">
        <f t="shared" si="812"/>
        <v>0.23650385604113111</v>
      </c>
      <c r="AO446" s="76">
        <f t="shared" si="812"/>
        <v>0.22962962962962963</v>
      </c>
      <c r="AP446" s="54">
        <f t="shared" si="812"/>
        <v>0.23574144486692014</v>
      </c>
      <c r="AQ446" s="76">
        <f t="shared" si="812"/>
        <v>0.17721518987341772</v>
      </c>
      <c r="AR446" s="76">
        <f t="shared" si="812"/>
        <v>0.21750663129973474</v>
      </c>
      <c r="AS446" s="76">
        <f t="shared" si="812"/>
        <v>0.20833333333333334</v>
      </c>
      <c r="AT446" s="76">
        <f t="shared" si="812"/>
        <v>0.2066326530612245</v>
      </c>
      <c r="AU446" s="54">
        <f t="shared" si="812"/>
        <v>0.20219638242894056</v>
      </c>
      <c r="AV446" s="76">
        <f t="shared" si="812"/>
        <v>0.21354166666666666</v>
      </c>
      <c r="AW446" s="76">
        <f t="shared" si="812"/>
        <v>0.19164619164619165</v>
      </c>
      <c r="AX446" s="76">
        <f t="shared" si="812"/>
        <v>0.1989100817438692</v>
      </c>
      <c r="AY446" s="76">
        <f t="shared" si="812"/>
        <v>0.18469656992084432</v>
      </c>
      <c r="AZ446" s="54">
        <v>0.19713728041639558</v>
      </c>
      <c r="BA446" s="76">
        <v>0.21590909090909091</v>
      </c>
      <c r="BB446" s="76">
        <v>0.22023809523809523</v>
      </c>
      <c r="BC446" s="76">
        <v>0.22822822822822822</v>
      </c>
      <c r="BD446" s="76">
        <v>0.21351351351351353</v>
      </c>
      <c r="BE446" s="54">
        <v>0.21926671459381739</v>
      </c>
      <c r="BF446" s="76">
        <v>0.2316715542521994</v>
      </c>
      <c r="BG446" s="76">
        <v>0.18584070796460178</v>
      </c>
      <c r="BH446" s="76">
        <v>7.9027355623100301E-2</v>
      </c>
      <c r="BI446" s="76">
        <v>-0.10606060606060606</v>
      </c>
      <c r="BJ446" s="54">
        <v>9.9327856609410001E-2</v>
      </c>
      <c r="BK446" s="76">
        <v>0.25236593059936907</v>
      </c>
    </row>
    <row r="447" spans="1:63" s="35" customFormat="1" ht="11.25" customHeight="1">
      <c r="A447" s="67" t="s">
        <v>18</v>
      </c>
      <c r="B447" s="54">
        <f t="shared" ref="B447:AG447" si="813">B433/B377</f>
        <v>7.9387215475639816E-2</v>
      </c>
      <c r="C447" s="76">
        <f t="shared" si="813"/>
        <v>8.762981841350749E-2</v>
      </c>
      <c r="D447" s="76">
        <f t="shared" si="813"/>
        <v>9.4887957331107414E-2</v>
      </c>
      <c r="E447" s="76">
        <f t="shared" si="813"/>
        <v>0.10127024964039497</v>
      </c>
      <c r="F447" s="76">
        <f t="shared" si="813"/>
        <v>7.9866424665171951E-2</v>
      </c>
      <c r="G447" s="54">
        <f t="shared" si="813"/>
        <v>9.0871426175486048E-2</v>
      </c>
      <c r="H447" s="76">
        <f t="shared" si="813"/>
        <v>6.6097568492095291E-2</v>
      </c>
      <c r="I447" s="76">
        <f t="shared" si="813"/>
        <v>7.9871324373379682E-2</v>
      </c>
      <c r="J447" s="76">
        <f t="shared" si="813"/>
        <v>0.10068153655514252</v>
      </c>
      <c r="K447" s="76">
        <f t="shared" si="813"/>
        <v>0.11650962180483325</v>
      </c>
      <c r="L447" s="54">
        <f t="shared" si="813"/>
        <v>9.1016857053521846E-2</v>
      </c>
      <c r="M447" s="76">
        <f t="shared" si="813"/>
        <v>0.10705001165772908</v>
      </c>
      <c r="N447" s="76">
        <f t="shared" si="813"/>
        <v>9.6370588235294111E-2</v>
      </c>
      <c r="O447" s="76">
        <f t="shared" si="813"/>
        <v>8.6427713982215271E-2</v>
      </c>
      <c r="P447" s="76">
        <f t="shared" si="813"/>
        <v>0.229286914381722</v>
      </c>
      <c r="Q447" s="54">
        <f t="shared" si="813"/>
        <v>0.13021951235413473</v>
      </c>
      <c r="R447" s="76">
        <f t="shared" si="813"/>
        <v>0.13971469944475984</v>
      </c>
      <c r="S447" s="76">
        <f t="shared" si="813"/>
        <v>0.1412942446930433</v>
      </c>
      <c r="T447" s="76">
        <f t="shared" si="813"/>
        <v>0.26141930774100453</v>
      </c>
      <c r="U447" s="76">
        <f t="shared" si="813"/>
        <v>0.30418147275094104</v>
      </c>
      <c r="V447" s="54">
        <f t="shared" si="813"/>
        <v>0.21307444876706741</v>
      </c>
      <c r="W447" s="76">
        <f t="shared" si="813"/>
        <v>0.21385699923545101</v>
      </c>
      <c r="X447" s="76">
        <f t="shared" si="813"/>
        <v>0.10845488474470412</v>
      </c>
      <c r="Y447" s="76">
        <f t="shared" si="813"/>
        <v>8.7655145117174815E-2</v>
      </c>
      <c r="Z447" s="76">
        <f t="shared" si="813"/>
        <v>0.11447447482828094</v>
      </c>
      <c r="AA447" s="54">
        <f t="shared" si="813"/>
        <v>0.13085499251184785</v>
      </c>
      <c r="AB447" s="76">
        <f t="shared" si="813"/>
        <v>8.9369632150380809E-2</v>
      </c>
      <c r="AC447" s="76">
        <f t="shared" si="813"/>
        <v>7.6985259683785653E-2</v>
      </c>
      <c r="AD447" s="76">
        <f t="shared" si="813"/>
        <v>6.9619936377994782E-2</v>
      </c>
      <c r="AE447" s="76">
        <f t="shared" si="813"/>
        <v>5.6873734128307568E-2</v>
      </c>
      <c r="AF447" s="54">
        <f t="shared" si="813"/>
        <v>7.2946569595347732E-2</v>
      </c>
      <c r="AG447" s="76">
        <f t="shared" si="813"/>
        <v>8.6650704225352107E-2</v>
      </c>
      <c r="AH447" s="76">
        <f t="shared" ref="AH447:AY447" si="814">AH433/AH377</f>
        <v>6.5369863013698626E-2</v>
      </c>
      <c r="AI447" s="76">
        <f t="shared" si="814"/>
        <v>7.1023376623376627E-2</v>
      </c>
      <c r="AJ447" s="76">
        <f t="shared" si="814"/>
        <v>7.0263157894736861E-2</v>
      </c>
      <c r="AK447" s="54">
        <f t="shared" si="814"/>
        <v>7.3138297872340427E-2</v>
      </c>
      <c r="AL447" s="76">
        <f t="shared" si="814"/>
        <v>0.13475063613231553</v>
      </c>
      <c r="AM447" s="76">
        <f t="shared" si="814"/>
        <v>6.5943734015345271E-2</v>
      </c>
      <c r="AN447" s="76">
        <f t="shared" si="814"/>
        <v>7.2593830334190229E-2</v>
      </c>
      <c r="AO447" s="76">
        <f t="shared" si="814"/>
        <v>5.1901234567901244E-2</v>
      </c>
      <c r="AP447" s="54">
        <f t="shared" si="814"/>
        <v>8.1115335868187574E-2</v>
      </c>
      <c r="AQ447" s="76">
        <f t="shared" si="814"/>
        <v>9.3670886075949367E-2</v>
      </c>
      <c r="AR447" s="76">
        <f t="shared" si="814"/>
        <v>8.7533156498673742E-2</v>
      </c>
      <c r="AS447" s="76">
        <f t="shared" si="814"/>
        <v>6.25E-2</v>
      </c>
      <c r="AT447" s="76">
        <f t="shared" si="814"/>
        <v>6.6326530612244902E-2</v>
      </c>
      <c r="AU447" s="54">
        <f t="shared" si="814"/>
        <v>7.7519379844961239E-2</v>
      </c>
      <c r="AV447" s="76">
        <f t="shared" si="814"/>
        <v>7.5520833333333329E-2</v>
      </c>
      <c r="AW447" s="76">
        <f t="shared" si="814"/>
        <v>0.11302211302211303</v>
      </c>
      <c r="AX447" s="76">
        <f t="shared" si="814"/>
        <v>8.4468664850136238E-2</v>
      </c>
      <c r="AY447" s="76">
        <f t="shared" si="814"/>
        <v>9.498680738786279E-2</v>
      </c>
      <c r="AZ447" s="54">
        <v>9.2387768379960961E-2</v>
      </c>
      <c r="BA447" s="76">
        <v>8.8068181818181823E-2</v>
      </c>
      <c r="BB447" s="76">
        <v>0.13095238095238096</v>
      </c>
      <c r="BC447" s="76">
        <v>8.1081081081081086E-2</v>
      </c>
      <c r="BD447" s="76">
        <v>6.7567567567567571E-2</v>
      </c>
      <c r="BE447" s="54">
        <v>9.1301222142343638E-2</v>
      </c>
      <c r="BF447" s="76">
        <v>9.6774193548387094E-2</v>
      </c>
      <c r="BG447" s="76">
        <v>0.10029498525073746</v>
      </c>
      <c r="BH447" s="76">
        <v>0.12158054711246201</v>
      </c>
      <c r="BI447" s="76">
        <v>6.363636363636363E-2</v>
      </c>
      <c r="BJ447" s="54">
        <v>9.5593726661687833E-2</v>
      </c>
      <c r="BK447" s="76">
        <v>0.10725552050473186</v>
      </c>
    </row>
    <row r="448" spans="1:63" ht="12.75" hidden="1" customHeight="1">
      <c r="A448" s="67" t="s">
        <v>135</v>
      </c>
      <c r="B448" s="119" t="s">
        <v>40</v>
      </c>
      <c r="C448" s="78" t="s">
        <v>48</v>
      </c>
      <c r="D448" s="78" t="s">
        <v>48</v>
      </c>
      <c r="E448" s="78" t="s">
        <v>48</v>
      </c>
      <c r="F448" s="78" t="s">
        <v>48</v>
      </c>
      <c r="G448" s="119" t="s">
        <v>40</v>
      </c>
      <c r="H448" s="78" t="s">
        <v>48</v>
      </c>
      <c r="I448" s="78" t="s">
        <v>48</v>
      </c>
      <c r="J448" s="78" t="s">
        <v>48</v>
      </c>
      <c r="K448" s="78" t="s">
        <v>48</v>
      </c>
      <c r="L448" s="36">
        <v>51</v>
      </c>
      <c r="M448" s="78" t="s">
        <v>48</v>
      </c>
      <c r="N448" s="78" t="s">
        <v>48</v>
      </c>
      <c r="O448" s="78" t="s">
        <v>48</v>
      </c>
      <c r="P448" s="78" t="s">
        <v>48</v>
      </c>
      <c r="Q448" s="36">
        <v>53</v>
      </c>
      <c r="R448" s="68">
        <v>20</v>
      </c>
      <c r="S448" s="68">
        <v>18</v>
      </c>
      <c r="T448" s="68">
        <v>20</v>
      </c>
      <c r="U448" s="68">
        <f>V448-R448-S448-T448</f>
        <v>18</v>
      </c>
      <c r="V448" s="36">
        <v>76</v>
      </c>
      <c r="W448" s="68">
        <v>28</v>
      </c>
      <c r="X448" s="68">
        <v>26</v>
      </c>
      <c r="Y448" s="68">
        <v>16</v>
      </c>
      <c r="Z448" s="68">
        <f>AA448-W448-X448-Y448</f>
        <v>11</v>
      </c>
      <c r="AA448" s="36">
        <v>81</v>
      </c>
      <c r="AB448" s="68">
        <v>7</v>
      </c>
      <c r="AC448" s="68">
        <v>6</v>
      </c>
      <c r="AD448" s="68">
        <v>6</v>
      </c>
      <c r="AE448" s="68">
        <f>AF448-AB448-AC448-AD448</f>
        <v>7</v>
      </c>
      <c r="AF448" s="36">
        <v>26</v>
      </c>
      <c r="AG448" s="68">
        <v>0</v>
      </c>
      <c r="AH448" s="74">
        <v>0</v>
      </c>
      <c r="AI448" s="74">
        <v>0</v>
      </c>
      <c r="AJ448" s="74">
        <v>0</v>
      </c>
      <c r="AK448" s="61"/>
      <c r="AL448" s="74"/>
      <c r="AM448" s="74"/>
      <c r="AN448" s="74"/>
      <c r="AO448" s="74"/>
      <c r="AP448" s="61"/>
      <c r="AQ448" s="74"/>
      <c r="AR448" s="74"/>
      <c r="AS448" s="74"/>
      <c r="AT448" s="74"/>
      <c r="AU448" s="61"/>
      <c r="AV448" s="74"/>
      <c r="AW448" s="74"/>
      <c r="AX448" s="74"/>
      <c r="AY448" s="74"/>
      <c r="AZ448" s="61"/>
      <c r="BA448" s="74"/>
      <c r="BB448" s="74"/>
      <c r="BC448" s="74"/>
      <c r="BD448" s="74"/>
      <c r="BE448" s="61"/>
      <c r="BF448" s="74"/>
      <c r="BG448" s="74"/>
      <c r="BH448" s="74"/>
      <c r="BI448" s="74"/>
      <c r="BJ448" s="61"/>
      <c r="BK448" s="74"/>
    </row>
    <row r="449" spans="1:63" ht="12.75" hidden="1" customHeight="1">
      <c r="A449" s="69" t="s">
        <v>7</v>
      </c>
      <c r="B449" s="23"/>
      <c r="C449" s="70"/>
      <c r="D449" s="70"/>
      <c r="E449" s="70"/>
      <c r="F449" s="70"/>
      <c r="G449" s="23"/>
      <c r="H449" s="70"/>
      <c r="I449" s="70"/>
      <c r="J449" s="70"/>
      <c r="K449" s="70"/>
      <c r="L449" s="23"/>
      <c r="M449" s="70"/>
      <c r="N449" s="70"/>
      <c r="O449" s="70"/>
      <c r="P449" s="70"/>
      <c r="Q449" s="23"/>
      <c r="R449" s="70"/>
      <c r="S449" s="70">
        <f>S448/R448-1</f>
        <v>-9.9999999999999978E-2</v>
      </c>
      <c r="T449" s="70">
        <f>T448/S448-1</f>
        <v>0.11111111111111116</v>
      </c>
      <c r="U449" s="70">
        <f>U448/T448-1</f>
        <v>-9.9999999999999978E-2</v>
      </c>
      <c r="V449" s="23"/>
      <c r="W449" s="70">
        <f>W448/U448-1</f>
        <v>0.55555555555555558</v>
      </c>
      <c r="X449" s="70">
        <f>X448/W448-1</f>
        <v>-7.1428571428571397E-2</v>
      </c>
      <c r="Y449" s="70">
        <f>Y448/X448-1</f>
        <v>-0.38461538461538458</v>
      </c>
      <c r="Z449" s="70">
        <f>Z448/Y448-1</f>
        <v>-0.3125</v>
      </c>
      <c r="AA449" s="23"/>
      <c r="AB449" s="70">
        <f>AB448/Z448-1</f>
        <v>-0.36363636363636365</v>
      </c>
      <c r="AC449" s="70">
        <f>AC448/AB448-1</f>
        <v>-0.1428571428571429</v>
      </c>
      <c r="AD449" s="70">
        <f>AD448/AC448-1</f>
        <v>0</v>
      </c>
      <c r="AE449" s="70">
        <f>AE448/AD448-1</f>
        <v>0.16666666666666674</v>
      </c>
      <c r="AF449" s="23"/>
      <c r="AG449" s="83" t="s">
        <v>39</v>
      </c>
      <c r="AH449" s="83" t="s">
        <v>39</v>
      </c>
      <c r="AI449" s="83" t="s">
        <v>39</v>
      </c>
      <c r="AJ449" s="83" t="s">
        <v>39</v>
      </c>
      <c r="AK449" s="23"/>
      <c r="AL449" s="83"/>
      <c r="AM449" s="83"/>
      <c r="AN449" s="83"/>
      <c r="AO449" s="83"/>
      <c r="AP449" s="23"/>
      <c r="AQ449" s="83"/>
      <c r="AR449" s="83"/>
      <c r="AS449" s="83"/>
      <c r="AT449" s="83"/>
      <c r="AU449" s="23"/>
      <c r="AV449" s="83"/>
      <c r="AW449" s="83"/>
      <c r="AX449" s="83"/>
      <c r="AY449" s="83"/>
      <c r="AZ449" s="23"/>
      <c r="BA449" s="83"/>
      <c r="BB449" s="83"/>
      <c r="BC449" s="83"/>
      <c r="BD449" s="83"/>
      <c r="BE449" s="23"/>
      <c r="BF449" s="83"/>
      <c r="BG449" s="83"/>
      <c r="BH449" s="83"/>
      <c r="BI449" s="83"/>
      <c r="BJ449" s="23"/>
      <c r="BK449" s="83"/>
    </row>
    <row r="450" spans="1:63" ht="11.65" hidden="1" customHeight="1">
      <c r="A450" s="69" t="s">
        <v>8</v>
      </c>
      <c r="B450" s="23"/>
      <c r="C450" s="71"/>
      <c r="D450" s="71"/>
      <c r="E450" s="71"/>
      <c r="F450" s="71"/>
      <c r="G450" s="23"/>
      <c r="H450" s="71"/>
      <c r="I450" s="71"/>
      <c r="J450" s="71"/>
      <c r="K450" s="71"/>
      <c r="L450" s="23"/>
      <c r="M450" s="71"/>
      <c r="N450" s="71"/>
      <c r="O450" s="71"/>
      <c r="P450" s="71"/>
      <c r="Q450" s="23">
        <f>Q448/L448-1</f>
        <v>3.9215686274509887E-2</v>
      </c>
      <c r="R450" s="71"/>
      <c r="S450" s="71"/>
      <c r="T450" s="71"/>
      <c r="U450" s="71"/>
      <c r="V450" s="23">
        <f t="shared" ref="V450" si="815">V448/Q448-1</f>
        <v>0.4339622641509433</v>
      </c>
      <c r="W450" s="71">
        <f t="shared" ref="W450" si="816">W448/R448-1</f>
        <v>0.39999999999999991</v>
      </c>
      <c r="X450" s="71">
        <f t="shared" ref="X450" si="817">X448/S448-1</f>
        <v>0.44444444444444442</v>
      </c>
      <c r="Y450" s="71">
        <f t="shared" ref="Y450" si="818">Y448/T448-1</f>
        <v>-0.19999999999999996</v>
      </c>
      <c r="Z450" s="71">
        <f t="shared" ref="Z450" si="819">Z448/U448-1</f>
        <v>-0.38888888888888884</v>
      </c>
      <c r="AA450" s="23">
        <f t="shared" ref="AA450" si="820">AA448/V448-1</f>
        <v>6.578947368421062E-2</v>
      </c>
      <c r="AB450" s="71">
        <f t="shared" ref="AB450" si="821">AB448/W448-1</f>
        <v>-0.75</v>
      </c>
      <c r="AC450" s="71">
        <f t="shared" ref="AC450" si="822">AC448/X448-1</f>
        <v>-0.76923076923076916</v>
      </c>
      <c r="AD450" s="71">
        <f t="shared" ref="AD450" si="823">AD448/Y448-1</f>
        <v>-0.625</v>
      </c>
      <c r="AE450" s="71">
        <f>AE448/Z448-1</f>
        <v>-0.36363636363636365</v>
      </c>
      <c r="AF450" s="23">
        <f>AF448/AA448-1</f>
        <v>-0.67901234567901236</v>
      </c>
      <c r="AG450" s="83" t="s">
        <v>39</v>
      </c>
      <c r="AH450" s="83" t="s">
        <v>39</v>
      </c>
      <c r="AI450" s="83" t="s">
        <v>39</v>
      </c>
      <c r="AJ450" s="83" t="s">
        <v>39</v>
      </c>
      <c r="AK450" s="90"/>
      <c r="AL450" s="83"/>
      <c r="AM450" s="83"/>
      <c r="AN450" s="83"/>
      <c r="AO450" s="83"/>
      <c r="AP450" s="90"/>
      <c r="AQ450" s="83"/>
      <c r="AR450" s="83"/>
      <c r="AS450" s="83"/>
      <c r="AT450" s="83"/>
      <c r="AU450" s="90"/>
      <c r="AV450" s="83"/>
      <c r="AW450" s="83"/>
      <c r="AX450" s="83"/>
      <c r="AY450" s="83"/>
      <c r="AZ450" s="90"/>
      <c r="BA450" s="83"/>
      <c r="BB450" s="83"/>
      <c r="BC450" s="83"/>
      <c r="BD450" s="83"/>
      <c r="BE450" s="90"/>
      <c r="BF450" s="83"/>
      <c r="BG450" s="83"/>
      <c r="BH450" s="83"/>
      <c r="BI450" s="83"/>
      <c r="BJ450" s="90"/>
      <c r="BK450" s="83"/>
    </row>
    <row r="451" spans="1:63" ht="6" customHeight="1">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53"/>
      <c r="AL451" s="53"/>
      <c r="AM451" s="53"/>
      <c r="AN451" s="53"/>
      <c r="AO451" s="53"/>
      <c r="AP451" s="53"/>
      <c r="AQ451" s="53"/>
      <c r="AR451" s="53"/>
      <c r="AS451" s="53"/>
      <c r="AT451" s="53"/>
      <c r="AU451" s="53"/>
      <c r="AV451" s="53"/>
      <c r="AW451" s="53"/>
      <c r="AX451" s="53"/>
      <c r="AY451" s="53"/>
      <c r="AZ451" s="53"/>
      <c r="BA451" s="53"/>
      <c r="BB451" s="53"/>
      <c r="BC451" s="53"/>
      <c r="BD451" s="53"/>
      <c r="BE451" s="53"/>
      <c r="BF451" s="53"/>
      <c r="BG451" s="53"/>
      <c r="BH451" s="53"/>
      <c r="BI451" s="53"/>
      <c r="BJ451" s="53"/>
      <c r="BK451" s="53"/>
    </row>
    <row r="452" spans="1:63" ht="20.25">
      <c r="A452" s="34" t="s">
        <v>278</v>
      </c>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row>
    <row r="453" spans="1:63">
      <c r="A453" s="21"/>
      <c r="B453" s="21"/>
      <c r="C453" s="20"/>
      <c r="D453" s="20"/>
      <c r="E453" s="20"/>
      <c r="F453" s="20"/>
      <c r="G453" s="21"/>
      <c r="H453" s="20"/>
      <c r="I453" s="20"/>
      <c r="J453" s="20"/>
      <c r="K453" s="20"/>
      <c r="L453" s="21"/>
      <c r="M453" s="20"/>
      <c r="N453" s="20"/>
      <c r="O453" s="20"/>
      <c r="P453" s="20"/>
      <c r="Q453" s="21"/>
      <c r="R453" s="20"/>
      <c r="S453" s="20"/>
      <c r="T453" s="20"/>
      <c r="U453" s="20"/>
      <c r="V453" s="21"/>
      <c r="W453" s="20"/>
      <c r="X453" s="20"/>
      <c r="Y453" s="20"/>
      <c r="Z453" s="20"/>
      <c r="AA453" s="21"/>
      <c r="AB453" s="20"/>
      <c r="AC453" s="20"/>
      <c r="AD453" s="20"/>
      <c r="AE453" s="20"/>
      <c r="AF453" s="21"/>
      <c r="AG453" s="20"/>
      <c r="AH453" s="20"/>
      <c r="AI453" s="20"/>
      <c r="AJ453" s="20"/>
      <c r="AK453" s="21"/>
      <c r="AL453" s="20"/>
      <c r="AM453" s="20"/>
      <c r="AN453" s="20"/>
      <c r="AO453" s="20"/>
      <c r="AP453" s="21"/>
      <c r="AQ453" s="20"/>
      <c r="AR453" s="20"/>
      <c r="AS453" s="20"/>
      <c r="AT453" s="20"/>
      <c r="AU453" s="21"/>
      <c r="AV453" s="20"/>
      <c r="AW453" s="20"/>
      <c r="AX453" s="20"/>
      <c r="AY453" s="20"/>
      <c r="AZ453" s="21"/>
      <c r="BA453" s="20"/>
      <c r="BB453" s="20"/>
      <c r="BC453" s="20"/>
      <c r="BD453" s="20"/>
      <c r="BE453" s="21"/>
      <c r="BF453" s="20"/>
      <c r="BG453" s="20"/>
      <c r="BH453" s="20"/>
      <c r="BI453" s="20"/>
      <c r="BJ453" s="21"/>
      <c r="BK453" s="20"/>
    </row>
    <row r="454" spans="1:63">
      <c r="A454" s="39" t="s">
        <v>71</v>
      </c>
      <c r="B454" s="40"/>
      <c r="C454" s="41"/>
      <c r="D454" s="41"/>
      <c r="E454" s="41"/>
      <c r="F454" s="41"/>
      <c r="G454" s="40"/>
      <c r="H454" s="41"/>
      <c r="I454" s="41"/>
      <c r="J454" s="41"/>
      <c r="K454" s="41"/>
      <c r="L454" s="40"/>
      <c r="M454" s="41"/>
      <c r="N454" s="41"/>
      <c r="O454" s="41"/>
      <c r="P454" s="41"/>
      <c r="Q454" s="40"/>
      <c r="R454" s="41"/>
      <c r="S454" s="41"/>
      <c r="T454" s="41"/>
      <c r="U454" s="41"/>
      <c r="V454" s="40"/>
      <c r="W454" s="41"/>
      <c r="X454" s="41"/>
      <c r="Y454" s="41"/>
      <c r="Z454" s="41"/>
      <c r="AA454" s="40"/>
      <c r="AB454" s="41"/>
      <c r="AC454" s="41"/>
      <c r="AD454" s="41"/>
      <c r="AE454" s="41"/>
      <c r="AF454" s="40"/>
      <c r="AG454" s="41"/>
      <c r="AH454" s="41"/>
      <c r="AI454" s="41"/>
      <c r="AJ454" s="41"/>
      <c r="AK454" s="40"/>
      <c r="AL454" s="41"/>
      <c r="AM454" s="41"/>
      <c r="AN454" s="41"/>
      <c r="AO454" s="41"/>
      <c r="AP454" s="40"/>
      <c r="AQ454" s="41"/>
      <c r="AR454" s="41"/>
      <c r="AS454" s="41"/>
      <c r="AT454" s="41"/>
      <c r="AU454" s="40"/>
      <c r="AV454" s="41"/>
      <c r="AW454" s="41"/>
      <c r="AX454" s="41"/>
      <c r="AY454" s="41"/>
      <c r="AZ454" s="40"/>
      <c r="BA454" s="41"/>
      <c r="BB454" s="41"/>
      <c r="BC454" s="41"/>
      <c r="BD454" s="41"/>
      <c r="BE454" s="40"/>
      <c r="BF454" s="41"/>
      <c r="BG454" s="41"/>
      <c r="BH454" s="41"/>
      <c r="BI454" s="41"/>
      <c r="BJ454" s="40"/>
      <c r="BK454" s="41"/>
    </row>
    <row r="455" spans="1:63" s="35" customFormat="1">
      <c r="A455" s="67" t="s">
        <v>16</v>
      </c>
      <c r="B455" s="36">
        <v>1414.8230000000001</v>
      </c>
      <c r="C455" s="68">
        <v>381.36200000000002</v>
      </c>
      <c r="D455" s="68">
        <v>379.875</v>
      </c>
      <c r="E455" s="68">
        <v>375.15</v>
      </c>
      <c r="F455" s="68">
        <f>G455-E455-D455-C455</f>
        <v>376.24499999999995</v>
      </c>
      <c r="G455" s="36">
        <v>1512.6320000000001</v>
      </c>
      <c r="H455" s="68">
        <v>383.78199999999998</v>
      </c>
      <c r="I455" s="68">
        <v>376.09800000000001</v>
      </c>
      <c r="J455" s="68">
        <v>380.45100000000002</v>
      </c>
      <c r="K455" s="68">
        <f>L455-J455-I455-H455</f>
        <v>390.10399999999998</v>
      </c>
      <c r="L455" s="36">
        <v>1530.4349999999999</v>
      </c>
      <c r="M455" s="68">
        <v>391.416</v>
      </c>
      <c r="N455" s="68">
        <v>395.947</v>
      </c>
      <c r="O455" s="68">
        <v>395.34699999999998</v>
      </c>
      <c r="P455" s="68">
        <f>Q455-O455-N455-M455</f>
        <v>400.22000000000008</v>
      </c>
      <c r="Q455" s="36">
        <v>1582.93</v>
      </c>
      <c r="R455" s="68">
        <v>405.55</v>
      </c>
      <c r="S455" s="68">
        <v>403.96</v>
      </c>
      <c r="T455" s="68">
        <v>405.46800000000002</v>
      </c>
      <c r="U455" s="68">
        <f>V455-T455-S455-R455</f>
        <v>403.83099999999985</v>
      </c>
      <c r="V455" s="36">
        <v>1618.809</v>
      </c>
      <c r="W455" s="68">
        <v>416.70400000000001</v>
      </c>
      <c r="X455" s="68">
        <v>408.73200000000003</v>
      </c>
      <c r="Y455" s="68">
        <v>402.72</v>
      </c>
      <c r="Z455" s="68">
        <f>AA455-Y455-X455-W455</f>
        <v>407.83799999999991</v>
      </c>
      <c r="AA455" s="36">
        <v>1635.9939999999999</v>
      </c>
      <c r="AB455" s="68">
        <v>403.541</v>
      </c>
      <c r="AC455" s="68">
        <v>403.84</v>
      </c>
      <c r="AD455" s="68">
        <v>410.26400000000001</v>
      </c>
      <c r="AE455" s="68">
        <f>AF455-AD455-AC455-AB455</f>
        <v>417.57099999999986</v>
      </c>
      <c r="AF455" s="36">
        <v>1635.2159999999999</v>
      </c>
      <c r="AG455" s="68">
        <v>424</v>
      </c>
      <c r="AH455" s="68">
        <v>428</v>
      </c>
      <c r="AI455" s="68">
        <v>432</v>
      </c>
      <c r="AJ455" s="68">
        <f>AK455-AI455-AH455-AG455</f>
        <v>440</v>
      </c>
      <c r="AK455" s="36">
        <v>1724</v>
      </c>
      <c r="AL455" s="68">
        <v>440</v>
      </c>
      <c r="AM455" s="68">
        <v>439</v>
      </c>
      <c r="AN455" s="68">
        <v>446</v>
      </c>
      <c r="AO455" s="68">
        <f>AP455-AN455-AM455-AL455</f>
        <v>449</v>
      </c>
      <c r="AP455" s="36">
        <v>1774</v>
      </c>
      <c r="AQ455" s="68">
        <v>439</v>
      </c>
      <c r="AR455" s="68">
        <v>434</v>
      </c>
      <c r="AS455" s="68">
        <v>434</v>
      </c>
      <c r="AT455" s="68">
        <f>AU455-AS455-AR455-AQ455</f>
        <v>438</v>
      </c>
      <c r="AU455" s="36">
        <v>1745</v>
      </c>
      <c r="AV455" s="68">
        <v>424</v>
      </c>
      <c r="AW455" s="68">
        <v>416</v>
      </c>
      <c r="AX455" s="68">
        <v>406</v>
      </c>
      <c r="AY455" s="68">
        <f>AZ455-AX455-AW455-AV455</f>
        <v>404</v>
      </c>
      <c r="AZ455" s="36">
        <v>1650</v>
      </c>
      <c r="BA455" s="68">
        <v>375</v>
      </c>
      <c r="BB455" s="68">
        <v>375</v>
      </c>
      <c r="BC455" s="68">
        <v>367</v>
      </c>
      <c r="BD455" s="68">
        <v>356</v>
      </c>
      <c r="BE455" s="36">
        <v>1473</v>
      </c>
      <c r="BF455" s="68">
        <v>343</v>
      </c>
      <c r="BG455" s="68">
        <v>337</v>
      </c>
      <c r="BH455" s="68">
        <v>334</v>
      </c>
      <c r="BI455" s="68">
        <v>331</v>
      </c>
      <c r="BJ455" s="36">
        <v>1345</v>
      </c>
      <c r="BK455" s="68">
        <v>338</v>
      </c>
    </row>
    <row r="456" spans="1:63">
      <c r="A456" s="69" t="s">
        <v>7</v>
      </c>
      <c r="B456" s="23"/>
      <c r="C456" s="70"/>
      <c r="D456" s="70">
        <f>D455/C455-1</f>
        <v>-3.8991824041200163E-3</v>
      </c>
      <c r="E456" s="70">
        <f>E455/D455-1</f>
        <v>-1.2438302073050411E-2</v>
      </c>
      <c r="F456" s="70">
        <f>F455/E455-1</f>
        <v>2.9188324670130772E-3</v>
      </c>
      <c r="G456" s="23"/>
      <c r="H456" s="70">
        <f>H455/F455-1</f>
        <v>2.003215989581264E-2</v>
      </c>
      <c r="I456" s="70">
        <f>I455/H455-1</f>
        <v>-2.0021783199837273E-2</v>
      </c>
      <c r="J456" s="70">
        <f>J455/I455-1</f>
        <v>1.1574111002983223E-2</v>
      </c>
      <c r="K456" s="70">
        <f>K455/J455-1</f>
        <v>2.5372518405786693E-2</v>
      </c>
      <c r="L456" s="23"/>
      <c r="M456" s="70">
        <f>M455/K455-1</f>
        <v>3.3632057092467527E-3</v>
      </c>
      <c r="N456" s="70">
        <f>N455/M455-1</f>
        <v>1.1575919226602949E-2</v>
      </c>
      <c r="O456" s="70">
        <f>O455/N455-1</f>
        <v>-1.5153543277257597E-3</v>
      </c>
      <c r="P456" s="70">
        <f>P455/O455-1</f>
        <v>1.2325880808505163E-2</v>
      </c>
      <c r="Q456" s="23"/>
      <c r="R456" s="70">
        <f>R455/P455-1</f>
        <v>1.3317675278596619E-2</v>
      </c>
      <c r="S456" s="70">
        <f>S455/R455-1</f>
        <v>-3.9206016520775266E-3</v>
      </c>
      <c r="T456" s="70">
        <f>T455/S455-1</f>
        <v>3.733042875532222E-3</v>
      </c>
      <c r="U456" s="70">
        <f>U455/T455-1</f>
        <v>-4.0373099726739303E-3</v>
      </c>
      <c r="V456" s="23"/>
      <c r="W456" s="70">
        <f>W455/U455-1</f>
        <v>3.1877196153837106E-2</v>
      </c>
      <c r="X456" s="70">
        <f>X455/W455-1</f>
        <v>-1.9131085854707353E-2</v>
      </c>
      <c r="Y456" s="70">
        <f>Y455/X455-1</f>
        <v>-1.4708904612313223E-2</v>
      </c>
      <c r="Z456" s="70">
        <v>1.270858164481492E-2</v>
      </c>
      <c r="AA456" s="23"/>
      <c r="AB456" s="70">
        <f>AB455/Z455-1</f>
        <v>-1.0536046175196767E-2</v>
      </c>
      <c r="AC456" s="70">
        <f>AC455/AB455-1</f>
        <v>7.4094082137876605E-4</v>
      </c>
      <c r="AD456" s="70">
        <f>AD455/AC455-1</f>
        <v>1.5907290015847897E-2</v>
      </c>
      <c r="AE456" s="70">
        <f>AE455/AD455-1</f>
        <v>1.7810483006063915E-2</v>
      </c>
      <c r="AF456" s="23"/>
      <c r="AG456" s="70">
        <f>AG455/AE455-1</f>
        <v>1.5396184121982071E-2</v>
      </c>
      <c r="AH456" s="70">
        <f>AH455/AG455-1</f>
        <v>9.4339622641510523E-3</v>
      </c>
      <c r="AI456" s="70">
        <f>AI455/AH455-1</f>
        <v>9.3457943925232545E-3</v>
      </c>
      <c r="AJ456" s="70">
        <f>AJ455/AI455-1</f>
        <v>1.8518518518518601E-2</v>
      </c>
      <c r="AK456" s="23"/>
      <c r="AL456" s="70">
        <f>AL455/AJ455-1</f>
        <v>0</v>
      </c>
      <c r="AM456" s="70">
        <f>AM455/AL455-1</f>
        <v>-2.2727272727273151E-3</v>
      </c>
      <c r="AN456" s="70">
        <f>AN455/AM455-1</f>
        <v>1.5945330296127658E-2</v>
      </c>
      <c r="AO456" s="70">
        <f>AO455/AN455-1</f>
        <v>6.7264573991030474E-3</v>
      </c>
      <c r="AP456" s="23"/>
      <c r="AQ456" s="70">
        <f>AQ455/AO455-1</f>
        <v>-2.2271714922049046E-2</v>
      </c>
      <c r="AR456" s="70">
        <f>AR455/AQ455-1</f>
        <v>-1.1389521640091105E-2</v>
      </c>
      <c r="AS456" s="70">
        <f>AS455/AR455-1</f>
        <v>0</v>
      </c>
      <c r="AT456" s="70">
        <f>AT455/AS455-1</f>
        <v>9.2165898617511122E-3</v>
      </c>
      <c r="AU456" s="23"/>
      <c r="AV456" s="70">
        <f>AV455/AT455-1</f>
        <v>-3.1963470319634757E-2</v>
      </c>
      <c r="AW456" s="70">
        <f>AW455/AV455-1</f>
        <v>-1.8867924528301883E-2</v>
      </c>
      <c r="AX456" s="70">
        <f>AX455/AW455-1</f>
        <v>-2.4038461538461564E-2</v>
      </c>
      <c r="AY456" s="70">
        <f>AY455/AX455-1</f>
        <v>-4.9261083743842304E-3</v>
      </c>
      <c r="AZ456" s="23"/>
      <c r="BA456" s="70">
        <v>-7.1782178217821735E-2</v>
      </c>
      <c r="BB456" s="70">
        <v>0</v>
      </c>
      <c r="BC456" s="70">
        <v>-2.1333333333333315E-2</v>
      </c>
      <c r="BD456" s="70">
        <v>-2.9972752043596729E-2</v>
      </c>
      <c r="BE456" s="23"/>
      <c r="BF456" s="70">
        <v>-3.6516853932584303E-2</v>
      </c>
      <c r="BG456" s="70">
        <v>-1.7492711370262426E-2</v>
      </c>
      <c r="BH456" s="70">
        <v>-8.9020771513352859E-3</v>
      </c>
      <c r="BI456" s="70">
        <v>-8.9820359281437279E-3</v>
      </c>
      <c r="BJ456" s="23"/>
      <c r="BK456" s="70">
        <v>2.114803625377637E-2</v>
      </c>
    </row>
    <row r="457" spans="1:63">
      <c r="A457" s="69" t="s">
        <v>8</v>
      </c>
      <c r="B457" s="23"/>
      <c r="C457" s="71"/>
      <c r="D457" s="71"/>
      <c r="E457" s="71"/>
      <c r="F457" s="71"/>
      <c r="G457" s="23">
        <f t="shared" ref="G457:N457" si="824">G455/B455-1</f>
        <v>6.9131615756882647E-2</v>
      </c>
      <c r="H457" s="71">
        <f t="shared" si="824"/>
        <v>6.345676811008838E-3</v>
      </c>
      <c r="I457" s="71">
        <f t="shared" si="824"/>
        <v>-9.9427443237907198E-3</v>
      </c>
      <c r="J457" s="71">
        <f t="shared" si="824"/>
        <v>1.4130347860855874E-2</v>
      </c>
      <c r="K457" s="71">
        <f t="shared" si="824"/>
        <v>3.6835040997222679E-2</v>
      </c>
      <c r="L457" s="23">
        <f t="shared" si="824"/>
        <v>1.1769551351551444E-2</v>
      </c>
      <c r="M457" s="71">
        <f t="shared" si="824"/>
        <v>1.9891500904159143E-2</v>
      </c>
      <c r="N457" s="71">
        <f t="shared" si="824"/>
        <v>5.277613813420956E-2</v>
      </c>
      <c r="O457" s="71">
        <f t="shared" ref="O457:Y457" si="825">O455/J455-1</f>
        <v>3.9153530940909453E-2</v>
      </c>
      <c r="P457" s="71">
        <f t="shared" si="825"/>
        <v>2.5931546459405874E-2</v>
      </c>
      <c r="Q457" s="23">
        <f t="shared" si="825"/>
        <v>3.4300705355013505E-2</v>
      </c>
      <c r="R457" s="71">
        <f t="shared" si="825"/>
        <v>3.6109918858707957E-2</v>
      </c>
      <c r="S457" s="71">
        <f t="shared" si="825"/>
        <v>2.0237557046776322E-2</v>
      </c>
      <c r="T457" s="71">
        <f t="shared" si="825"/>
        <v>2.5600295436667198E-2</v>
      </c>
      <c r="U457" s="71">
        <f t="shared" si="825"/>
        <v>9.022537604316927E-3</v>
      </c>
      <c r="V457" s="23">
        <f t="shared" si="825"/>
        <v>2.2666194967560171E-2</v>
      </c>
      <c r="W457" s="71">
        <f t="shared" si="825"/>
        <v>2.7503390457403576E-2</v>
      </c>
      <c r="X457" s="71">
        <f t="shared" si="825"/>
        <v>1.1813050797108815E-2</v>
      </c>
      <c r="Y457" s="71">
        <f t="shared" si="825"/>
        <v>-6.777353576607803E-3</v>
      </c>
      <c r="Z457" s="71">
        <v>9.9224675668783124E-3</v>
      </c>
      <c r="AA457" s="23">
        <v>1.0615829291781731E-2</v>
      </c>
      <c r="AB457" s="71">
        <f t="shared" ref="AB457:AI457" si="826">AB455/W455-1</f>
        <v>-3.1588369682076567E-2</v>
      </c>
      <c r="AC457" s="71">
        <f t="shared" si="826"/>
        <v>-1.1968722781676155E-2</v>
      </c>
      <c r="AD457" s="71">
        <f t="shared" si="826"/>
        <v>1.873261819626526E-2</v>
      </c>
      <c r="AE457" s="71">
        <f t="shared" si="826"/>
        <v>2.3864867913239829E-2</v>
      </c>
      <c r="AF457" s="23">
        <f t="shared" si="826"/>
        <v>-4.7555186632719515E-4</v>
      </c>
      <c r="AG457" s="71">
        <f t="shared" si="826"/>
        <v>5.0698689848119427E-2</v>
      </c>
      <c r="AH457" s="71">
        <f t="shared" si="826"/>
        <v>5.9825673534072976E-2</v>
      </c>
      <c r="AI457" s="71">
        <f t="shared" si="826"/>
        <v>5.2980519860382547E-2</v>
      </c>
      <c r="AJ457" s="71">
        <f t="shared" ref="AJ457:AS457" si="827">AJ455/AE455-1</f>
        <v>5.3713021258660509E-2</v>
      </c>
      <c r="AK457" s="23">
        <f t="shared" si="827"/>
        <v>5.4294967759610957E-2</v>
      </c>
      <c r="AL457" s="71">
        <f t="shared" si="827"/>
        <v>3.7735849056603765E-2</v>
      </c>
      <c r="AM457" s="71">
        <f t="shared" si="827"/>
        <v>2.5700934579439227E-2</v>
      </c>
      <c r="AN457" s="71">
        <f t="shared" si="827"/>
        <v>3.240740740740744E-2</v>
      </c>
      <c r="AO457" s="71">
        <f t="shared" si="827"/>
        <v>2.0454545454545503E-2</v>
      </c>
      <c r="AP457" s="23">
        <f t="shared" si="827"/>
        <v>2.9002320185614883E-2</v>
      </c>
      <c r="AQ457" s="71">
        <f t="shared" si="827"/>
        <v>-2.2727272727273151E-3</v>
      </c>
      <c r="AR457" s="71">
        <f t="shared" si="827"/>
        <v>-1.1389521640091105E-2</v>
      </c>
      <c r="AS457" s="71">
        <f t="shared" si="827"/>
        <v>-2.6905829596412523E-2</v>
      </c>
      <c r="AT457" s="71">
        <f t="shared" ref="AT457" si="828">AT455/AO455-1</f>
        <v>-2.4498886414253906E-2</v>
      </c>
      <c r="AU457" s="23">
        <f t="shared" ref="AU457:AX457" si="829">AU455/AP455-1</f>
        <v>-1.6347237880496079E-2</v>
      </c>
      <c r="AV457" s="71">
        <f t="shared" si="829"/>
        <v>-3.4168564920273314E-2</v>
      </c>
      <c r="AW457" s="71">
        <f t="shared" si="829"/>
        <v>-4.1474654377880227E-2</v>
      </c>
      <c r="AX457" s="71">
        <f t="shared" si="829"/>
        <v>-6.4516129032258118E-2</v>
      </c>
      <c r="AY457" s="71">
        <f t="shared" ref="AY457" si="830">AY455/AT455-1</f>
        <v>-7.7625570776255759E-2</v>
      </c>
      <c r="AZ457" s="23">
        <v>-5.4441260744985676E-2</v>
      </c>
      <c r="BA457" s="71">
        <v>-0.11556603773584906</v>
      </c>
      <c r="BB457" s="71">
        <v>-9.8557692307692291E-2</v>
      </c>
      <c r="BC457" s="71">
        <v>-9.605911330049266E-2</v>
      </c>
      <c r="BD457" s="71">
        <v>-0.11881188118811881</v>
      </c>
      <c r="BE457" s="23">
        <v>-0.1072727272727273</v>
      </c>
      <c r="BF457" s="71">
        <v>-8.5333333333333372E-2</v>
      </c>
      <c r="BG457" s="71">
        <v>-0.10133333333333339</v>
      </c>
      <c r="BH457" s="71">
        <v>-8.9918256130790186E-2</v>
      </c>
      <c r="BI457" s="71">
        <v>-7.02247191011236E-2</v>
      </c>
      <c r="BJ457" s="23">
        <v>-8.6897488119484056E-2</v>
      </c>
      <c r="BK457" s="71">
        <v>-1.4577259475218707E-2</v>
      </c>
    </row>
    <row r="458" spans="1:63" s="35" customFormat="1">
      <c r="A458" s="67" t="s">
        <v>261</v>
      </c>
      <c r="B458" s="36">
        <v>273.202</v>
      </c>
      <c r="C458" s="68">
        <v>64.709999999999994</v>
      </c>
      <c r="D458" s="68">
        <v>60.594999999999999</v>
      </c>
      <c r="E458" s="68">
        <v>58.738</v>
      </c>
      <c r="F458" s="68">
        <f>G458-E458-D458-C458</f>
        <v>65.837000000000003</v>
      </c>
      <c r="G458" s="36">
        <v>249.88</v>
      </c>
      <c r="H458" s="68">
        <v>56.545000000000002</v>
      </c>
      <c r="I458" s="68">
        <v>55.561999999999998</v>
      </c>
      <c r="J458" s="68">
        <v>58.927999999999997</v>
      </c>
      <c r="K458" s="68">
        <f>L458-J458-I458-H458</f>
        <v>63.168000000000006</v>
      </c>
      <c r="L458" s="36">
        <v>234.203</v>
      </c>
      <c r="M458" s="68">
        <v>63.753999999999998</v>
      </c>
      <c r="N458" s="68">
        <v>68.176000000000002</v>
      </c>
      <c r="O458" s="68">
        <v>67.78</v>
      </c>
      <c r="P458" s="68">
        <f>Q458-O458-N458-M458</f>
        <v>85.02200000000002</v>
      </c>
      <c r="Q458" s="36">
        <v>284.73200000000003</v>
      </c>
      <c r="R458" s="68">
        <v>68.593000000000004</v>
      </c>
      <c r="S458" s="68">
        <v>71.131</v>
      </c>
      <c r="T458" s="68">
        <v>74.073999999999998</v>
      </c>
      <c r="U458" s="68">
        <f>V458-T458-S458-R458</f>
        <v>62.594999999999956</v>
      </c>
      <c r="V458" s="36">
        <v>276.39299999999997</v>
      </c>
      <c r="W458" s="68">
        <v>65.841999999999999</v>
      </c>
      <c r="X458" s="68">
        <v>53.802</v>
      </c>
      <c r="Y458" s="68">
        <v>64.432000000000002</v>
      </c>
      <c r="Z458" s="68">
        <f>AA458-Y458-X458-W458</f>
        <v>64.173999999999992</v>
      </c>
      <c r="AA458" s="36">
        <v>248.25</v>
      </c>
      <c r="AB458" s="68">
        <v>61.953000000000003</v>
      </c>
      <c r="AC458" s="68">
        <v>64.105000000000004</v>
      </c>
      <c r="AD458" s="68">
        <v>66.006</v>
      </c>
      <c r="AE458" s="68">
        <f>AF458-AD458-AC458-AB458</f>
        <v>70.671000000000021</v>
      </c>
      <c r="AF458" s="36">
        <v>262.73500000000001</v>
      </c>
      <c r="AG458" s="68">
        <v>70</v>
      </c>
      <c r="AH458" s="68">
        <v>74</v>
      </c>
      <c r="AI458" s="68">
        <v>75</v>
      </c>
      <c r="AJ458" s="68">
        <f>AK458-AI458-AH458-AG458</f>
        <v>78</v>
      </c>
      <c r="AK458" s="36">
        <v>297</v>
      </c>
      <c r="AL458" s="68">
        <v>76</v>
      </c>
      <c r="AM458" s="68">
        <v>80</v>
      </c>
      <c r="AN458" s="68">
        <v>78</v>
      </c>
      <c r="AO458" s="68">
        <f>AP458-AN458-AM458-AL458</f>
        <v>88</v>
      </c>
      <c r="AP458" s="36">
        <v>322</v>
      </c>
      <c r="AQ458" s="68">
        <v>76</v>
      </c>
      <c r="AR458" s="68">
        <v>74</v>
      </c>
      <c r="AS458" s="68">
        <v>75</v>
      </c>
      <c r="AT458" s="68">
        <f>AU458-AS458-AR458-AQ458</f>
        <v>71</v>
      </c>
      <c r="AU458" s="36">
        <v>296</v>
      </c>
      <c r="AV458" s="143">
        <v>70</v>
      </c>
      <c r="AW458" s="143">
        <v>71</v>
      </c>
      <c r="AX458" s="143">
        <v>72</v>
      </c>
      <c r="AY458" s="143">
        <f>AZ458-AX458-AW458-AV458</f>
        <v>72</v>
      </c>
      <c r="AZ458" s="36">
        <v>285</v>
      </c>
      <c r="BA458" s="143">
        <v>79</v>
      </c>
      <c r="BB458" s="68">
        <v>79</v>
      </c>
      <c r="BC458" s="68">
        <v>81</v>
      </c>
      <c r="BD458" s="68">
        <v>84</v>
      </c>
      <c r="BE458" s="36">
        <v>323</v>
      </c>
      <c r="BF458" s="68">
        <v>55</v>
      </c>
      <c r="BG458" s="68">
        <v>68</v>
      </c>
      <c r="BH458" s="68">
        <v>50</v>
      </c>
      <c r="BI458" s="68">
        <v>46</v>
      </c>
      <c r="BJ458" s="36">
        <v>219</v>
      </c>
      <c r="BK458" s="68">
        <v>44</v>
      </c>
    </row>
    <row r="459" spans="1:63">
      <c r="A459" s="80" t="s">
        <v>7</v>
      </c>
      <c r="B459" s="23"/>
      <c r="C459" s="70"/>
      <c r="D459" s="70">
        <f>D458/C458-1</f>
        <v>-6.3591407819502344E-2</v>
      </c>
      <c r="E459" s="70">
        <f>E458/D458-1</f>
        <v>-3.0646092911956413E-2</v>
      </c>
      <c r="F459" s="70">
        <f>F458/E458-1</f>
        <v>0.12085872859137181</v>
      </c>
      <c r="G459" s="23"/>
      <c r="H459" s="70">
        <f>H458/F458-1</f>
        <v>-0.14113644303355255</v>
      </c>
      <c r="I459" s="70">
        <f>I458/H458-1</f>
        <v>-1.7384384118843466E-2</v>
      </c>
      <c r="J459" s="70">
        <f>J458/I458-1</f>
        <v>6.0580972607177541E-2</v>
      </c>
      <c r="K459" s="70">
        <f>K458/J458-1</f>
        <v>7.1952212869943244E-2</v>
      </c>
      <c r="L459" s="23"/>
      <c r="M459" s="70">
        <f>M458/K458-1</f>
        <v>9.276849037487267E-3</v>
      </c>
      <c r="N459" s="70">
        <f>N458/M458-1</f>
        <v>6.9360353860149937E-2</v>
      </c>
      <c r="O459" s="70">
        <f>O458/N458-1</f>
        <v>-5.8084956582962199E-3</v>
      </c>
      <c r="P459" s="70">
        <f>P458/O458-1</f>
        <v>0.25438182354676919</v>
      </c>
      <c r="Q459" s="23"/>
      <c r="R459" s="70">
        <f>R458/P458-1</f>
        <v>-0.19323233986497623</v>
      </c>
      <c r="S459" s="70">
        <f>S458/R458-1</f>
        <v>3.7000860146078951E-2</v>
      </c>
      <c r="T459" s="70">
        <f>T458/S458-1</f>
        <v>4.1374365607119268E-2</v>
      </c>
      <c r="U459" s="70">
        <f>U458/T458-1</f>
        <v>-0.15496665496665551</v>
      </c>
      <c r="V459" s="23"/>
      <c r="W459" s="70">
        <f>W458/U458-1</f>
        <v>5.187315280773297E-2</v>
      </c>
      <c r="X459" s="70">
        <f>X458/W458-1</f>
        <v>-0.18286200297682331</v>
      </c>
      <c r="Y459" s="70">
        <f>Y458/X458-1</f>
        <v>0.19757629827887446</v>
      </c>
      <c r="Z459" s="70">
        <v>-4.0042215048424756E-3</v>
      </c>
      <c r="AA459" s="23"/>
      <c r="AB459" s="70">
        <f>AB458/Z458-1</f>
        <v>-3.4609031695078896E-2</v>
      </c>
      <c r="AC459" s="70">
        <f>AC458/AB458-1</f>
        <v>3.4736009555630831E-2</v>
      </c>
      <c r="AD459" s="70">
        <f>AD458/AC458-1</f>
        <v>2.9654473130021008E-2</v>
      </c>
      <c r="AE459" s="70">
        <f>AE458/AD458-1</f>
        <v>7.0675393146077958E-2</v>
      </c>
      <c r="AF459" s="23"/>
      <c r="AG459" s="70">
        <f>AG458/AE458-1</f>
        <v>-9.4947007966496022E-3</v>
      </c>
      <c r="AH459" s="70">
        <f>AH458/AG458-1</f>
        <v>5.7142857142857162E-2</v>
      </c>
      <c r="AI459" s="70">
        <f>AI458/AH458-1</f>
        <v>1.3513513513513598E-2</v>
      </c>
      <c r="AJ459" s="70">
        <f>AJ458/AI458-1</f>
        <v>4.0000000000000036E-2</v>
      </c>
      <c r="AK459" s="23"/>
      <c r="AL459" s="70">
        <f>AL458/AJ458-1</f>
        <v>-2.5641025641025661E-2</v>
      </c>
      <c r="AM459" s="70">
        <f>AM458/AL458-1</f>
        <v>5.2631578947368363E-2</v>
      </c>
      <c r="AN459" s="70">
        <f>AN458/AM458-1</f>
        <v>-2.5000000000000022E-2</v>
      </c>
      <c r="AO459" s="70">
        <f>AO458/AN458-1</f>
        <v>0.12820512820512819</v>
      </c>
      <c r="AP459" s="23"/>
      <c r="AQ459" s="70">
        <f>AQ458/AO458-1</f>
        <v>-0.13636363636363635</v>
      </c>
      <c r="AR459" s="70">
        <f>AR458/AQ458-1</f>
        <v>-2.6315789473684181E-2</v>
      </c>
      <c r="AS459" s="70">
        <f>AS458/AR458-1</f>
        <v>1.3513513513513598E-2</v>
      </c>
      <c r="AT459" s="70">
        <f>AT458/AS458-1</f>
        <v>-5.3333333333333344E-2</v>
      </c>
      <c r="AU459" s="23"/>
      <c r="AV459" s="70">
        <f>AV458/AT458-1</f>
        <v>-1.4084507042253502E-2</v>
      </c>
      <c r="AW459" s="70">
        <f>AW458/AV458-1</f>
        <v>1.4285714285714235E-2</v>
      </c>
      <c r="AX459" s="70">
        <f>AX458/AW458-1</f>
        <v>1.4084507042253502E-2</v>
      </c>
      <c r="AY459" s="70">
        <f>AY458/AX458-1</f>
        <v>0</v>
      </c>
      <c r="AZ459" s="23"/>
      <c r="BA459" s="161">
        <v>9.7222222222222321E-2</v>
      </c>
      <c r="BB459" s="70">
        <v>0</v>
      </c>
      <c r="BC459" s="70">
        <v>2.5316455696202445E-2</v>
      </c>
      <c r="BD459" s="70">
        <v>3.7037037037036979E-2</v>
      </c>
      <c r="BE459" s="23"/>
      <c r="BF459" s="70">
        <v>-0.34523809523809523</v>
      </c>
      <c r="BG459" s="70">
        <v>0.23636363636363633</v>
      </c>
      <c r="BH459" s="70">
        <v>-0.26470588235294112</v>
      </c>
      <c r="BI459" s="70">
        <v>-7.999999999999996E-2</v>
      </c>
      <c r="BJ459" s="23"/>
      <c r="BK459" s="70">
        <v>-4.3478260869565188E-2</v>
      </c>
    </row>
    <row r="460" spans="1:63">
      <c r="A460" s="80" t="s">
        <v>8</v>
      </c>
      <c r="B460" s="23"/>
      <c r="C460" s="71"/>
      <c r="D460" s="71"/>
      <c r="E460" s="71"/>
      <c r="F460" s="71"/>
      <c r="G460" s="23">
        <f t="shared" ref="G460:N460" si="831">G458/B458-1</f>
        <v>-8.5365407281059458E-2</v>
      </c>
      <c r="H460" s="71">
        <f t="shared" si="831"/>
        <v>-0.12617833410601131</v>
      </c>
      <c r="I460" s="71">
        <f t="shared" si="831"/>
        <v>-8.3059658387655722E-2</v>
      </c>
      <c r="J460" s="71">
        <f t="shared" si="831"/>
        <v>3.2347032585378077E-3</v>
      </c>
      <c r="K460" s="71">
        <f t="shared" si="831"/>
        <v>-4.0539514254902209E-2</v>
      </c>
      <c r="L460" s="23">
        <f t="shared" si="831"/>
        <v>-6.2738114294861536E-2</v>
      </c>
      <c r="M460" s="71">
        <f t="shared" si="831"/>
        <v>0.12749137854805892</v>
      </c>
      <c r="N460" s="71">
        <f t="shared" si="831"/>
        <v>0.22702566502285748</v>
      </c>
      <c r="O460" s="71">
        <f t="shared" ref="O460:Y460" si="832">O458/J458-1</f>
        <v>0.15021721422753198</v>
      </c>
      <c r="P460" s="71">
        <f t="shared" si="832"/>
        <v>0.34596631205673778</v>
      </c>
      <c r="Q460" s="23">
        <f t="shared" si="832"/>
        <v>0.21574873080191126</v>
      </c>
      <c r="R460" s="71">
        <f t="shared" si="832"/>
        <v>7.5901119929729921E-2</v>
      </c>
      <c r="S460" s="71">
        <f t="shared" si="832"/>
        <v>4.3343698662285712E-2</v>
      </c>
      <c r="T460" s="71">
        <f t="shared" si="832"/>
        <v>9.2859250516376557E-2</v>
      </c>
      <c r="U460" s="71">
        <f t="shared" si="832"/>
        <v>-0.26377878666698096</v>
      </c>
      <c r="V460" s="23">
        <f t="shared" si="832"/>
        <v>-2.928718935700958E-2</v>
      </c>
      <c r="W460" s="71">
        <f t="shared" si="832"/>
        <v>-4.0106133278906109E-2</v>
      </c>
      <c r="X460" s="71">
        <f t="shared" si="832"/>
        <v>-0.24362092477260266</v>
      </c>
      <c r="Y460" s="71">
        <f t="shared" si="832"/>
        <v>-0.13016713016713011</v>
      </c>
      <c r="Z460" s="71">
        <v>2.5225657001358481E-2</v>
      </c>
      <c r="AA460" s="23">
        <v>-0.10182240505367346</v>
      </c>
      <c r="AB460" s="71">
        <f t="shared" ref="AB460:AI460" si="833">AB458/W458-1</f>
        <v>-5.9065641991433937E-2</v>
      </c>
      <c r="AC460" s="71">
        <f t="shared" si="833"/>
        <v>0.19149845730642001</v>
      </c>
      <c r="AD460" s="71">
        <f t="shared" si="833"/>
        <v>2.4428855227216273E-2</v>
      </c>
      <c r="AE460" s="71">
        <f t="shared" si="833"/>
        <v>0.10124037772306593</v>
      </c>
      <c r="AF460" s="23">
        <f t="shared" si="833"/>
        <v>5.8348439073514724E-2</v>
      </c>
      <c r="AG460" s="71">
        <f t="shared" si="833"/>
        <v>0.12988878666085579</v>
      </c>
      <c r="AH460" s="71">
        <f t="shared" si="833"/>
        <v>0.15435613446689023</v>
      </c>
      <c r="AI460" s="71">
        <f t="shared" si="833"/>
        <v>0.13626033996909381</v>
      </c>
      <c r="AJ460" s="71">
        <f t="shared" ref="AJ460:AS460" si="834">AJ458/AE458-1</f>
        <v>0.10370590482659048</v>
      </c>
      <c r="AK460" s="23">
        <f t="shared" si="834"/>
        <v>0.13041657944316509</v>
      </c>
      <c r="AL460" s="71">
        <f t="shared" si="834"/>
        <v>8.5714285714285632E-2</v>
      </c>
      <c r="AM460" s="71">
        <f t="shared" si="834"/>
        <v>8.1081081081081141E-2</v>
      </c>
      <c r="AN460" s="71">
        <f t="shared" si="834"/>
        <v>4.0000000000000036E-2</v>
      </c>
      <c r="AO460" s="71">
        <f t="shared" si="834"/>
        <v>0.12820512820512819</v>
      </c>
      <c r="AP460" s="23">
        <f t="shared" si="834"/>
        <v>8.4175084175084125E-2</v>
      </c>
      <c r="AQ460" s="71">
        <f t="shared" si="834"/>
        <v>0</v>
      </c>
      <c r="AR460" s="71">
        <f t="shared" si="834"/>
        <v>-7.4999999999999956E-2</v>
      </c>
      <c r="AS460" s="71">
        <f t="shared" si="834"/>
        <v>-3.8461538461538436E-2</v>
      </c>
      <c r="AT460" s="71">
        <f t="shared" ref="AT460" si="835">AT458/AO458-1</f>
        <v>-0.19318181818181823</v>
      </c>
      <c r="AU460" s="23">
        <f t="shared" ref="AU460:AX460" si="836">AU458/AP458-1</f>
        <v>-8.0745341614906874E-2</v>
      </c>
      <c r="AV460" s="71">
        <f t="shared" si="836"/>
        <v>-7.8947368421052655E-2</v>
      </c>
      <c r="AW460" s="71">
        <f t="shared" si="836"/>
        <v>-4.0540540540540571E-2</v>
      </c>
      <c r="AX460" s="71">
        <f t="shared" si="836"/>
        <v>-4.0000000000000036E-2</v>
      </c>
      <c r="AY460" s="71">
        <f t="shared" ref="AY460" si="837">AY458/AT458-1</f>
        <v>1.4084507042253502E-2</v>
      </c>
      <c r="AZ460" s="23">
        <v>-3.7162162162162171E-2</v>
      </c>
      <c r="BA460" s="160">
        <v>0.12857142857142856</v>
      </c>
      <c r="BB460" s="71">
        <v>0.11267605633802824</v>
      </c>
      <c r="BC460" s="71">
        <v>0.125</v>
      </c>
      <c r="BD460" s="71">
        <v>0.16666666666666674</v>
      </c>
      <c r="BE460" s="23">
        <v>0.1333333333333333</v>
      </c>
      <c r="BF460" s="71">
        <v>-0.30379746835443033</v>
      </c>
      <c r="BG460" s="71">
        <v>-0.13924050632911389</v>
      </c>
      <c r="BH460" s="71">
        <v>-0.38271604938271608</v>
      </c>
      <c r="BI460" s="71">
        <v>-0.45238095238095233</v>
      </c>
      <c r="BJ460" s="23">
        <v>-0.32198142414860687</v>
      </c>
      <c r="BK460" s="71">
        <v>-0.19999999999999996</v>
      </c>
    </row>
    <row r="461" spans="1:63">
      <c r="A461" s="67" t="s">
        <v>91</v>
      </c>
      <c r="B461" s="119" t="s">
        <v>40</v>
      </c>
      <c r="C461" s="78" t="s">
        <v>48</v>
      </c>
      <c r="D461" s="78" t="s">
        <v>48</v>
      </c>
      <c r="E461" s="78" t="s">
        <v>48</v>
      </c>
      <c r="F461" s="78" t="s">
        <v>48</v>
      </c>
      <c r="G461" s="119" t="s">
        <v>40</v>
      </c>
      <c r="H461" s="78" t="s">
        <v>48</v>
      </c>
      <c r="I461" s="78" t="s">
        <v>48</v>
      </c>
      <c r="J461" s="78" t="s">
        <v>48</v>
      </c>
      <c r="K461" s="78" t="s">
        <v>48</v>
      </c>
      <c r="L461" s="119" t="s">
        <v>40</v>
      </c>
      <c r="M461" s="78" t="s">
        <v>48</v>
      </c>
      <c r="N461" s="78" t="s">
        <v>48</v>
      </c>
      <c r="O461" s="78" t="s">
        <v>48</v>
      </c>
      <c r="P461" s="78" t="s">
        <v>48</v>
      </c>
      <c r="Q461" s="119" t="s">
        <v>40</v>
      </c>
      <c r="R461" s="78" t="s">
        <v>48</v>
      </c>
      <c r="S461" s="78" t="s">
        <v>48</v>
      </c>
      <c r="T461" s="78" t="s">
        <v>48</v>
      </c>
      <c r="U461" s="78" t="s">
        <v>48</v>
      </c>
      <c r="V461" s="119" t="s">
        <v>40</v>
      </c>
      <c r="W461" s="78" t="s">
        <v>48</v>
      </c>
      <c r="X461" s="78" t="s">
        <v>48</v>
      </c>
      <c r="Y461" s="78" t="s">
        <v>48</v>
      </c>
      <c r="Z461" s="78" t="s">
        <v>48</v>
      </c>
      <c r="AA461" s="119" t="s">
        <v>40</v>
      </c>
      <c r="AB461" s="78" t="s">
        <v>48</v>
      </c>
      <c r="AC461" s="78" t="s">
        <v>48</v>
      </c>
      <c r="AD461" s="78" t="s">
        <v>48</v>
      </c>
      <c r="AE461" s="78" t="s">
        <v>48</v>
      </c>
      <c r="AF461" s="119" t="s">
        <v>40</v>
      </c>
      <c r="AG461" s="68">
        <v>62</v>
      </c>
      <c r="AH461" s="68">
        <v>68</v>
      </c>
      <c r="AI461" s="68">
        <v>67</v>
      </c>
      <c r="AJ461" s="68">
        <f>AK461-AI461-AH461-AG461</f>
        <v>70</v>
      </c>
      <c r="AK461" s="36">
        <v>267</v>
      </c>
      <c r="AL461" s="68">
        <v>69</v>
      </c>
      <c r="AM461" s="68">
        <v>62</v>
      </c>
      <c r="AN461" s="68">
        <v>69</v>
      </c>
      <c r="AO461" s="68">
        <f>AP461-AN461-AM461-AL461</f>
        <v>70</v>
      </c>
      <c r="AP461" s="36">
        <v>270</v>
      </c>
      <c r="AQ461" s="68">
        <v>61</v>
      </c>
      <c r="AR461" s="68">
        <v>60</v>
      </c>
      <c r="AS461" s="68">
        <v>64</v>
      </c>
      <c r="AT461" s="68">
        <f>AU461-AS461-AR461-AQ461</f>
        <v>64</v>
      </c>
      <c r="AU461" s="36">
        <v>249</v>
      </c>
      <c r="AV461" s="68">
        <v>59</v>
      </c>
      <c r="AW461" s="68">
        <v>59</v>
      </c>
      <c r="AX461" s="68">
        <v>62</v>
      </c>
      <c r="AY461" s="68">
        <f>AZ461-AX461-AW461-AV461</f>
        <v>65</v>
      </c>
      <c r="AZ461" s="36">
        <v>245</v>
      </c>
      <c r="BA461" s="143">
        <v>58</v>
      </c>
      <c r="BB461" s="68">
        <v>60</v>
      </c>
      <c r="BC461" s="68">
        <v>56</v>
      </c>
      <c r="BD461" s="68">
        <v>59</v>
      </c>
      <c r="BE461" s="36">
        <v>233</v>
      </c>
      <c r="BF461" s="68">
        <v>56</v>
      </c>
      <c r="BG461" s="68">
        <v>54</v>
      </c>
      <c r="BH461" s="68">
        <v>52</v>
      </c>
      <c r="BI461" s="68">
        <v>54</v>
      </c>
      <c r="BJ461" s="36">
        <v>216</v>
      </c>
      <c r="BK461" s="68">
        <v>54</v>
      </c>
    </row>
    <row r="462" spans="1:63">
      <c r="A462" s="69" t="s">
        <v>7</v>
      </c>
      <c r="B462" s="23"/>
      <c r="C462" s="71"/>
      <c r="D462" s="71"/>
      <c r="E462" s="71"/>
      <c r="F462" s="71"/>
      <c r="G462" s="23"/>
      <c r="H462" s="71"/>
      <c r="I462" s="71"/>
      <c r="J462" s="71"/>
      <c r="K462" s="71"/>
      <c r="L462" s="23"/>
      <c r="M462" s="71"/>
      <c r="N462" s="71"/>
      <c r="O462" s="71"/>
      <c r="P462" s="71"/>
      <c r="Q462" s="23"/>
      <c r="R462" s="71"/>
      <c r="S462" s="71"/>
      <c r="T462" s="71"/>
      <c r="U462" s="71"/>
      <c r="V462" s="23"/>
      <c r="W462" s="71"/>
      <c r="X462" s="71"/>
      <c r="Y462" s="71"/>
      <c r="Z462" s="71"/>
      <c r="AA462" s="23"/>
      <c r="AB462" s="70"/>
      <c r="AC462" s="70"/>
      <c r="AD462" s="70"/>
      <c r="AE462" s="70"/>
      <c r="AF462" s="23"/>
      <c r="AG462" s="70"/>
      <c r="AH462" s="70">
        <f>AH461/AG461-1</f>
        <v>9.6774193548387011E-2</v>
      </c>
      <c r="AI462" s="70">
        <f>AI461/AH461-1</f>
        <v>-1.4705882352941124E-2</v>
      </c>
      <c r="AJ462" s="70">
        <f>AJ461/AI461-1</f>
        <v>4.4776119402984982E-2</v>
      </c>
      <c r="AK462" s="23"/>
      <c r="AL462" s="70">
        <f>AL461/AJ461-1</f>
        <v>-1.4285714285714235E-2</v>
      </c>
      <c r="AM462" s="70">
        <f>AM461/AL461-1</f>
        <v>-0.10144927536231885</v>
      </c>
      <c r="AN462" s="70">
        <f>AN461/AM461-1</f>
        <v>0.11290322580645151</v>
      </c>
      <c r="AO462" s="70">
        <f>AO461/AN461-1</f>
        <v>1.449275362318847E-2</v>
      </c>
      <c r="AP462" s="23"/>
      <c r="AQ462" s="70">
        <f>AQ461/AO461-1</f>
        <v>-0.12857142857142856</v>
      </c>
      <c r="AR462" s="70">
        <f>AR461/AQ461-1</f>
        <v>-1.6393442622950838E-2</v>
      </c>
      <c r="AS462" s="70">
        <f>AS461/AR461-1</f>
        <v>6.6666666666666652E-2</v>
      </c>
      <c r="AT462" s="70">
        <f>AT461/AS461-1</f>
        <v>0</v>
      </c>
      <c r="AU462" s="23"/>
      <c r="AV462" s="70">
        <f>AV461/AT461-1</f>
        <v>-7.8125E-2</v>
      </c>
      <c r="AW462" s="70">
        <f>AW461/AV461-1</f>
        <v>0</v>
      </c>
      <c r="AX462" s="70">
        <f>AX461/AW461-1</f>
        <v>5.0847457627118731E-2</v>
      </c>
      <c r="AY462" s="70">
        <f>AY461/AX461-1</f>
        <v>4.8387096774193505E-2</v>
      </c>
      <c r="AZ462" s="23"/>
      <c r="BA462" s="161">
        <v>-0.10769230769230764</v>
      </c>
      <c r="BB462" s="70">
        <v>3.4482758620689724E-2</v>
      </c>
      <c r="BC462" s="70">
        <v>-6.6666666666666652E-2</v>
      </c>
      <c r="BD462" s="70">
        <v>5.3571428571428603E-2</v>
      </c>
      <c r="BE462" s="23"/>
      <c r="BF462" s="70">
        <v>-5.084745762711862E-2</v>
      </c>
      <c r="BG462" s="70">
        <v>-3.5714285714285698E-2</v>
      </c>
      <c r="BH462" s="70">
        <v>-3.703703703703709E-2</v>
      </c>
      <c r="BI462" s="70">
        <v>3.8461538461538547E-2</v>
      </c>
      <c r="BJ462" s="23"/>
      <c r="BK462" s="70">
        <v>0</v>
      </c>
    </row>
    <row r="463" spans="1:63">
      <c r="A463" s="69" t="s">
        <v>8</v>
      </c>
      <c r="B463" s="23"/>
      <c r="C463" s="71"/>
      <c r="D463" s="71"/>
      <c r="E463" s="71"/>
      <c r="F463" s="71"/>
      <c r="G463" s="23"/>
      <c r="H463" s="71"/>
      <c r="I463" s="71"/>
      <c r="J463" s="71"/>
      <c r="K463" s="71"/>
      <c r="L463" s="23"/>
      <c r="M463" s="71"/>
      <c r="N463" s="71"/>
      <c r="O463" s="71"/>
      <c r="P463" s="71"/>
      <c r="Q463" s="23"/>
      <c r="R463" s="71"/>
      <c r="S463" s="71"/>
      <c r="T463" s="71"/>
      <c r="U463" s="71"/>
      <c r="V463" s="23"/>
      <c r="W463" s="71"/>
      <c r="X463" s="71"/>
      <c r="Y463" s="71"/>
      <c r="Z463" s="71"/>
      <c r="AA463" s="23"/>
      <c r="AB463" s="71"/>
      <c r="AC463" s="71"/>
      <c r="AD463" s="71"/>
      <c r="AE463" s="71"/>
      <c r="AF463" s="23"/>
      <c r="AG463" s="71"/>
      <c r="AH463" s="71"/>
      <c r="AI463" s="71"/>
      <c r="AJ463" s="71"/>
      <c r="AK463" s="23"/>
      <c r="AL463" s="71">
        <f t="shared" ref="AL463" si="838">AL461/AG461-1</f>
        <v>0.11290322580645151</v>
      </c>
      <c r="AM463" s="71">
        <f t="shared" ref="AM463" si="839">AM461/AH461-1</f>
        <v>-8.8235294117647078E-2</v>
      </c>
      <c r="AN463" s="71">
        <f t="shared" ref="AN463" si="840">AN461/AI461-1</f>
        <v>2.9850746268656803E-2</v>
      </c>
      <c r="AO463" s="71">
        <f t="shared" ref="AO463" si="841">AO461/AJ461-1</f>
        <v>0</v>
      </c>
      <c r="AP463" s="23">
        <f t="shared" ref="AP463" si="842">AP461/AK461-1</f>
        <v>1.1235955056179803E-2</v>
      </c>
      <c r="AQ463" s="71">
        <f t="shared" ref="AQ463" si="843">AQ461/AL461-1</f>
        <v>-0.11594202898550721</v>
      </c>
      <c r="AR463" s="71">
        <f t="shared" ref="AR463" si="844">AR461/AM461-1</f>
        <v>-3.2258064516129004E-2</v>
      </c>
      <c r="AS463" s="71">
        <f t="shared" ref="AS463" si="845">AS461/AN461-1</f>
        <v>-7.2463768115942018E-2</v>
      </c>
      <c r="AT463" s="71">
        <f t="shared" ref="AT463" si="846">AT461/AO461-1</f>
        <v>-8.5714285714285743E-2</v>
      </c>
      <c r="AU463" s="23">
        <f t="shared" ref="AU463" si="847">AU461/AP461-1</f>
        <v>-7.7777777777777724E-2</v>
      </c>
      <c r="AV463" s="71">
        <f t="shared" ref="AV463" si="848">AV461/AQ461-1</f>
        <v>-3.2786885245901676E-2</v>
      </c>
      <c r="AW463" s="71">
        <f t="shared" ref="AW463" si="849">AW461/AR461-1</f>
        <v>-1.6666666666666718E-2</v>
      </c>
      <c r="AX463" s="71">
        <f t="shared" ref="AX463" si="850">AX461/AS461-1</f>
        <v>-3.125E-2</v>
      </c>
      <c r="AY463" s="71">
        <f t="shared" ref="AY463" si="851">AY461/AT461-1</f>
        <v>1.5625E-2</v>
      </c>
      <c r="AZ463" s="23">
        <v>-1.6064257028112428E-2</v>
      </c>
      <c r="BA463" s="160">
        <v>-1.6949152542372836E-2</v>
      </c>
      <c r="BB463" s="71">
        <v>1.6949152542372836E-2</v>
      </c>
      <c r="BC463" s="71">
        <v>-9.6774193548387122E-2</v>
      </c>
      <c r="BD463" s="71">
        <v>-9.2307692307692313E-2</v>
      </c>
      <c r="BE463" s="23">
        <v>-4.8979591836734726E-2</v>
      </c>
      <c r="BF463" s="71">
        <v>-3.4482758620689613E-2</v>
      </c>
      <c r="BG463" s="71">
        <v>-9.9999999999999978E-2</v>
      </c>
      <c r="BH463" s="71">
        <v>-7.1428571428571397E-2</v>
      </c>
      <c r="BI463" s="71">
        <v>-8.4745762711864403E-2</v>
      </c>
      <c r="BJ463" s="23">
        <v>-7.2961373390557971E-2</v>
      </c>
      <c r="BK463" s="71">
        <v>-3.5714285714285698E-2</v>
      </c>
    </row>
    <row r="464" spans="1:63" ht="12.75" customHeight="1">
      <c r="A464" s="67" t="s">
        <v>283</v>
      </c>
      <c r="B464" s="119" t="s">
        <v>40</v>
      </c>
      <c r="C464" s="78" t="s">
        <v>48</v>
      </c>
      <c r="D464" s="78" t="s">
        <v>48</v>
      </c>
      <c r="E464" s="78" t="s">
        <v>48</v>
      </c>
      <c r="F464" s="78" t="s">
        <v>48</v>
      </c>
      <c r="G464" s="119" t="s">
        <v>40</v>
      </c>
      <c r="H464" s="78" t="s">
        <v>48</v>
      </c>
      <c r="I464" s="78" t="s">
        <v>48</v>
      </c>
      <c r="J464" s="78" t="s">
        <v>48</v>
      </c>
      <c r="K464" s="78" t="s">
        <v>48</v>
      </c>
      <c r="L464" s="119" t="s">
        <v>40</v>
      </c>
      <c r="M464" s="78" t="s">
        <v>48</v>
      </c>
      <c r="N464" s="78" t="s">
        <v>48</v>
      </c>
      <c r="O464" s="78" t="s">
        <v>48</v>
      </c>
      <c r="P464" s="78" t="s">
        <v>48</v>
      </c>
      <c r="Q464" s="119" t="s">
        <v>40</v>
      </c>
      <c r="R464" s="78" t="s">
        <v>48</v>
      </c>
      <c r="S464" s="78" t="s">
        <v>48</v>
      </c>
      <c r="T464" s="78" t="s">
        <v>48</v>
      </c>
      <c r="U464" s="78" t="s">
        <v>48</v>
      </c>
      <c r="V464" s="119" t="s">
        <v>40</v>
      </c>
      <c r="W464" s="78" t="s">
        <v>48</v>
      </c>
      <c r="X464" s="78" t="s">
        <v>48</v>
      </c>
      <c r="Y464" s="78" t="s">
        <v>48</v>
      </c>
      <c r="Z464" s="78" t="s">
        <v>48</v>
      </c>
      <c r="AA464" s="119" t="s">
        <v>40</v>
      </c>
      <c r="AB464" s="78" t="s">
        <v>48</v>
      </c>
      <c r="AC464" s="78" t="s">
        <v>48</v>
      </c>
      <c r="AD464" s="78" t="s">
        <v>48</v>
      </c>
      <c r="AE464" s="78" t="s">
        <v>48</v>
      </c>
      <c r="AF464" s="119" t="s">
        <v>40</v>
      </c>
      <c r="AG464" s="68">
        <v>219</v>
      </c>
      <c r="AH464" s="68">
        <v>218</v>
      </c>
      <c r="AI464" s="68">
        <v>214</v>
      </c>
      <c r="AJ464" s="68">
        <f>AK464-AI464-AH464-AG464</f>
        <v>236</v>
      </c>
      <c r="AK464" s="36">
        <v>887</v>
      </c>
      <c r="AL464" s="68">
        <v>236</v>
      </c>
      <c r="AM464" s="68">
        <v>227</v>
      </c>
      <c r="AN464" s="68">
        <v>225</v>
      </c>
      <c r="AO464" s="68">
        <f>AP464-AN464-AM464-AL464</f>
        <v>244</v>
      </c>
      <c r="AP464" s="36">
        <v>932</v>
      </c>
      <c r="AQ464" s="68">
        <v>245</v>
      </c>
      <c r="AR464" s="68">
        <v>223</v>
      </c>
      <c r="AS464" s="68">
        <v>233</v>
      </c>
      <c r="AT464" s="68">
        <f>AU464-AS464-AR464-AQ464</f>
        <v>246</v>
      </c>
      <c r="AU464" s="36">
        <v>947</v>
      </c>
      <c r="AV464" s="68">
        <v>243</v>
      </c>
      <c r="AW464" s="68">
        <v>237</v>
      </c>
      <c r="AX464" s="68">
        <v>237</v>
      </c>
      <c r="AY464" s="68">
        <f>AZ464-AX464-AW464-AV464</f>
        <v>240</v>
      </c>
      <c r="AZ464" s="36">
        <v>957</v>
      </c>
      <c r="BA464" s="143">
        <v>237</v>
      </c>
      <c r="BB464" s="68">
        <v>246</v>
      </c>
      <c r="BC464" s="68">
        <v>229</v>
      </c>
      <c r="BD464" s="68">
        <v>244</v>
      </c>
      <c r="BE464" s="36">
        <v>956</v>
      </c>
      <c r="BF464" s="68">
        <v>234</v>
      </c>
      <c r="BG464" s="68">
        <v>248</v>
      </c>
      <c r="BH464" s="68">
        <v>211</v>
      </c>
      <c r="BI464" s="68">
        <v>230</v>
      </c>
      <c r="BJ464" s="36">
        <v>923</v>
      </c>
      <c r="BK464" s="68">
        <v>231</v>
      </c>
    </row>
    <row r="465" spans="1:63" ht="12.75" customHeight="1">
      <c r="A465" s="69" t="s">
        <v>7</v>
      </c>
      <c r="B465" s="23"/>
      <c r="C465" s="71"/>
      <c r="D465" s="71"/>
      <c r="E465" s="71"/>
      <c r="F465" s="71"/>
      <c r="G465" s="23"/>
      <c r="H465" s="71"/>
      <c r="I465" s="71"/>
      <c r="J465" s="71"/>
      <c r="K465" s="71"/>
      <c r="L465" s="23"/>
      <c r="M465" s="71"/>
      <c r="N465" s="71"/>
      <c r="O465" s="71"/>
      <c r="P465" s="71"/>
      <c r="Q465" s="23"/>
      <c r="R465" s="71"/>
      <c r="S465" s="71"/>
      <c r="T465" s="71"/>
      <c r="U465" s="71"/>
      <c r="V465" s="23"/>
      <c r="W465" s="71"/>
      <c r="X465" s="71"/>
      <c r="Y465" s="71"/>
      <c r="Z465" s="71"/>
      <c r="AA465" s="23"/>
      <c r="AB465" s="71"/>
      <c r="AC465" s="71"/>
      <c r="AD465" s="71"/>
      <c r="AE465" s="71"/>
      <c r="AF465" s="23"/>
      <c r="AG465" s="70"/>
      <c r="AH465" s="70">
        <f>AH464/AG464-1</f>
        <v>-4.5662100456621557E-3</v>
      </c>
      <c r="AI465" s="70">
        <f>AI464/AH464-1</f>
        <v>-1.834862385321101E-2</v>
      </c>
      <c r="AJ465" s="70">
        <f>AJ464/AI464-1</f>
        <v>0.10280373831775691</v>
      </c>
      <c r="AK465" s="23"/>
      <c r="AL465" s="70">
        <f>AL464/AJ464-1</f>
        <v>0</v>
      </c>
      <c r="AM465" s="70">
        <f>AM464/AL464-1</f>
        <v>-3.8135593220338992E-2</v>
      </c>
      <c r="AN465" s="70">
        <f>AN464/AM464-1</f>
        <v>-8.8105726872246271E-3</v>
      </c>
      <c r="AO465" s="70">
        <f>AO464/AN464-1</f>
        <v>8.4444444444444544E-2</v>
      </c>
      <c r="AP465" s="23"/>
      <c r="AQ465" s="70">
        <f>AQ464/AO464-1</f>
        <v>4.098360655737654E-3</v>
      </c>
      <c r="AR465" s="70">
        <f>AR464/AQ464-1</f>
        <v>-8.9795918367346905E-2</v>
      </c>
      <c r="AS465" s="70">
        <f>AS464/AR464-1</f>
        <v>4.4843049327354167E-2</v>
      </c>
      <c r="AT465" s="70">
        <f>AT464/AS464-1</f>
        <v>5.579399141630903E-2</v>
      </c>
      <c r="AU465" s="23"/>
      <c r="AV465" s="70">
        <f>AV464/AT464-1</f>
        <v>-1.2195121951219523E-2</v>
      </c>
      <c r="AW465" s="70">
        <f>AW464/AV464-1</f>
        <v>-2.4691358024691357E-2</v>
      </c>
      <c r="AX465" s="70">
        <f>AX464/AW464-1</f>
        <v>0</v>
      </c>
      <c r="AY465" s="70">
        <f>AY464/AX464-1</f>
        <v>1.2658227848101333E-2</v>
      </c>
      <c r="AZ465" s="23"/>
      <c r="BA465" s="161">
        <v>-1.2499999999999956E-2</v>
      </c>
      <c r="BB465" s="70">
        <v>3.7974683544303778E-2</v>
      </c>
      <c r="BC465" s="70">
        <v>-6.9105691056910556E-2</v>
      </c>
      <c r="BD465" s="70">
        <v>6.5502183406113579E-2</v>
      </c>
      <c r="BE465" s="23"/>
      <c r="BF465" s="70">
        <v>-4.0983606557377095E-2</v>
      </c>
      <c r="BG465" s="70">
        <v>5.9829059829059839E-2</v>
      </c>
      <c r="BH465" s="70">
        <v>-0.14919354838709675</v>
      </c>
      <c r="BI465" s="70">
        <v>9.004739336492884E-2</v>
      </c>
      <c r="BJ465" s="23"/>
      <c r="BK465" s="70">
        <v>4.3478260869564966E-3</v>
      </c>
    </row>
    <row r="466" spans="1:63" ht="12.75" customHeight="1">
      <c r="A466" s="69" t="s">
        <v>8</v>
      </c>
      <c r="B466" s="23"/>
      <c r="C466" s="71"/>
      <c r="D466" s="71"/>
      <c r="E466" s="71"/>
      <c r="F466" s="71"/>
      <c r="G466" s="23"/>
      <c r="H466" s="71"/>
      <c r="I466" s="71"/>
      <c r="J466" s="71"/>
      <c r="K466" s="71"/>
      <c r="L466" s="23"/>
      <c r="M466" s="71"/>
      <c r="N466" s="71"/>
      <c r="O466" s="71"/>
      <c r="P466" s="71"/>
      <c r="Q466" s="23"/>
      <c r="R466" s="71"/>
      <c r="S466" s="71"/>
      <c r="T466" s="71"/>
      <c r="U466" s="71"/>
      <c r="V466" s="23"/>
      <c r="W466" s="71"/>
      <c r="X466" s="71"/>
      <c r="Y466" s="71"/>
      <c r="Z466" s="71"/>
      <c r="AA466" s="23"/>
      <c r="AB466" s="71"/>
      <c r="AC466" s="71"/>
      <c r="AD466" s="71"/>
      <c r="AE466" s="71"/>
      <c r="AF466" s="23"/>
      <c r="AG466" s="71"/>
      <c r="AH466" s="71"/>
      <c r="AI466" s="71"/>
      <c r="AJ466" s="71"/>
      <c r="AK466" s="23"/>
      <c r="AL466" s="71">
        <f t="shared" ref="AL466" si="852">AL464/AG464-1</f>
        <v>7.7625570776255648E-2</v>
      </c>
      <c r="AM466" s="71">
        <f t="shared" ref="AM466" si="853">AM464/AH464-1</f>
        <v>4.1284403669724856E-2</v>
      </c>
      <c r="AN466" s="71">
        <f t="shared" ref="AN466" si="854">AN464/AI464-1</f>
        <v>5.1401869158878455E-2</v>
      </c>
      <c r="AO466" s="71">
        <f t="shared" ref="AO466" si="855">AO464/AJ464-1</f>
        <v>3.3898305084745672E-2</v>
      </c>
      <c r="AP466" s="23">
        <f t="shared" ref="AP466" si="856">AP464/AK464-1</f>
        <v>5.0732807215332576E-2</v>
      </c>
      <c r="AQ466" s="71">
        <f t="shared" ref="AQ466" si="857">AQ464/AL464-1</f>
        <v>3.8135593220338881E-2</v>
      </c>
      <c r="AR466" s="71">
        <f t="shared" ref="AR466" si="858">AR464/AM464-1</f>
        <v>-1.7621145374449365E-2</v>
      </c>
      <c r="AS466" s="71">
        <f t="shared" ref="AS466" si="859">AS464/AN464-1</f>
        <v>3.5555555555555562E-2</v>
      </c>
      <c r="AT466" s="71">
        <f t="shared" ref="AT466" si="860">AT464/AO464-1</f>
        <v>8.1967213114753079E-3</v>
      </c>
      <c r="AU466" s="23">
        <f t="shared" ref="AU466" si="861">AU464/AP464-1</f>
        <v>1.6094420600858417E-2</v>
      </c>
      <c r="AV466" s="71">
        <f t="shared" ref="AV466" si="862">AV464/AQ464-1</f>
        <v>-8.1632653061224358E-3</v>
      </c>
      <c r="AW466" s="71">
        <f t="shared" ref="AW466" si="863">AW464/AR464-1</f>
        <v>6.2780269058295923E-2</v>
      </c>
      <c r="AX466" s="71">
        <f t="shared" ref="AX466" si="864">AX464/AS464-1</f>
        <v>1.716738197424883E-2</v>
      </c>
      <c r="AY466" s="71">
        <f t="shared" ref="AY466" si="865">AY464/AT464-1</f>
        <v>-2.4390243902439046E-2</v>
      </c>
      <c r="AZ466" s="23">
        <v>1.0559662090813049E-2</v>
      </c>
      <c r="BA466" s="160">
        <v>-2.4691358024691357E-2</v>
      </c>
      <c r="BB466" s="71">
        <v>3.7974683544303778E-2</v>
      </c>
      <c r="BC466" s="71">
        <v>-3.3755274261603407E-2</v>
      </c>
      <c r="BD466" s="71">
        <v>1.6666666666666607E-2</v>
      </c>
      <c r="BE466" s="23">
        <v>-1.0449320794148065E-3</v>
      </c>
      <c r="BF466" s="71">
        <v>-1.2658227848101222E-2</v>
      </c>
      <c r="BG466" s="71">
        <v>8.1300813008129413E-3</v>
      </c>
      <c r="BH466" s="71">
        <v>-7.8602620087336206E-2</v>
      </c>
      <c r="BI466" s="71">
        <v>-5.7377049180327822E-2</v>
      </c>
      <c r="BJ466" s="23">
        <v>-3.451882845188281E-2</v>
      </c>
      <c r="BK466" s="71">
        <v>-1.2820512820512775E-2</v>
      </c>
    </row>
    <row r="467" spans="1:63" hidden="1">
      <c r="A467" s="67" t="s">
        <v>78</v>
      </c>
      <c r="B467" s="36">
        <v>1117.098</v>
      </c>
      <c r="C467" s="78" t="s">
        <v>48</v>
      </c>
      <c r="D467" s="78" t="s">
        <v>48</v>
      </c>
      <c r="E467" s="78" t="s">
        <v>48</v>
      </c>
      <c r="F467" s="78" t="s">
        <v>48</v>
      </c>
      <c r="G467" s="36">
        <v>1091.171</v>
      </c>
      <c r="H467" s="68">
        <v>258.45400000000001</v>
      </c>
      <c r="I467" s="68">
        <v>255.61500000000001</v>
      </c>
      <c r="J467" s="68">
        <v>261.83600000000001</v>
      </c>
      <c r="K467" s="68">
        <f>L467-J467-I467-H467</f>
        <v>266.19600000000008</v>
      </c>
      <c r="L467" s="36">
        <v>1042.1010000000001</v>
      </c>
      <c r="M467" s="68">
        <v>261.553</v>
      </c>
      <c r="N467" s="68">
        <v>322.11099999999999</v>
      </c>
      <c r="O467" s="68">
        <v>258.524</v>
      </c>
      <c r="P467" s="68">
        <f>Q467-O467-N467-M467</f>
        <v>286.65999999999997</v>
      </c>
      <c r="Q467" s="36">
        <v>1128.848</v>
      </c>
      <c r="R467" s="68">
        <v>271.899</v>
      </c>
      <c r="S467" s="68">
        <v>268.99700000000001</v>
      </c>
      <c r="T467" s="68">
        <v>267.77999999999997</v>
      </c>
      <c r="U467" s="68">
        <f>V467-T467-S467-R467</f>
        <v>219.4919999999999</v>
      </c>
      <c r="V467" s="36">
        <v>1028.1679999999999</v>
      </c>
      <c r="W467" s="68">
        <v>272.23700000000002</v>
      </c>
      <c r="X467" s="68">
        <v>255.75399999999999</v>
      </c>
      <c r="Y467" s="68">
        <v>272.64100000000002</v>
      </c>
      <c r="Z467" s="68">
        <f>AA467-Y467-X467-W467</f>
        <v>266.45499999999987</v>
      </c>
      <c r="AA467" s="36">
        <v>1067.087</v>
      </c>
      <c r="AB467" s="68">
        <f>258.114+18.5</f>
        <v>276.61399999999998</v>
      </c>
      <c r="AC467" s="68">
        <f>260.881+19</f>
        <v>279.88099999999997</v>
      </c>
      <c r="AD467" s="68">
        <f>257.775+19.7</f>
        <v>277.47499999999997</v>
      </c>
      <c r="AE467" s="68">
        <f>AF467-AD467-AC467-AB467</f>
        <v>296.03000000000014</v>
      </c>
      <c r="AF467" s="36">
        <v>1130</v>
      </c>
      <c r="AG467" s="68">
        <v>292</v>
      </c>
      <c r="AH467" s="143">
        <v>297</v>
      </c>
      <c r="AI467" s="68">
        <v>300</v>
      </c>
      <c r="AJ467" s="68">
        <f>AK467-AI467-AH467-AG467</f>
        <v>314</v>
      </c>
      <c r="AK467" s="36">
        <v>1203</v>
      </c>
      <c r="AL467" s="68">
        <v>320</v>
      </c>
      <c r="AM467" s="68">
        <v>313</v>
      </c>
      <c r="AN467" s="68">
        <v>314</v>
      </c>
      <c r="AO467" s="68">
        <f>AP467-AN467-AM467-AL467</f>
        <v>342</v>
      </c>
      <c r="AP467" s="36">
        <v>1289</v>
      </c>
      <c r="AQ467" s="68">
        <v>321</v>
      </c>
      <c r="AR467" s="68">
        <v>312</v>
      </c>
      <c r="AS467" s="68">
        <v>314</v>
      </c>
      <c r="AT467" s="68">
        <f>AU467-AS467-AR467-AQ467</f>
        <v>314</v>
      </c>
      <c r="AU467" s="36">
        <v>1261</v>
      </c>
      <c r="AV467" s="68">
        <v>315</v>
      </c>
      <c r="AW467" s="68">
        <v>313</v>
      </c>
      <c r="AX467" s="68">
        <v>312</v>
      </c>
      <c r="AY467" s="68">
        <f>AZ467-AX467-AW467-AV467</f>
        <v>320</v>
      </c>
      <c r="AZ467" s="36">
        <v>1260</v>
      </c>
      <c r="BA467" s="143">
        <v>318</v>
      </c>
      <c r="BB467" s="68">
        <v>331</v>
      </c>
      <c r="BC467" s="68">
        <v>310</v>
      </c>
      <c r="BD467" s="68"/>
      <c r="BE467" s="36"/>
      <c r="BF467" s="68"/>
      <c r="BG467" s="68"/>
      <c r="BH467" s="68"/>
      <c r="BI467" s="68"/>
      <c r="BJ467" s="36"/>
      <c r="BK467" s="68"/>
    </row>
    <row r="468" spans="1:63" hidden="1">
      <c r="A468" s="69" t="s">
        <v>7</v>
      </c>
      <c r="B468" s="23"/>
      <c r="C468" s="70"/>
      <c r="D468" s="70"/>
      <c r="E468" s="70"/>
      <c r="F468" s="70"/>
      <c r="G468" s="23"/>
      <c r="H468" s="70"/>
      <c r="I468" s="70">
        <f>I467/H467-1</f>
        <v>-1.0984546573084564E-2</v>
      </c>
      <c r="J468" s="70">
        <f>J467/I467-1</f>
        <v>2.4337382391487195E-2</v>
      </c>
      <c r="K468" s="70">
        <f>K467/J467-1</f>
        <v>1.6651644540857991E-2</v>
      </c>
      <c r="L468" s="23"/>
      <c r="M468" s="70">
        <f>M467/K467-1</f>
        <v>-1.7442035192114402E-2</v>
      </c>
      <c r="N468" s="70">
        <f>N467/M467-1</f>
        <v>0.23153242363880366</v>
      </c>
      <c r="O468" s="70">
        <f>O467/N467-1</f>
        <v>-0.19740710500417558</v>
      </c>
      <c r="P468" s="70">
        <f>P467/O467-1</f>
        <v>0.10883322244743221</v>
      </c>
      <c r="Q468" s="23"/>
      <c r="R468" s="70">
        <f>R467/P467-1</f>
        <v>-5.1493057978092449E-2</v>
      </c>
      <c r="S468" s="70">
        <f>S467/R467-1</f>
        <v>-1.0673080813096036E-2</v>
      </c>
      <c r="T468" s="70">
        <f>T467/S467-1</f>
        <v>-4.5242140246918305E-3</v>
      </c>
      <c r="U468" s="70">
        <f>U467/T467-1</f>
        <v>-0.18032713421465407</v>
      </c>
      <c r="V468" s="23"/>
      <c r="W468" s="70">
        <f>W467/U467-1</f>
        <v>0.24030488582727449</v>
      </c>
      <c r="X468" s="70">
        <f>X467/W467-1</f>
        <v>-6.054650910787307E-2</v>
      </c>
      <c r="Y468" s="70">
        <f>Y467/X467-1</f>
        <v>6.6028292812624789E-2</v>
      </c>
      <c r="Z468" s="70">
        <f>Z467/Y467-1</f>
        <v>-2.2689177343100053E-2</v>
      </c>
      <c r="AA468" s="23"/>
      <c r="AB468" s="70">
        <f>AB467/Z467-1</f>
        <v>3.8126512919630429E-2</v>
      </c>
      <c r="AC468" s="70">
        <f>AC467/AB467-1</f>
        <v>1.1810682033447373E-2</v>
      </c>
      <c r="AD468" s="70">
        <f>AD467/AC467-1</f>
        <v>-8.5965106598876462E-3</v>
      </c>
      <c r="AE468" s="70">
        <f>AE467/AD467-1</f>
        <v>6.6870889269304179E-2</v>
      </c>
      <c r="AF468" s="23"/>
      <c r="AG468" s="70">
        <f>AG467/AE467-1</f>
        <v>-1.36134851197518E-2</v>
      </c>
      <c r="AH468" s="161">
        <f>AH467/AG467-1</f>
        <v>1.7123287671232834E-2</v>
      </c>
      <c r="AI468" s="70">
        <f>AI467/AH467-1</f>
        <v>1.0101010101010166E-2</v>
      </c>
      <c r="AJ468" s="70">
        <f>AJ467/AI467-1</f>
        <v>4.6666666666666634E-2</v>
      </c>
      <c r="AK468" s="23"/>
      <c r="AL468" s="70">
        <f>AL467/AJ467-1</f>
        <v>1.9108280254777066E-2</v>
      </c>
      <c r="AM468" s="70">
        <f>AM467/AL467-1</f>
        <v>-2.1874999999999978E-2</v>
      </c>
      <c r="AN468" s="70">
        <f>AN467/AM467-1</f>
        <v>3.1948881789136685E-3</v>
      </c>
      <c r="AO468" s="70">
        <f>AO467/AN467-1</f>
        <v>8.9171974522292974E-2</v>
      </c>
      <c r="AP468" s="23"/>
      <c r="AQ468" s="70">
        <f>AQ467/AO467-1</f>
        <v>-6.1403508771929793E-2</v>
      </c>
      <c r="AR468" s="70">
        <f>AR467/AQ467-1</f>
        <v>-2.8037383177570097E-2</v>
      </c>
      <c r="AS468" s="70">
        <f>AS467/AR467-1</f>
        <v>6.4102564102563875E-3</v>
      </c>
      <c r="AT468" s="70">
        <f>AT467/AS467-1</f>
        <v>0</v>
      </c>
      <c r="AU468" s="23"/>
      <c r="AV468" s="70">
        <f>AV467/AT467-1</f>
        <v>3.1847133757962887E-3</v>
      </c>
      <c r="AW468" s="70">
        <f>AW467/AV467-1</f>
        <v>-6.3492063492063266E-3</v>
      </c>
      <c r="AX468" s="70">
        <f>AX467/AW467-1</f>
        <v>-3.1948881789137795E-3</v>
      </c>
      <c r="AY468" s="70">
        <f>AY467/AX467-1</f>
        <v>2.564102564102555E-2</v>
      </c>
      <c r="AZ468" s="23"/>
      <c r="BA468" s="161">
        <v>-6.2499999999999778E-3</v>
      </c>
      <c r="BB468" s="70">
        <v>4.088050314465419E-2</v>
      </c>
      <c r="BC468" s="70">
        <v>-6.3444108761329332E-2</v>
      </c>
      <c r="BD468" s="70"/>
      <c r="BE468" s="23"/>
      <c r="BF468" s="70"/>
      <c r="BG468" s="70"/>
      <c r="BH468" s="70"/>
      <c r="BI468" s="70"/>
      <c r="BJ468" s="23"/>
      <c r="BK468" s="70"/>
    </row>
    <row r="469" spans="1:63" hidden="1">
      <c r="A469" s="69" t="s">
        <v>8</v>
      </c>
      <c r="B469" s="23"/>
      <c r="C469" s="71"/>
      <c r="D469" s="71"/>
      <c r="E469" s="71"/>
      <c r="F469" s="71"/>
      <c r="G469" s="23">
        <f>G467/B467-1</f>
        <v>-2.3209243951739178E-2</v>
      </c>
      <c r="H469" s="71"/>
      <c r="I469" s="71"/>
      <c r="J469" s="71"/>
      <c r="K469" s="71"/>
      <c r="L469" s="23">
        <f t="shared" ref="L469:AD469" si="866">L467/G467-1</f>
        <v>-4.497003677700373E-2</v>
      </c>
      <c r="M469" s="71">
        <f t="shared" si="866"/>
        <v>1.1990528295170444E-2</v>
      </c>
      <c r="N469" s="71">
        <f t="shared" si="866"/>
        <v>0.26014122801869988</v>
      </c>
      <c r="O469" s="71">
        <f t="shared" si="866"/>
        <v>-1.2649139155807454E-2</v>
      </c>
      <c r="P469" s="71">
        <f t="shared" si="866"/>
        <v>7.6875685585057196E-2</v>
      </c>
      <c r="Q469" s="23">
        <f t="shared" si="866"/>
        <v>8.3242411244207393E-2</v>
      </c>
      <c r="R469" s="71">
        <f t="shared" si="866"/>
        <v>3.9556036443856524E-2</v>
      </c>
      <c r="S469" s="71">
        <f t="shared" si="866"/>
        <v>-0.16489346840064445</v>
      </c>
      <c r="T469" s="71">
        <f t="shared" si="866"/>
        <v>3.5803252309263289E-2</v>
      </c>
      <c r="U469" s="71">
        <f t="shared" si="866"/>
        <v>-0.23431242587036938</v>
      </c>
      <c r="V469" s="23">
        <f t="shared" si="866"/>
        <v>-8.9188269811347531E-2</v>
      </c>
      <c r="W469" s="71">
        <f t="shared" si="866"/>
        <v>1.2431086543165382E-3</v>
      </c>
      <c r="X469" s="71">
        <f t="shared" si="866"/>
        <v>-4.9231032316345624E-2</v>
      </c>
      <c r="Y469" s="71">
        <f t="shared" si="866"/>
        <v>1.8152961386212807E-2</v>
      </c>
      <c r="Z469" s="71">
        <f t="shared" si="866"/>
        <v>0.213962240081643</v>
      </c>
      <c r="AA469" s="23">
        <f t="shared" si="866"/>
        <v>3.7852763361629682E-2</v>
      </c>
      <c r="AB469" s="71">
        <f t="shared" si="866"/>
        <v>1.6077902709771053E-2</v>
      </c>
      <c r="AC469" s="71">
        <f t="shared" si="866"/>
        <v>9.4336745466346406E-2</v>
      </c>
      <c r="AD469" s="71">
        <f t="shared" si="866"/>
        <v>1.7730275343766921E-2</v>
      </c>
      <c r="AE469" s="71">
        <f t="shared" ref="AE469:AN469" si="867">AE467/Z467-1</f>
        <v>0.11099435176671602</v>
      </c>
      <c r="AF469" s="23">
        <f t="shared" si="867"/>
        <v>5.8957704479578599E-2</v>
      </c>
      <c r="AG469" s="71">
        <f t="shared" si="867"/>
        <v>5.5622636598292363E-2</v>
      </c>
      <c r="AH469" s="160">
        <f t="shared" si="867"/>
        <v>6.1165280958693335E-2</v>
      </c>
      <c r="AI469" s="71">
        <f t="shared" si="867"/>
        <v>8.117848454815757E-2</v>
      </c>
      <c r="AJ469" s="71">
        <f t="shared" si="867"/>
        <v>6.0703307097253134E-2</v>
      </c>
      <c r="AK469" s="23">
        <f t="shared" si="867"/>
        <v>6.4601769911504459E-2</v>
      </c>
      <c r="AL469" s="71">
        <f t="shared" si="867"/>
        <v>9.5890410958904049E-2</v>
      </c>
      <c r="AM469" s="71">
        <f t="shared" si="867"/>
        <v>5.3872053872053849E-2</v>
      </c>
      <c r="AN469" s="71">
        <f t="shared" si="867"/>
        <v>4.6666666666666634E-2</v>
      </c>
      <c r="AO469" s="71">
        <f>AO467/AJ467-1</f>
        <v>8.9171974522292974E-2</v>
      </c>
      <c r="AP469" s="23">
        <f>AP467/AK467-1</f>
        <v>7.1487946799667412E-2</v>
      </c>
      <c r="AQ469" s="71">
        <f t="shared" ref="AQ469:AS469" si="868">AQ467/AL467-1</f>
        <v>3.1250000000000444E-3</v>
      </c>
      <c r="AR469" s="71">
        <f t="shared" si="868"/>
        <v>-3.1948881789137795E-3</v>
      </c>
      <c r="AS469" s="71">
        <f t="shared" si="868"/>
        <v>0</v>
      </c>
      <c r="AT469" s="71">
        <f>AT467/AO467-1</f>
        <v>-8.1871345029239762E-2</v>
      </c>
      <c r="AU469" s="23">
        <f>AU467/AP467-1</f>
        <v>-2.1722265321954981E-2</v>
      </c>
      <c r="AV469" s="71">
        <f t="shared" ref="AV469:AX469" si="869">AV467/AQ467-1</f>
        <v>-1.8691588785046731E-2</v>
      </c>
      <c r="AW469" s="71">
        <f t="shared" si="869"/>
        <v>3.2051282051281937E-3</v>
      </c>
      <c r="AX469" s="71">
        <f t="shared" si="869"/>
        <v>-6.3694267515923553E-3</v>
      </c>
      <c r="AY469" s="71">
        <f>AY467/AT467-1</f>
        <v>1.9108280254777066E-2</v>
      </c>
      <c r="AZ469" s="23">
        <v>-7.9302141157810979E-4</v>
      </c>
      <c r="BA469" s="160">
        <v>9.52380952380949E-3</v>
      </c>
      <c r="BB469" s="71">
        <v>5.7507987220447365E-2</v>
      </c>
      <c r="BC469" s="71">
        <v>-6.4102564102563875E-3</v>
      </c>
      <c r="BD469" s="71"/>
      <c r="BE469" s="23"/>
      <c r="BF469" s="71"/>
      <c r="BG469" s="71"/>
      <c r="BH469" s="71"/>
      <c r="BI469" s="71"/>
      <c r="BJ469" s="23"/>
      <c r="BK469" s="71"/>
    </row>
    <row r="470" spans="1:63" hidden="1">
      <c r="A470" s="67" t="s">
        <v>97</v>
      </c>
      <c r="B470" s="36">
        <v>297.72500000000002</v>
      </c>
      <c r="C470" s="78" t="s">
        <v>48</v>
      </c>
      <c r="D470" s="78" t="s">
        <v>48</v>
      </c>
      <c r="E470" s="78" t="s">
        <v>48</v>
      </c>
      <c r="F470" s="78" t="s">
        <v>48</v>
      </c>
      <c r="G470" s="36">
        <v>421.46100000000001</v>
      </c>
      <c r="H470" s="68">
        <v>125.328</v>
      </c>
      <c r="I470" s="68">
        <v>120.483</v>
      </c>
      <c r="J470" s="68">
        <v>118.61499999999999</v>
      </c>
      <c r="K470" s="68">
        <f>L470-J470-I470-H470</f>
        <v>123.90799999999999</v>
      </c>
      <c r="L470" s="36">
        <v>488.334</v>
      </c>
      <c r="M470" s="68">
        <v>129.863</v>
      </c>
      <c r="N470" s="68">
        <v>73.835999999999999</v>
      </c>
      <c r="O470" s="68">
        <v>136.82300000000001</v>
      </c>
      <c r="P470" s="68">
        <f>Q470-O470-N470-M470</f>
        <v>113.56</v>
      </c>
      <c r="Q470" s="36">
        <v>454.08199999999999</v>
      </c>
      <c r="R470" s="68">
        <v>133.65100000000001</v>
      </c>
      <c r="S470" s="68">
        <v>134.96299999999999</v>
      </c>
      <c r="T470" s="68">
        <v>137.68799999999999</v>
      </c>
      <c r="U470" s="68">
        <f>V470-T470-S470-R470</f>
        <v>184.339</v>
      </c>
      <c r="V470" s="36">
        <v>590.64099999999996</v>
      </c>
      <c r="W470" s="68">
        <v>144.46700000000001</v>
      </c>
      <c r="X470" s="68">
        <v>152.97800000000001</v>
      </c>
      <c r="Y470" s="68">
        <v>130.07900000000001</v>
      </c>
      <c r="Z470" s="68">
        <f>AA470-Y470-X470-W470</f>
        <v>141.38300000000001</v>
      </c>
      <c r="AA470" s="36">
        <v>568.90700000000004</v>
      </c>
      <c r="AB470" s="68">
        <f>145.427-18.5</f>
        <v>126.92699999999999</v>
      </c>
      <c r="AC470" s="68">
        <f>142.959-19</f>
        <v>123.959</v>
      </c>
      <c r="AD470" s="68">
        <f>152.489-19.7</f>
        <v>132.78900000000002</v>
      </c>
      <c r="AE470" s="68">
        <f>AF470-AD470-AC470-AB470</f>
        <v>121.32500000000002</v>
      </c>
      <c r="AF470" s="36">
        <v>505</v>
      </c>
      <c r="AG470" s="68">
        <v>132</v>
      </c>
      <c r="AH470" s="143">
        <v>130</v>
      </c>
      <c r="AI470" s="68">
        <v>133</v>
      </c>
      <c r="AJ470" s="68">
        <f>AK470-AI470-AH470-AG470</f>
        <v>126</v>
      </c>
      <c r="AK470" s="36">
        <v>521</v>
      </c>
      <c r="AL470" s="68">
        <v>120</v>
      </c>
      <c r="AM470" s="68">
        <v>126</v>
      </c>
      <c r="AN470" s="68">
        <v>132</v>
      </c>
      <c r="AO470" s="68">
        <f>AP470-AN470-AM470-AL470</f>
        <v>107</v>
      </c>
      <c r="AP470" s="36">
        <v>485</v>
      </c>
      <c r="AQ470" s="68">
        <v>118</v>
      </c>
      <c r="AR470" s="68">
        <v>122</v>
      </c>
      <c r="AS470" s="68">
        <v>120</v>
      </c>
      <c r="AT470" s="68">
        <f>AU470-AS470-AR470-AQ470</f>
        <v>124</v>
      </c>
      <c r="AU470" s="36">
        <v>484</v>
      </c>
      <c r="AV470" s="68">
        <v>109</v>
      </c>
      <c r="AW470" s="68">
        <v>103</v>
      </c>
      <c r="AX470" s="68">
        <v>94</v>
      </c>
      <c r="AY470" s="68">
        <f>AZ470-AX470-AW470-AV470</f>
        <v>84</v>
      </c>
      <c r="AZ470" s="36">
        <v>390</v>
      </c>
      <c r="BA470" s="143">
        <v>57</v>
      </c>
      <c r="BB470" s="68">
        <v>44</v>
      </c>
      <c r="BC470" s="68">
        <v>57</v>
      </c>
      <c r="BD470" s="68"/>
      <c r="BE470" s="36"/>
      <c r="BF470" s="68"/>
      <c r="BG470" s="68"/>
      <c r="BH470" s="68"/>
      <c r="BI470" s="68"/>
      <c r="BJ470" s="36"/>
      <c r="BK470" s="68"/>
    </row>
    <row r="471" spans="1:63" hidden="1">
      <c r="A471" s="69" t="s">
        <v>7</v>
      </c>
      <c r="B471" s="23"/>
      <c r="C471" s="70"/>
      <c r="D471" s="70"/>
      <c r="E471" s="70"/>
      <c r="F471" s="70"/>
      <c r="G471" s="23"/>
      <c r="H471" s="70"/>
      <c r="I471" s="70">
        <f>I470/H470-1</f>
        <v>-3.8658559938720805E-2</v>
      </c>
      <c r="J471" s="70">
        <f>J470/I470-1</f>
        <v>-1.5504262012068115E-2</v>
      </c>
      <c r="K471" s="70">
        <f>K470/J470-1</f>
        <v>4.4623361294945818E-2</v>
      </c>
      <c r="L471" s="23"/>
      <c r="M471" s="70">
        <f>M470/K470-1</f>
        <v>4.8059850857087527E-2</v>
      </c>
      <c r="N471" s="70">
        <f>N470/M470-1</f>
        <v>-0.43143158559404915</v>
      </c>
      <c r="O471" s="70">
        <f>O470/N470-1</f>
        <v>0.85306625494338828</v>
      </c>
      <c r="P471" s="70">
        <f>P470/O470-1</f>
        <v>-0.17002258392229375</v>
      </c>
      <c r="Q471" s="23"/>
      <c r="R471" s="70">
        <f>R470/P470-1</f>
        <v>0.17691969003170138</v>
      </c>
      <c r="S471" s="70">
        <f>S470/R470-1</f>
        <v>9.8166119220954862E-3</v>
      </c>
      <c r="T471" s="70">
        <f>T470/S470-1</f>
        <v>2.0190718937783014E-2</v>
      </c>
      <c r="U471" s="70">
        <f>U470/T470-1</f>
        <v>0.33881674510487492</v>
      </c>
      <c r="V471" s="23"/>
      <c r="W471" s="70">
        <f>W470/U470-1</f>
        <v>-0.21629714818893442</v>
      </c>
      <c r="X471" s="70">
        <f>X470/W470-1</f>
        <v>5.8913108183875851E-2</v>
      </c>
      <c r="Y471" s="70">
        <f>Y470/X470-1</f>
        <v>-0.14968819045875881</v>
      </c>
      <c r="Z471" s="70">
        <f>Z470/Y470-1</f>
        <v>8.6901037062093067E-2</v>
      </c>
      <c r="AA471" s="23"/>
      <c r="AB471" s="70">
        <f>AB470/Z470-1</f>
        <v>-0.10224708769795532</v>
      </c>
      <c r="AC471" s="70">
        <f>AC470/AB470-1</f>
        <v>-2.3383519660907348E-2</v>
      </c>
      <c r="AD471" s="70">
        <f>AD470/AC470-1</f>
        <v>7.1233230342290677E-2</v>
      </c>
      <c r="AE471" s="70">
        <f>AE470/AD470-1</f>
        <v>-8.633245223625452E-2</v>
      </c>
      <c r="AF471" s="23"/>
      <c r="AG471" s="70">
        <f>AG470/AE470-1</f>
        <v>8.7986812281063198E-2</v>
      </c>
      <c r="AH471" s="70">
        <f>AH470/AG470-1</f>
        <v>-1.5151515151515138E-2</v>
      </c>
      <c r="AI471" s="70">
        <f>AI470/AH470-1</f>
        <v>2.3076923076922995E-2</v>
      </c>
      <c r="AJ471" s="70">
        <f>AJ470/AI470-1</f>
        <v>-5.2631578947368474E-2</v>
      </c>
      <c r="AK471" s="23"/>
      <c r="AL471" s="70">
        <f>AL470/AJ470-1</f>
        <v>-4.7619047619047672E-2</v>
      </c>
      <c r="AM471" s="70">
        <f>AM470/AL470-1</f>
        <v>5.0000000000000044E-2</v>
      </c>
      <c r="AN471" s="70">
        <f>AN470/AM470-1</f>
        <v>4.7619047619047672E-2</v>
      </c>
      <c r="AO471" s="70">
        <f>AO470/AN470-1</f>
        <v>-0.18939393939393945</v>
      </c>
      <c r="AP471" s="23"/>
      <c r="AQ471" s="70">
        <f>AQ470/AO470-1</f>
        <v>0.10280373831775691</v>
      </c>
      <c r="AR471" s="70">
        <f>AR470/AQ470-1</f>
        <v>3.3898305084745672E-2</v>
      </c>
      <c r="AS471" s="70">
        <f>AS470/AR470-1</f>
        <v>-1.6393442622950838E-2</v>
      </c>
      <c r="AT471" s="70">
        <f>AT470/AS470-1</f>
        <v>3.3333333333333437E-2</v>
      </c>
      <c r="AU471" s="23"/>
      <c r="AV471" s="70">
        <f>AV470/AT470-1</f>
        <v>-0.12096774193548387</v>
      </c>
      <c r="AW471" s="70">
        <f>AW470/AV470-1</f>
        <v>-5.5045871559633031E-2</v>
      </c>
      <c r="AX471" s="70">
        <f>AX470/AW470-1</f>
        <v>-8.737864077669899E-2</v>
      </c>
      <c r="AY471" s="70">
        <f>AY470/AX470-1</f>
        <v>-0.1063829787234043</v>
      </c>
      <c r="AZ471" s="23"/>
      <c r="BA471" s="161">
        <v>-0.3214285714285714</v>
      </c>
      <c r="BB471" s="70">
        <v>-0.22807017543859653</v>
      </c>
      <c r="BC471" s="70">
        <v>0.29545454545454541</v>
      </c>
      <c r="BD471" s="70"/>
      <c r="BE471" s="23"/>
      <c r="BF471" s="70"/>
      <c r="BG471" s="70"/>
      <c r="BH471" s="70"/>
      <c r="BI471" s="70"/>
      <c r="BJ471" s="23"/>
      <c r="BK471" s="70"/>
    </row>
    <row r="472" spans="1:63" hidden="1">
      <c r="A472" s="69" t="s">
        <v>8</v>
      </c>
      <c r="B472" s="23"/>
      <c r="C472" s="71"/>
      <c r="D472" s="71"/>
      <c r="E472" s="71"/>
      <c r="F472" s="71"/>
      <c r="G472" s="23">
        <f>G470/B470-1</f>
        <v>0.4156050046183557</v>
      </c>
      <c r="H472" s="71"/>
      <c r="I472" s="71"/>
      <c r="J472" s="71"/>
      <c r="K472" s="71"/>
      <c r="L472" s="23">
        <f t="shared" ref="L472:AD472" si="870">L470/G470-1</f>
        <v>0.15866948543281589</v>
      </c>
      <c r="M472" s="71">
        <f t="shared" si="870"/>
        <v>3.6185050427677723E-2</v>
      </c>
      <c r="N472" s="71">
        <f t="shared" si="870"/>
        <v>-0.38716665421677754</v>
      </c>
      <c r="O472" s="71">
        <f t="shared" si="870"/>
        <v>0.15350503730556864</v>
      </c>
      <c r="P472" s="71">
        <f t="shared" si="870"/>
        <v>-8.3513574587597117E-2</v>
      </c>
      <c r="Q472" s="23">
        <f t="shared" si="870"/>
        <v>-7.014051857949688E-2</v>
      </c>
      <c r="R472" s="71">
        <f t="shared" si="870"/>
        <v>2.9169201389156241E-2</v>
      </c>
      <c r="S472" s="71">
        <f t="shared" si="870"/>
        <v>0.82787529118587133</v>
      </c>
      <c r="T472" s="71">
        <f t="shared" si="870"/>
        <v>6.3220364997111922E-3</v>
      </c>
      <c r="U472" s="71">
        <f t="shared" si="870"/>
        <v>0.62327404015498411</v>
      </c>
      <c r="V472" s="23">
        <f t="shared" si="870"/>
        <v>0.30073643086490986</v>
      </c>
      <c r="W472" s="71">
        <f t="shared" si="870"/>
        <v>8.0927190967519991E-2</v>
      </c>
      <c r="X472" s="71">
        <f t="shared" si="870"/>
        <v>0.13348102813363671</v>
      </c>
      <c r="Y472" s="71">
        <f t="shared" si="870"/>
        <v>-5.5262622741270029E-2</v>
      </c>
      <c r="Z472" s="71">
        <f t="shared" si="870"/>
        <v>-0.2330271944623763</v>
      </c>
      <c r="AA472" s="23">
        <f t="shared" si="870"/>
        <v>-3.6797310041124631E-2</v>
      </c>
      <c r="AB472" s="71">
        <f t="shared" si="870"/>
        <v>-0.121411810309621</v>
      </c>
      <c r="AC472" s="71">
        <f t="shared" si="870"/>
        <v>-0.18969394291989705</v>
      </c>
      <c r="AD472" s="71">
        <f t="shared" si="870"/>
        <v>2.0833493492416144E-2</v>
      </c>
      <c r="AE472" s="71">
        <f t="shared" ref="AE472:AN472" si="871">AE470/Z470-1</f>
        <v>-0.14186995607675601</v>
      </c>
      <c r="AF472" s="23">
        <f t="shared" si="871"/>
        <v>-0.11233294721281339</v>
      </c>
      <c r="AG472" s="71">
        <f t="shared" si="871"/>
        <v>3.996785553901061E-2</v>
      </c>
      <c r="AH472" s="71">
        <f t="shared" si="871"/>
        <v>4.8733855549012217E-2</v>
      </c>
      <c r="AI472" s="71">
        <f t="shared" si="871"/>
        <v>1.5889870395890959E-3</v>
      </c>
      <c r="AJ472" s="71">
        <f t="shared" si="871"/>
        <v>3.8532866268287558E-2</v>
      </c>
      <c r="AK472" s="23">
        <f t="shared" si="871"/>
        <v>3.1683168316831711E-2</v>
      </c>
      <c r="AL472" s="71">
        <f t="shared" si="871"/>
        <v>-9.0909090909090939E-2</v>
      </c>
      <c r="AM472" s="71">
        <f t="shared" si="871"/>
        <v>-3.0769230769230771E-2</v>
      </c>
      <c r="AN472" s="71">
        <f t="shared" si="871"/>
        <v>-7.5187969924812581E-3</v>
      </c>
      <c r="AO472" s="71">
        <f>AO470/AJ470-1</f>
        <v>-0.15079365079365081</v>
      </c>
      <c r="AP472" s="23">
        <f>AP470/AK470-1</f>
        <v>-6.9097888675623831E-2</v>
      </c>
      <c r="AQ472" s="71">
        <f t="shared" ref="AQ472:AS472" si="872">AQ470/AL470-1</f>
        <v>-1.6666666666666718E-2</v>
      </c>
      <c r="AR472" s="71">
        <f t="shared" si="872"/>
        <v>-3.1746031746031744E-2</v>
      </c>
      <c r="AS472" s="71">
        <f t="shared" si="872"/>
        <v>-9.0909090909090939E-2</v>
      </c>
      <c r="AT472" s="71">
        <f>AT470/AO470-1</f>
        <v>0.1588785046728971</v>
      </c>
      <c r="AU472" s="23">
        <f>AU470/AP470-1</f>
        <v>-2.0618556701030855E-3</v>
      </c>
      <c r="AV472" s="71">
        <f t="shared" ref="AV472:AX472" si="873">AV470/AQ470-1</f>
        <v>-7.6271186440677985E-2</v>
      </c>
      <c r="AW472" s="71">
        <f t="shared" si="873"/>
        <v>-0.15573770491803274</v>
      </c>
      <c r="AX472" s="71">
        <f t="shared" si="873"/>
        <v>-0.21666666666666667</v>
      </c>
      <c r="AY472" s="71">
        <f>AY470/AT470-1</f>
        <v>-0.32258064516129037</v>
      </c>
      <c r="AZ472" s="23">
        <v>-0.19421487603305787</v>
      </c>
      <c r="BA472" s="160">
        <v>-0.47706422018348627</v>
      </c>
      <c r="BB472" s="71">
        <v>-0.57281553398058249</v>
      </c>
      <c r="BC472" s="71">
        <v>-0.3936170212765957</v>
      </c>
      <c r="BD472" s="71"/>
      <c r="BE472" s="23"/>
      <c r="BF472" s="71"/>
      <c r="BG472" s="71"/>
      <c r="BH472" s="71"/>
      <c r="BI472" s="71"/>
      <c r="BJ472" s="23"/>
      <c r="BK472" s="71"/>
    </row>
    <row r="473" spans="1:63" hidden="1">
      <c r="A473" s="67" t="s">
        <v>79</v>
      </c>
      <c r="B473" s="36">
        <v>137.679</v>
      </c>
      <c r="C473" s="78" t="s">
        <v>48</v>
      </c>
      <c r="D473" s="78" t="s">
        <v>48</v>
      </c>
      <c r="E473" s="78" t="s">
        <v>48</v>
      </c>
      <c r="F473" s="78" t="s">
        <v>48</v>
      </c>
      <c r="G473" s="36">
        <v>128.16200000000001</v>
      </c>
      <c r="H473" s="68">
        <v>28.420999999999999</v>
      </c>
      <c r="I473" s="68">
        <v>33.017000000000003</v>
      </c>
      <c r="J473" s="68">
        <v>28.779</v>
      </c>
      <c r="K473" s="68">
        <f>L473-J473-I473-H473</f>
        <v>32.094999999999999</v>
      </c>
      <c r="L473" s="36">
        <v>122.312</v>
      </c>
      <c r="M473" s="68">
        <v>38.936</v>
      </c>
      <c r="N473" s="68">
        <v>33.042000000000002</v>
      </c>
      <c r="O473" s="68">
        <v>31.542999999999999</v>
      </c>
      <c r="P473" s="68">
        <f>Q473-O473-N473-M473</f>
        <v>39.68099999999999</v>
      </c>
      <c r="Q473" s="36">
        <v>143.202</v>
      </c>
      <c r="R473" s="68">
        <v>40.058999999999997</v>
      </c>
      <c r="S473" s="68">
        <v>34.738</v>
      </c>
      <c r="T473" s="68">
        <v>37.170999999999999</v>
      </c>
      <c r="U473" s="68">
        <f>V473-T473-S473-R473</f>
        <v>40.769000000000005</v>
      </c>
      <c r="V473" s="36">
        <v>152.73699999999999</v>
      </c>
      <c r="W473" s="68">
        <v>53.506999999999998</v>
      </c>
      <c r="X473" s="68">
        <v>41.585000000000001</v>
      </c>
      <c r="Y473" s="68">
        <v>40.06</v>
      </c>
      <c r="Z473" s="68">
        <f>AA473-Y473-X473-W473</f>
        <v>31.121999999999993</v>
      </c>
      <c r="AA473" s="36">
        <v>166.274</v>
      </c>
      <c r="AB473" s="68">
        <v>39.119</v>
      </c>
      <c r="AC473" s="68">
        <v>36.228999999999999</v>
      </c>
      <c r="AD473" s="68">
        <v>41.195999999999998</v>
      </c>
      <c r="AE473" s="68">
        <f>AF473-AD473-AC473-AB473</f>
        <v>37.167999999999992</v>
      </c>
      <c r="AF473" s="36">
        <v>153.71199999999999</v>
      </c>
      <c r="AG473" s="68">
        <v>40</v>
      </c>
      <c r="AH473" s="143">
        <v>40</v>
      </c>
      <c r="AI473" s="68">
        <v>34</v>
      </c>
      <c r="AJ473" s="68">
        <f>AK473-AI473-AH473-AG473</f>
        <v>40</v>
      </c>
      <c r="AK473" s="36">
        <v>154</v>
      </c>
      <c r="AL473" s="68">
        <v>36</v>
      </c>
      <c r="AM473" s="68">
        <v>35</v>
      </c>
      <c r="AN473" s="68">
        <v>37</v>
      </c>
      <c r="AO473" s="68">
        <f>AP473-AN473-AM473-AL473</f>
        <v>32</v>
      </c>
      <c r="AP473" s="36">
        <v>140</v>
      </c>
      <c r="AQ473" s="68">
        <v>38</v>
      </c>
      <c r="AR473" s="68">
        <v>24</v>
      </c>
      <c r="AS473" s="68">
        <v>35</v>
      </c>
      <c r="AT473" s="68">
        <f>AU473-AS473-AR473-AQ473</f>
        <v>31</v>
      </c>
      <c r="AU473" s="36">
        <v>128</v>
      </c>
      <c r="AV473" s="68">
        <v>35</v>
      </c>
      <c r="AW473" s="68">
        <v>29</v>
      </c>
      <c r="AX473" s="68">
        <v>34</v>
      </c>
      <c r="AY473" s="68">
        <f>AZ473-AX473-AW473-AV473</f>
        <v>33</v>
      </c>
      <c r="AZ473" s="36">
        <v>131</v>
      </c>
      <c r="BA473" s="143">
        <v>35</v>
      </c>
      <c r="BB473" s="68">
        <v>31</v>
      </c>
      <c r="BC473" s="68">
        <v>34</v>
      </c>
      <c r="BD473" s="68"/>
      <c r="BE473" s="36"/>
      <c r="BF473" s="68"/>
      <c r="BG473" s="68"/>
      <c r="BH473" s="68"/>
      <c r="BI473" s="68"/>
      <c r="BJ473" s="36"/>
      <c r="BK473" s="68"/>
    </row>
    <row r="474" spans="1:63" hidden="1">
      <c r="A474" s="69" t="s">
        <v>7</v>
      </c>
      <c r="B474" s="23"/>
      <c r="C474" s="70"/>
      <c r="D474" s="70"/>
      <c r="E474" s="70"/>
      <c r="F474" s="70"/>
      <c r="G474" s="23"/>
      <c r="H474" s="70"/>
      <c r="I474" s="70">
        <f>I473/H473-1</f>
        <v>0.16171141057668637</v>
      </c>
      <c r="J474" s="70">
        <f>J473/I473-1</f>
        <v>-0.12835811854499202</v>
      </c>
      <c r="K474" s="70">
        <f>K473/J473-1</f>
        <v>0.11522290559088222</v>
      </c>
      <c r="L474" s="23"/>
      <c r="M474" s="70">
        <f>M473/K473-1</f>
        <v>0.21314846549306754</v>
      </c>
      <c r="N474" s="70">
        <f>N473/M473-1</f>
        <v>-0.15137661803986024</v>
      </c>
      <c r="O474" s="70">
        <f>O473/N473-1</f>
        <v>-4.5366503238302824E-2</v>
      </c>
      <c r="P474" s="70">
        <f>P473/O473-1</f>
        <v>0.25799701994103263</v>
      </c>
      <c r="Q474" s="23"/>
      <c r="R474" s="70">
        <f>R473/P473-1</f>
        <v>9.5259696076208655E-3</v>
      </c>
      <c r="S474" s="70">
        <f>S473/R473-1</f>
        <v>-0.1328290771112608</v>
      </c>
      <c r="T474" s="70">
        <f>T473/S473-1</f>
        <v>7.0038574471759985E-2</v>
      </c>
      <c r="U474" s="70">
        <f>U473/T473-1</f>
        <v>9.67958892685159E-2</v>
      </c>
      <c r="V474" s="23"/>
      <c r="W474" s="70">
        <f>W473/U473-1</f>
        <v>0.31244327798081861</v>
      </c>
      <c r="X474" s="70">
        <f>X473/W473-1</f>
        <v>-0.22281196852748231</v>
      </c>
      <c r="Y474" s="70">
        <f>Y473/X473-1</f>
        <v>-3.667187687868223E-2</v>
      </c>
      <c r="Z474" s="70">
        <f>Z473/Y473-1</f>
        <v>-0.223115327009486</v>
      </c>
      <c r="AA474" s="23"/>
      <c r="AB474" s="70">
        <f>AB473/Z473-1</f>
        <v>0.25695649379859931</v>
      </c>
      <c r="AC474" s="70">
        <f>AC473/AB473-1</f>
        <v>-7.3877144098775549E-2</v>
      </c>
      <c r="AD474" s="70">
        <f>AD473/AC473-1</f>
        <v>0.13710011316900816</v>
      </c>
      <c r="AE474" s="70">
        <f>AE473/AD473-1</f>
        <v>-9.7776483153704352E-2</v>
      </c>
      <c r="AF474" s="23"/>
      <c r="AG474" s="70">
        <f>AG473/AE473-1</f>
        <v>7.6194575979337209E-2</v>
      </c>
      <c r="AH474" s="161">
        <f>AH473/AG473-1</f>
        <v>0</v>
      </c>
      <c r="AI474" s="70">
        <f>AI473/AH473-1</f>
        <v>-0.15000000000000002</v>
      </c>
      <c r="AJ474" s="70">
        <f>AJ473/AI473-1</f>
        <v>0.17647058823529416</v>
      </c>
      <c r="AK474" s="23"/>
      <c r="AL474" s="70">
        <f>AL473/AJ473-1</f>
        <v>-9.9999999999999978E-2</v>
      </c>
      <c r="AM474" s="70">
        <f>AM473/AL473-1</f>
        <v>-2.777777777777779E-2</v>
      </c>
      <c r="AN474" s="70">
        <f>AN473/AM473-1</f>
        <v>5.7142857142857162E-2</v>
      </c>
      <c r="AO474" s="70">
        <f>AO473/AN473-1</f>
        <v>-0.13513513513513509</v>
      </c>
      <c r="AP474" s="23"/>
      <c r="AQ474" s="70">
        <f>AQ473/AO473-1</f>
        <v>0.1875</v>
      </c>
      <c r="AR474" s="70">
        <f>AR473/AQ473-1</f>
        <v>-0.36842105263157898</v>
      </c>
      <c r="AS474" s="70">
        <f>AS473/AR473-1</f>
        <v>0.45833333333333326</v>
      </c>
      <c r="AT474" s="70">
        <f>AT473/AS473-1</f>
        <v>-0.11428571428571432</v>
      </c>
      <c r="AU474" s="23"/>
      <c r="AV474" s="70">
        <f>AV473/AT473-1</f>
        <v>0.12903225806451624</v>
      </c>
      <c r="AW474" s="70">
        <f>AW473/AV473-1</f>
        <v>-0.17142857142857137</v>
      </c>
      <c r="AX474" s="70">
        <f>AX473/AW473-1</f>
        <v>0.17241379310344818</v>
      </c>
      <c r="AY474" s="70">
        <f>AY473/AX473-1</f>
        <v>-2.9411764705882359E-2</v>
      </c>
      <c r="AZ474" s="23"/>
      <c r="BA474" s="161">
        <v>6.0606060606060552E-2</v>
      </c>
      <c r="BB474" s="70">
        <v>-0.11428571428571432</v>
      </c>
      <c r="BC474" s="70">
        <v>9.6774193548387011E-2</v>
      </c>
      <c r="BD474" s="70"/>
      <c r="BE474" s="23"/>
      <c r="BF474" s="70"/>
      <c r="BG474" s="70"/>
      <c r="BH474" s="70"/>
      <c r="BI474" s="70"/>
      <c r="BJ474" s="23"/>
      <c r="BK474" s="70"/>
    </row>
    <row r="475" spans="1:63" hidden="1">
      <c r="A475" s="69" t="s">
        <v>8</v>
      </c>
      <c r="B475" s="23"/>
      <c r="C475" s="71"/>
      <c r="D475" s="71"/>
      <c r="E475" s="71"/>
      <c r="F475" s="71"/>
      <c r="G475" s="23">
        <f>G473/B473-1</f>
        <v>-6.9124557848328272E-2</v>
      </c>
      <c r="H475" s="71"/>
      <c r="I475" s="71"/>
      <c r="J475" s="71"/>
      <c r="K475" s="71"/>
      <c r="L475" s="23">
        <f t="shared" ref="L475:AD475" si="874">L473/G473-1</f>
        <v>-4.5645355097454821E-2</v>
      </c>
      <c r="M475" s="71">
        <f t="shared" si="874"/>
        <v>0.36997290735723598</v>
      </c>
      <c r="N475" s="71">
        <f t="shared" si="874"/>
        <v>7.5718569221905341E-4</v>
      </c>
      <c r="O475" s="71">
        <f t="shared" si="874"/>
        <v>9.6042253031724423E-2</v>
      </c>
      <c r="P475" s="71">
        <f t="shared" si="874"/>
        <v>0.23636080386352987</v>
      </c>
      <c r="Q475" s="23">
        <f t="shared" si="874"/>
        <v>0.17079272679704371</v>
      </c>
      <c r="R475" s="71">
        <f t="shared" si="874"/>
        <v>2.8842202588863719E-2</v>
      </c>
      <c r="S475" s="71">
        <f t="shared" si="874"/>
        <v>5.1328612069487356E-2</v>
      </c>
      <c r="T475" s="71">
        <f t="shared" si="874"/>
        <v>0.17842310496782177</v>
      </c>
      <c r="U475" s="71">
        <f t="shared" si="874"/>
        <v>2.7418663844157587E-2</v>
      </c>
      <c r="V475" s="23">
        <f t="shared" si="874"/>
        <v>6.6584265582882995E-2</v>
      </c>
      <c r="W475" s="71">
        <f t="shared" si="874"/>
        <v>0.33570483536783247</v>
      </c>
      <c r="X475" s="71">
        <f t="shared" si="874"/>
        <v>0.19710403592607517</v>
      </c>
      <c r="Y475" s="71">
        <f t="shared" si="874"/>
        <v>7.7721879960184204E-2</v>
      </c>
      <c r="Z475" s="71">
        <f t="shared" si="874"/>
        <v>-0.23662586769359095</v>
      </c>
      <c r="AA475" s="23">
        <f t="shared" si="874"/>
        <v>8.8629474194203084E-2</v>
      </c>
      <c r="AB475" s="71">
        <f t="shared" si="874"/>
        <v>-0.26889939634066573</v>
      </c>
      <c r="AC475" s="71">
        <f t="shared" si="874"/>
        <v>-0.1287964410244079</v>
      </c>
      <c r="AD475" s="71">
        <f t="shared" si="874"/>
        <v>2.8357463804293381E-2</v>
      </c>
      <c r="AE475" s="71">
        <f t="shared" ref="AE475:AN475" si="875">AE473/Z473-1</f>
        <v>0.19426772058351016</v>
      </c>
      <c r="AF475" s="23">
        <f t="shared" si="875"/>
        <v>-7.5549995790081481E-2</v>
      </c>
      <c r="AG475" s="71">
        <f t="shared" si="875"/>
        <v>2.2521025588588595E-2</v>
      </c>
      <c r="AH475" s="160">
        <f t="shared" si="875"/>
        <v>0.10408788539567748</v>
      </c>
      <c r="AI475" s="71">
        <f t="shared" si="875"/>
        <v>-0.17467715312166221</v>
      </c>
      <c r="AJ475" s="71">
        <f t="shared" si="875"/>
        <v>7.6194575979337209E-2</v>
      </c>
      <c r="AK475" s="23">
        <f t="shared" si="875"/>
        <v>1.8736338086813298E-3</v>
      </c>
      <c r="AL475" s="71">
        <f t="shared" si="875"/>
        <v>-9.9999999999999978E-2</v>
      </c>
      <c r="AM475" s="71">
        <f t="shared" si="875"/>
        <v>-0.125</v>
      </c>
      <c r="AN475" s="71">
        <f t="shared" si="875"/>
        <v>8.8235294117646967E-2</v>
      </c>
      <c r="AO475" s="71">
        <f>AO473/AJ473-1</f>
        <v>-0.19999999999999996</v>
      </c>
      <c r="AP475" s="23">
        <f>AP473/AK473-1</f>
        <v>-9.0909090909090939E-2</v>
      </c>
      <c r="AQ475" s="71">
        <f t="shared" ref="AQ475:AS475" si="876">AQ473/AL473-1</f>
        <v>5.555555555555558E-2</v>
      </c>
      <c r="AR475" s="71">
        <f t="shared" si="876"/>
        <v>-0.31428571428571428</v>
      </c>
      <c r="AS475" s="71">
        <f t="shared" si="876"/>
        <v>-5.4054054054054057E-2</v>
      </c>
      <c r="AT475" s="71">
        <f>AT473/AO473-1</f>
        <v>-3.125E-2</v>
      </c>
      <c r="AU475" s="23">
        <f>AU473/AP473-1</f>
        <v>-8.5714285714285743E-2</v>
      </c>
      <c r="AV475" s="71">
        <f t="shared" ref="AV475:AX475" si="877">AV473/AQ473-1</f>
        <v>-7.8947368421052655E-2</v>
      </c>
      <c r="AW475" s="71">
        <f t="shared" si="877"/>
        <v>0.20833333333333326</v>
      </c>
      <c r="AX475" s="71">
        <f t="shared" si="877"/>
        <v>-2.8571428571428581E-2</v>
      </c>
      <c r="AY475" s="71">
        <f>AY473/AT473-1</f>
        <v>6.4516129032258007E-2</v>
      </c>
      <c r="AZ475" s="23">
        <v>2.34375E-2</v>
      </c>
      <c r="BA475" s="160">
        <v>0</v>
      </c>
      <c r="BB475" s="71">
        <v>6.8965517241379226E-2</v>
      </c>
      <c r="BC475" s="71">
        <v>0</v>
      </c>
      <c r="BD475" s="71"/>
      <c r="BE475" s="23"/>
      <c r="BF475" s="71"/>
      <c r="BG475" s="71"/>
      <c r="BH475" s="71"/>
      <c r="BI475" s="71"/>
      <c r="BJ475" s="23"/>
      <c r="BK475" s="71"/>
    </row>
    <row r="476" spans="1:63" hidden="1">
      <c r="A476" s="67" t="s">
        <v>80</v>
      </c>
      <c r="B476" s="36">
        <v>104.047</v>
      </c>
      <c r="C476" s="78" t="s">
        <v>48</v>
      </c>
      <c r="D476" s="78" t="s">
        <v>48</v>
      </c>
      <c r="E476" s="78" t="s">
        <v>48</v>
      </c>
      <c r="F476" s="78" t="s">
        <v>48</v>
      </c>
      <c r="G476" s="36">
        <v>116.151</v>
      </c>
      <c r="H476" s="68">
        <v>30.957000000000001</v>
      </c>
      <c r="I476" s="68">
        <v>28.411999999999999</v>
      </c>
      <c r="J476" s="68">
        <v>29.175000000000001</v>
      </c>
      <c r="K476" s="68">
        <f>L476-J476-I476-H476</f>
        <v>29.26100000000001</v>
      </c>
      <c r="L476" s="36">
        <v>117.80500000000001</v>
      </c>
      <c r="M476" s="68">
        <v>32.235999999999997</v>
      </c>
      <c r="N476" s="68">
        <v>33.509</v>
      </c>
      <c r="O476" s="68">
        <v>33.537999999999997</v>
      </c>
      <c r="P476" s="68">
        <f>Q476-O476-N476-M476</f>
        <v>33.278000000000013</v>
      </c>
      <c r="Q476" s="36">
        <v>132.56100000000001</v>
      </c>
      <c r="R476" s="68">
        <v>32.222000000000001</v>
      </c>
      <c r="S476" s="68">
        <v>34.911999999999999</v>
      </c>
      <c r="T476" s="68">
        <v>37.152999999999999</v>
      </c>
      <c r="U476" s="68">
        <f>V476-T476-S476-R476</f>
        <v>38.749000000000002</v>
      </c>
      <c r="V476" s="36">
        <v>143.036</v>
      </c>
      <c r="W476" s="68">
        <v>39.354999999999997</v>
      </c>
      <c r="X476" s="68">
        <v>36.905000000000001</v>
      </c>
      <c r="Y476" s="68">
        <v>36.029000000000003</v>
      </c>
      <c r="Z476" s="68">
        <f>AA476-Y476-X476-W476</f>
        <v>37.594999999999992</v>
      </c>
      <c r="AA476" s="36">
        <v>149.88399999999999</v>
      </c>
      <c r="AB476" s="68">
        <f>38.879-18.5</f>
        <v>20.378999999999998</v>
      </c>
      <c r="AC476" s="68">
        <f>39.146-19</f>
        <v>20.146000000000001</v>
      </c>
      <c r="AD476" s="68">
        <f>38.885-19.7</f>
        <v>19.184999999999999</v>
      </c>
      <c r="AE476" s="68">
        <f>AF476-AD476-AC476-AB476</f>
        <v>24.29</v>
      </c>
      <c r="AF476" s="36">
        <v>84</v>
      </c>
      <c r="AG476" s="68">
        <v>20</v>
      </c>
      <c r="AH476" s="143">
        <v>23</v>
      </c>
      <c r="AI476" s="68">
        <v>23</v>
      </c>
      <c r="AJ476" s="68">
        <f>AK476-AI476-AH476-AG476</f>
        <v>28</v>
      </c>
      <c r="AK476" s="36">
        <v>94</v>
      </c>
      <c r="AL476" s="68">
        <v>25</v>
      </c>
      <c r="AM476" s="68">
        <v>21</v>
      </c>
      <c r="AN476" s="68">
        <v>21</v>
      </c>
      <c r="AO476" s="68">
        <f>AP476-AN476-AM476-AL476</f>
        <v>28</v>
      </c>
      <c r="AP476" s="36">
        <v>95</v>
      </c>
      <c r="AQ476" s="68">
        <v>23</v>
      </c>
      <c r="AR476" s="68">
        <v>21</v>
      </c>
      <c r="AS476" s="68">
        <v>23</v>
      </c>
      <c r="AT476" s="68">
        <f>AU476-AS476-AR476-AQ476</f>
        <v>25</v>
      </c>
      <c r="AU476" s="36">
        <v>92</v>
      </c>
      <c r="AV476" s="68">
        <v>22</v>
      </c>
      <c r="AW476" s="68">
        <v>25</v>
      </c>
      <c r="AX476" s="68">
        <v>25</v>
      </c>
      <c r="AY476" s="68">
        <f>AZ476-AX476-AW476-AV476</f>
        <v>24</v>
      </c>
      <c r="AZ476" s="36">
        <v>96</v>
      </c>
      <c r="BA476" s="143">
        <v>23</v>
      </c>
      <c r="BB476" s="68">
        <v>30</v>
      </c>
      <c r="BC476" s="68">
        <v>22</v>
      </c>
      <c r="BD476" s="68"/>
      <c r="BE476" s="36"/>
      <c r="BF476" s="68"/>
      <c r="BG476" s="68"/>
      <c r="BH476" s="68"/>
      <c r="BI476" s="68"/>
      <c r="BJ476" s="36"/>
      <c r="BK476" s="68"/>
    </row>
    <row r="477" spans="1:63" hidden="1">
      <c r="A477" s="69" t="s">
        <v>7</v>
      </c>
      <c r="B477" s="23"/>
      <c r="C477" s="70"/>
      <c r="D477" s="70"/>
      <c r="E477" s="70"/>
      <c r="F477" s="70"/>
      <c r="G477" s="23"/>
      <c r="H477" s="70"/>
      <c r="I477" s="70">
        <f>I476/H476-1</f>
        <v>-8.2210808540879365E-2</v>
      </c>
      <c r="J477" s="70">
        <f>J476/I476-1</f>
        <v>2.6854850063353641E-2</v>
      </c>
      <c r="K477" s="70">
        <f>K476/J476-1</f>
        <v>2.9477292202231276E-3</v>
      </c>
      <c r="L477" s="23"/>
      <c r="M477" s="70">
        <f>M476/K476-1</f>
        <v>0.10167116639896068</v>
      </c>
      <c r="N477" s="70">
        <f>N476/M476-1</f>
        <v>3.9490011167638839E-2</v>
      </c>
      <c r="O477" s="70">
        <f>O476/N476-1</f>
        <v>8.6543913575454212E-4</v>
      </c>
      <c r="P477" s="70">
        <f>P476/O476-1</f>
        <v>-7.7524002623884369E-3</v>
      </c>
      <c r="Q477" s="23"/>
      <c r="R477" s="70">
        <f>R476/P476-1</f>
        <v>-3.173267624256304E-2</v>
      </c>
      <c r="S477" s="70">
        <f>S476/R476-1</f>
        <v>8.3483334367823181E-2</v>
      </c>
      <c r="T477" s="70">
        <f>T476/S476-1</f>
        <v>6.4189963336388711E-2</v>
      </c>
      <c r="U477" s="70">
        <f>U476/T476-1</f>
        <v>4.2957500067289489E-2</v>
      </c>
      <c r="V477" s="23"/>
      <c r="W477" s="70">
        <f>W476/U476-1</f>
        <v>1.5639113267438942E-2</v>
      </c>
      <c r="X477" s="70">
        <f>X476/W476-1</f>
        <v>-6.2253843221953931E-2</v>
      </c>
      <c r="Y477" s="70">
        <f>Y476/X476-1</f>
        <v>-2.3736621054057605E-2</v>
      </c>
      <c r="Z477" s="70">
        <f>Z476/Y476-1</f>
        <v>4.3464986538621408E-2</v>
      </c>
      <c r="AA477" s="23"/>
      <c r="AB477" s="70">
        <f>AB476/Z476-1</f>
        <v>-0.45793323580263323</v>
      </c>
      <c r="AC477" s="70">
        <f>AC476/AB476-1</f>
        <v>-1.1433338240345314E-2</v>
      </c>
      <c r="AD477" s="70">
        <f>AD476/AC476-1</f>
        <v>-4.7701777027697956E-2</v>
      </c>
      <c r="AE477" s="70">
        <f>AE476/AD476-1</f>
        <v>0.26609330205890025</v>
      </c>
      <c r="AF477" s="23"/>
      <c r="AG477" s="70">
        <f>AG476/AE476-1</f>
        <v>-0.17661589131329758</v>
      </c>
      <c r="AH477" s="70">
        <f>AH476/AG476-1</f>
        <v>0.14999999999999991</v>
      </c>
      <c r="AI477" s="70">
        <f>AI476/AH476-1</f>
        <v>0</v>
      </c>
      <c r="AJ477" s="70">
        <f>AJ476/AI476-1</f>
        <v>0.21739130434782616</v>
      </c>
      <c r="AK477" s="23"/>
      <c r="AL477" s="70">
        <f>AL476/AJ476-1</f>
        <v>-0.1071428571428571</v>
      </c>
      <c r="AM477" s="70">
        <f>AM476/AL476-1</f>
        <v>-0.16000000000000003</v>
      </c>
      <c r="AN477" s="70">
        <f>AN476/AM476-1</f>
        <v>0</v>
      </c>
      <c r="AO477" s="70">
        <f>AO476/AN476-1</f>
        <v>0.33333333333333326</v>
      </c>
      <c r="AP477" s="23"/>
      <c r="AQ477" s="70">
        <f>AQ476/AO476-1</f>
        <v>-0.1785714285714286</v>
      </c>
      <c r="AR477" s="70">
        <f>AR476/AQ476-1</f>
        <v>-8.6956521739130488E-2</v>
      </c>
      <c r="AS477" s="70">
        <f>AS476/AR476-1</f>
        <v>9.5238095238095344E-2</v>
      </c>
      <c r="AT477" s="70">
        <f>AT476/AS476-1</f>
        <v>8.6956521739130377E-2</v>
      </c>
      <c r="AU477" s="23"/>
      <c r="AV477" s="70">
        <f>AV476/AT476-1</f>
        <v>-0.12</v>
      </c>
      <c r="AW477" s="70">
        <f>AW476/AV476-1</f>
        <v>0.13636363636363646</v>
      </c>
      <c r="AX477" s="70">
        <f>AX476/AW476-1</f>
        <v>0</v>
      </c>
      <c r="AY477" s="70">
        <f>AY476/AX476-1</f>
        <v>-4.0000000000000036E-2</v>
      </c>
      <c r="AZ477" s="23"/>
      <c r="BA477" s="161">
        <v>-4.166666666666663E-2</v>
      </c>
      <c r="BB477" s="70">
        <v>0.30434782608695654</v>
      </c>
      <c r="BC477" s="70">
        <v>-0.26666666666666672</v>
      </c>
      <c r="BD477" s="70"/>
      <c r="BE477" s="23"/>
      <c r="BF477" s="70"/>
      <c r="BG477" s="70"/>
      <c r="BH477" s="70"/>
      <c r="BI477" s="70"/>
      <c r="BJ477" s="23"/>
      <c r="BK477" s="70"/>
    </row>
    <row r="478" spans="1:63" hidden="1">
      <c r="A478" s="69" t="s">
        <v>8</v>
      </c>
      <c r="B478" s="23"/>
      <c r="C478" s="71"/>
      <c r="D478" s="71"/>
      <c r="E478" s="71"/>
      <c r="F478" s="71"/>
      <c r="G478" s="23">
        <f>G476/B476-1</f>
        <v>0.11633204225013705</v>
      </c>
      <c r="H478" s="71"/>
      <c r="I478" s="71"/>
      <c r="J478" s="71"/>
      <c r="K478" s="71"/>
      <c r="L478" s="23">
        <f t="shared" ref="L478:AD478" si="878">L476/G476-1</f>
        <v>1.4240084028549038E-2</v>
      </c>
      <c r="M478" s="71">
        <f t="shared" si="878"/>
        <v>4.1315372936653993E-2</v>
      </c>
      <c r="N478" s="71">
        <f t="shared" si="878"/>
        <v>0.17939602984654379</v>
      </c>
      <c r="O478" s="71">
        <f t="shared" si="878"/>
        <v>0.14954584404455851</v>
      </c>
      <c r="P478" s="71">
        <f t="shared" si="878"/>
        <v>0.1372817060250846</v>
      </c>
      <c r="Q478" s="23">
        <f t="shared" si="878"/>
        <v>0.12525784134799034</v>
      </c>
      <c r="R478" s="71">
        <f t="shared" si="878"/>
        <v>-4.3429705918840433E-4</v>
      </c>
      <c r="S478" s="71">
        <f t="shared" si="878"/>
        <v>4.1869348533229767E-2</v>
      </c>
      <c r="T478" s="71">
        <f t="shared" si="878"/>
        <v>0.10778818057129236</v>
      </c>
      <c r="U478" s="71">
        <f t="shared" si="878"/>
        <v>0.16440290882865516</v>
      </c>
      <c r="V478" s="23">
        <f t="shared" si="878"/>
        <v>7.9020224651292548E-2</v>
      </c>
      <c r="W478" s="71">
        <f t="shared" si="878"/>
        <v>0.22137049221029104</v>
      </c>
      <c r="X478" s="71">
        <f t="shared" si="878"/>
        <v>5.7086388634280505E-2</v>
      </c>
      <c r="Y478" s="71">
        <f t="shared" si="878"/>
        <v>-3.0253276989745004E-2</v>
      </c>
      <c r="Z478" s="71">
        <f t="shared" si="878"/>
        <v>-2.9781413713902527E-2</v>
      </c>
      <c r="AA478" s="23">
        <f t="shared" si="878"/>
        <v>4.7876059173914243E-2</v>
      </c>
      <c r="AB478" s="71">
        <f t="shared" si="878"/>
        <v>-0.48217507305297935</v>
      </c>
      <c r="AC478" s="71">
        <f t="shared" si="878"/>
        <v>-0.45411190895542608</v>
      </c>
      <c r="AD478" s="71">
        <f t="shared" si="878"/>
        <v>-0.46751228177301629</v>
      </c>
      <c r="AE478" s="71">
        <f t="shared" ref="AE478:AN478" si="879">AE476/Z476-1</f>
        <v>-0.35390344460699552</v>
      </c>
      <c r="AF478" s="23">
        <f t="shared" si="879"/>
        <v>-0.43956659816925081</v>
      </c>
      <c r="AG478" s="71">
        <f t="shared" si="879"/>
        <v>-1.8597575936012412E-2</v>
      </c>
      <c r="AH478" s="71">
        <f t="shared" si="879"/>
        <v>0.14166583937258004</v>
      </c>
      <c r="AI478" s="71">
        <f t="shared" si="879"/>
        <v>0.19885327078446702</v>
      </c>
      <c r="AJ478" s="71">
        <f t="shared" si="879"/>
        <v>0.1527377521613833</v>
      </c>
      <c r="AK478" s="23">
        <f t="shared" si="879"/>
        <v>0.11904761904761907</v>
      </c>
      <c r="AL478" s="71">
        <f t="shared" si="879"/>
        <v>0.25</v>
      </c>
      <c r="AM478" s="71">
        <f t="shared" si="879"/>
        <v>-8.6956521739130488E-2</v>
      </c>
      <c r="AN478" s="71">
        <f t="shared" si="879"/>
        <v>-8.6956521739130488E-2</v>
      </c>
      <c r="AO478" s="71">
        <f>AO476/AJ476-1</f>
        <v>0</v>
      </c>
      <c r="AP478" s="23">
        <f>AP476/AK476-1</f>
        <v>1.0638297872340496E-2</v>
      </c>
      <c r="AQ478" s="71">
        <f t="shared" ref="AQ478:AS478" si="880">AQ476/AL476-1</f>
        <v>-7.999999999999996E-2</v>
      </c>
      <c r="AR478" s="71">
        <f t="shared" si="880"/>
        <v>0</v>
      </c>
      <c r="AS478" s="71">
        <f t="shared" si="880"/>
        <v>9.5238095238095344E-2</v>
      </c>
      <c r="AT478" s="71">
        <f>AT476/AO476-1</f>
        <v>-0.1071428571428571</v>
      </c>
      <c r="AU478" s="23">
        <f>AU476/AP476-1</f>
        <v>-3.157894736842104E-2</v>
      </c>
      <c r="AV478" s="71">
        <f t="shared" ref="AV478:AX478" si="881">AV476/AQ476-1</f>
        <v>-4.3478260869565188E-2</v>
      </c>
      <c r="AW478" s="71">
        <f t="shared" si="881"/>
        <v>0.19047619047619047</v>
      </c>
      <c r="AX478" s="71">
        <f t="shared" si="881"/>
        <v>8.6956521739130377E-2</v>
      </c>
      <c r="AY478" s="71">
        <f>AY476/AT476-1</f>
        <v>-4.0000000000000036E-2</v>
      </c>
      <c r="AZ478" s="23">
        <v>4.3478260869565188E-2</v>
      </c>
      <c r="BA478" s="160">
        <v>4.5454545454545414E-2</v>
      </c>
      <c r="BB478" s="71">
        <v>0.19999999999999996</v>
      </c>
      <c r="BC478" s="71">
        <v>-0.12</v>
      </c>
      <c r="BD478" s="71"/>
      <c r="BE478" s="23"/>
      <c r="BF478" s="71"/>
      <c r="BG478" s="71"/>
      <c r="BH478" s="71"/>
      <c r="BI478" s="71"/>
      <c r="BJ478" s="23"/>
      <c r="BK478" s="71"/>
    </row>
    <row r="479" spans="1:63">
      <c r="A479" s="67" t="s">
        <v>233</v>
      </c>
      <c r="B479" s="23"/>
      <c r="C479" s="71"/>
      <c r="D479" s="71"/>
      <c r="E479" s="71"/>
      <c r="F479" s="71"/>
      <c r="G479" s="23"/>
      <c r="H479" s="71"/>
      <c r="I479" s="71"/>
      <c r="J479" s="71"/>
      <c r="K479" s="71"/>
      <c r="L479" s="23"/>
      <c r="M479" s="71"/>
      <c r="N479" s="71"/>
      <c r="O479" s="71"/>
      <c r="P479" s="71"/>
      <c r="Q479" s="23"/>
      <c r="R479" s="71"/>
      <c r="S479" s="71"/>
      <c r="T479" s="71"/>
      <c r="U479" s="71"/>
      <c r="V479" s="23"/>
      <c r="W479" s="71"/>
      <c r="X479" s="71"/>
      <c r="Y479" s="71"/>
      <c r="Z479" s="71"/>
      <c r="AA479" s="23"/>
      <c r="AB479" s="71"/>
      <c r="AC479" s="71"/>
      <c r="AD479" s="71"/>
      <c r="AE479" s="71"/>
      <c r="AF479" s="61"/>
      <c r="AG479" s="182"/>
      <c r="AH479" s="182"/>
      <c r="AI479" s="182"/>
      <c r="AJ479" s="182"/>
      <c r="AK479" s="61" t="s">
        <v>138</v>
      </c>
      <c r="AL479" s="182" t="s">
        <v>138</v>
      </c>
      <c r="AM479" s="182" t="s">
        <v>138</v>
      </c>
      <c r="AN479" s="182" t="s">
        <v>138</v>
      </c>
      <c r="AO479" s="182" t="s">
        <v>138</v>
      </c>
      <c r="AP479" s="61" t="s">
        <v>138</v>
      </c>
      <c r="AQ479" s="182" t="s">
        <v>138</v>
      </c>
      <c r="AR479" s="182" t="s">
        <v>138</v>
      </c>
      <c r="AS479" s="182" t="s">
        <v>138</v>
      </c>
      <c r="AT479" s="182" t="s">
        <v>138</v>
      </c>
      <c r="AU479" s="61" t="s">
        <v>138</v>
      </c>
      <c r="AV479" s="182" t="s">
        <v>138</v>
      </c>
      <c r="AW479" s="182" t="s">
        <v>138</v>
      </c>
      <c r="AX479" s="182" t="s">
        <v>138</v>
      </c>
      <c r="AY479" s="182" t="s">
        <v>138</v>
      </c>
      <c r="AZ479" s="61" t="s">
        <v>138</v>
      </c>
      <c r="BA479" s="182" t="s">
        <v>138</v>
      </c>
      <c r="BB479" s="182" t="s">
        <v>138</v>
      </c>
      <c r="BC479" s="182" t="s">
        <v>138</v>
      </c>
      <c r="BD479" s="143">
        <v>1100</v>
      </c>
      <c r="BE479" s="224">
        <v>1100</v>
      </c>
      <c r="BF479" s="182" t="s">
        <v>138</v>
      </c>
      <c r="BG479" s="182" t="s">
        <v>138</v>
      </c>
      <c r="BH479" s="182" t="s">
        <v>138</v>
      </c>
      <c r="BI479" s="182" t="s">
        <v>138</v>
      </c>
      <c r="BJ479" s="61" t="s">
        <v>138</v>
      </c>
      <c r="BK479" s="74">
        <v>0</v>
      </c>
    </row>
    <row r="480" spans="1:63" ht="19.899999999999999" customHeight="1">
      <c r="A480" s="67" t="s">
        <v>255</v>
      </c>
      <c r="B480" s="23"/>
      <c r="C480" s="71"/>
      <c r="D480" s="71"/>
      <c r="E480" s="71"/>
      <c r="F480" s="71"/>
      <c r="G480" s="23"/>
      <c r="H480" s="71"/>
      <c r="I480" s="71"/>
      <c r="J480" s="71"/>
      <c r="K480" s="71"/>
      <c r="L480" s="23"/>
      <c r="M480" s="71"/>
      <c r="N480" s="71"/>
      <c r="O480" s="71"/>
      <c r="P480" s="71"/>
      <c r="Q480" s="23"/>
      <c r="R480" s="71"/>
      <c r="S480" s="71"/>
      <c r="T480" s="71"/>
      <c r="U480" s="71"/>
      <c r="V480" s="23"/>
      <c r="W480" s="71"/>
      <c r="X480" s="71"/>
      <c r="Y480" s="71"/>
      <c r="Z480" s="71"/>
      <c r="AA480" s="23"/>
      <c r="AB480" s="71"/>
      <c r="AC480" s="71"/>
      <c r="AD480" s="71"/>
      <c r="AE480" s="71"/>
      <c r="AF480" s="61"/>
      <c r="AG480" s="182"/>
      <c r="AH480" s="182"/>
      <c r="AI480" s="182"/>
      <c r="AJ480" s="182"/>
      <c r="AK480" s="61" t="s">
        <v>138</v>
      </c>
      <c r="AL480" s="182" t="s">
        <v>138</v>
      </c>
      <c r="AM480" s="182" t="s">
        <v>138</v>
      </c>
      <c r="AN480" s="182" t="s">
        <v>138</v>
      </c>
      <c r="AO480" s="182" t="s">
        <v>138</v>
      </c>
      <c r="AP480" s="61" t="s">
        <v>138</v>
      </c>
      <c r="AQ480" s="182" t="s">
        <v>138</v>
      </c>
      <c r="AR480" s="182" t="s">
        <v>138</v>
      </c>
      <c r="AS480" s="182" t="s">
        <v>138</v>
      </c>
      <c r="AT480" s="182" t="s">
        <v>138</v>
      </c>
      <c r="AU480" s="174">
        <v>-11</v>
      </c>
      <c r="AV480" s="182" t="s">
        <v>138</v>
      </c>
      <c r="AW480" s="182" t="s">
        <v>138</v>
      </c>
      <c r="AX480" s="182" t="s">
        <v>138</v>
      </c>
      <c r="AY480" s="182" t="s">
        <v>138</v>
      </c>
      <c r="AZ480" s="61" t="s">
        <v>138</v>
      </c>
      <c r="BA480" s="147">
        <v>2</v>
      </c>
      <c r="BB480" s="182">
        <v>7</v>
      </c>
      <c r="BC480" s="182" t="s">
        <v>138</v>
      </c>
      <c r="BD480" s="147">
        <v>8</v>
      </c>
      <c r="BE480" s="36">
        <v>17</v>
      </c>
      <c r="BF480" s="147">
        <v>43</v>
      </c>
      <c r="BG480" s="147">
        <v>-9</v>
      </c>
      <c r="BH480" s="147">
        <v>1</v>
      </c>
      <c r="BI480" s="147">
        <v>8</v>
      </c>
      <c r="BJ480" s="36">
        <v>42</v>
      </c>
      <c r="BK480" s="74">
        <v>0</v>
      </c>
    </row>
    <row r="481" spans="1:63" s="35" customFormat="1" ht="18" customHeight="1">
      <c r="A481" s="67" t="s">
        <v>251</v>
      </c>
      <c r="B481" s="36">
        <v>55.999000000000002</v>
      </c>
      <c r="C481" s="68">
        <v>26.847999999999999</v>
      </c>
      <c r="D481" s="68">
        <v>42.551000000000002</v>
      </c>
      <c r="E481" s="68">
        <v>52.412999999999997</v>
      </c>
      <c r="F481" s="68">
        <f>G481-E481-D481-C481</f>
        <v>55.335999999999999</v>
      </c>
      <c r="G481" s="36">
        <v>177.148</v>
      </c>
      <c r="H481" s="68">
        <v>65.95</v>
      </c>
      <c r="I481" s="68">
        <v>59.054000000000002</v>
      </c>
      <c r="J481" s="68">
        <v>60.661000000000001</v>
      </c>
      <c r="K481" s="68">
        <f>L481-J481-I481-H481</f>
        <v>62.552000000000007</v>
      </c>
      <c r="L481" s="36">
        <v>248.21700000000001</v>
      </c>
      <c r="M481" s="68">
        <v>58.691000000000003</v>
      </c>
      <c r="N481" s="68">
        <v>7.2850000000000001</v>
      </c>
      <c r="O481" s="68">
        <v>71.742000000000004</v>
      </c>
      <c r="P481" s="68">
        <f>Q481-O481-N481-M481</f>
        <v>40.600999999999985</v>
      </c>
      <c r="Q481" s="36">
        <v>178.31899999999999</v>
      </c>
      <c r="R481" s="68">
        <v>61.37</v>
      </c>
      <c r="S481" s="68">
        <v>65.313000000000002</v>
      </c>
      <c r="T481" s="68">
        <v>63.363999999999997</v>
      </c>
      <c r="U481" s="68">
        <v>106</v>
      </c>
      <c r="V481" s="36">
        <v>294.86799999999999</v>
      </c>
      <c r="W481" s="68">
        <v>51.604999999999997</v>
      </c>
      <c r="X481" s="68">
        <v>74.488</v>
      </c>
      <c r="Y481" s="68">
        <v>53.99</v>
      </c>
      <c r="Z481" s="68">
        <f>AA481-Y481-X481-W481</f>
        <v>72.665999999999997</v>
      </c>
      <c r="AA481" s="36">
        <v>252.749</v>
      </c>
      <c r="AB481" s="68">
        <v>67.429000000000002</v>
      </c>
      <c r="AC481" s="68">
        <v>67.584000000000003</v>
      </c>
      <c r="AD481" s="68">
        <v>72.408000000000001</v>
      </c>
      <c r="AE481" s="68">
        <f>AF481-AD481-AC481-AB481</f>
        <v>59.578999999999979</v>
      </c>
      <c r="AF481" s="36">
        <v>267</v>
      </c>
      <c r="AG481" s="68">
        <v>73</v>
      </c>
      <c r="AH481" s="68">
        <v>67</v>
      </c>
      <c r="AI481" s="68">
        <v>76</v>
      </c>
      <c r="AJ481" s="68">
        <f>AK481-AI481-AH481-AG481</f>
        <v>57</v>
      </c>
      <c r="AK481" s="36">
        <v>273</v>
      </c>
      <c r="AL481" s="68">
        <v>59</v>
      </c>
      <c r="AM481" s="68">
        <v>70</v>
      </c>
      <c r="AN481" s="68">
        <v>74</v>
      </c>
      <c r="AO481" s="68">
        <f>AP481-AN481-AM481-AL481</f>
        <v>47</v>
      </c>
      <c r="AP481" s="36">
        <v>250</v>
      </c>
      <c r="AQ481" s="68">
        <v>57</v>
      </c>
      <c r="AR481" s="68">
        <v>77</v>
      </c>
      <c r="AS481" s="68">
        <v>62</v>
      </c>
      <c r="AT481" s="68">
        <f>AU481-AS481-AR481-AQ481</f>
        <v>68</v>
      </c>
      <c r="AU481" s="36">
        <v>264</v>
      </c>
      <c r="AV481" s="68">
        <v>52</v>
      </c>
      <c r="AW481" s="68">
        <v>49</v>
      </c>
      <c r="AX481" s="68">
        <v>35</v>
      </c>
      <c r="AY481" s="68">
        <f>AZ481-AX481-AW481-AV481</f>
        <v>27</v>
      </c>
      <c r="AZ481" s="36">
        <v>163</v>
      </c>
      <c r="BA481" s="147">
        <v>-1</v>
      </c>
      <c r="BB481" s="147">
        <v>-17</v>
      </c>
      <c r="BC481" s="68">
        <v>1</v>
      </c>
      <c r="BD481" s="147">
        <v>-1139</v>
      </c>
      <c r="BE481" s="174">
        <v>-1156</v>
      </c>
      <c r="BF481" s="182">
        <v>-45</v>
      </c>
      <c r="BG481" s="182">
        <v>-24</v>
      </c>
      <c r="BH481" s="182">
        <v>20</v>
      </c>
      <c r="BI481" s="147">
        <v>-6</v>
      </c>
      <c r="BJ481" s="174">
        <v>-55</v>
      </c>
      <c r="BK481" s="182">
        <v>9</v>
      </c>
    </row>
    <row r="482" spans="1:63">
      <c r="A482" s="69" t="s">
        <v>7</v>
      </c>
      <c r="B482" s="23"/>
      <c r="C482" s="70"/>
      <c r="D482" s="70">
        <f>D481/C481-1</f>
        <v>0.58488528009535168</v>
      </c>
      <c r="E482" s="70">
        <f>E481/D481-1</f>
        <v>0.2317689361002091</v>
      </c>
      <c r="F482" s="70">
        <f>F481/E481-1</f>
        <v>5.576860702497477E-2</v>
      </c>
      <c r="G482" s="23"/>
      <c r="H482" s="70">
        <f>H481/F481-1</f>
        <v>0.19181003325140966</v>
      </c>
      <c r="I482" s="70">
        <f>I481/H481-1</f>
        <v>-0.10456406368460958</v>
      </c>
      <c r="J482" s="70">
        <f>J481/I481-1</f>
        <v>2.7212381887763648E-2</v>
      </c>
      <c r="K482" s="70">
        <f>K481/J481-1</f>
        <v>3.1173241456619705E-2</v>
      </c>
      <c r="L482" s="23"/>
      <c r="M482" s="70">
        <f>M481/K481-1</f>
        <v>-6.172464509528075E-2</v>
      </c>
      <c r="N482" s="70">
        <f>N481/M481-1</f>
        <v>-0.87587534715714499</v>
      </c>
      <c r="O482" s="70">
        <f>O481/N481-1</f>
        <v>8.847906657515443</v>
      </c>
      <c r="P482" s="70">
        <f>P481/O481-1</f>
        <v>-0.43406930389451115</v>
      </c>
      <c r="Q482" s="23"/>
      <c r="R482" s="70">
        <f>R481/P481-1</f>
        <v>0.51153912465210261</v>
      </c>
      <c r="S482" s="70">
        <f>S481/R481-1</f>
        <v>6.4249633371354253E-2</v>
      </c>
      <c r="T482" s="70">
        <f>T481/S481-1</f>
        <v>-2.9840919878125427E-2</v>
      </c>
      <c r="U482" s="70">
        <f>U481/T481-1</f>
        <v>0.67287418723565429</v>
      </c>
      <c r="V482" s="23"/>
      <c r="W482" s="70">
        <f>W481/U481-1</f>
        <v>-0.51316037735849052</v>
      </c>
      <c r="X482" s="70">
        <f>X481/W481-1</f>
        <v>0.44342602461001857</v>
      </c>
      <c r="Y482" s="70">
        <f>Y481/X481-1</f>
        <v>-0.27518526474062932</v>
      </c>
      <c r="Z482" s="70">
        <v>0.34591591035376901</v>
      </c>
      <c r="AA482" s="23"/>
      <c r="AB482" s="70">
        <f>AB481/Z481-1</f>
        <v>-7.2069468527234171E-2</v>
      </c>
      <c r="AC482" s="70">
        <f>AC481/AB481-1</f>
        <v>2.2987142030876928E-3</v>
      </c>
      <c r="AD482" s="70">
        <f>AD481/AC481-1</f>
        <v>7.1377840909090828E-2</v>
      </c>
      <c r="AE482" s="70">
        <f>AE481/AD481-1</f>
        <v>-0.17717655507678742</v>
      </c>
      <c r="AF482" s="23"/>
      <c r="AG482" s="70">
        <f>AG481/AE481-1</f>
        <v>0.22526393527920963</v>
      </c>
      <c r="AH482" s="70">
        <f>AH481/AG481-1</f>
        <v>-8.2191780821917804E-2</v>
      </c>
      <c r="AI482" s="70">
        <f>AI481/AH481-1</f>
        <v>0.13432835820895517</v>
      </c>
      <c r="AJ482" s="70">
        <f>AJ481/AI481-1</f>
        <v>-0.25</v>
      </c>
      <c r="AK482" s="23"/>
      <c r="AL482" s="70">
        <f>AL481/AJ481-1</f>
        <v>3.5087719298245723E-2</v>
      </c>
      <c r="AM482" s="70">
        <f>AM481/AL481-1</f>
        <v>0.18644067796610164</v>
      </c>
      <c r="AN482" s="70">
        <f>AN481/AM481-1</f>
        <v>5.7142857142857162E-2</v>
      </c>
      <c r="AO482" s="70">
        <f>AO481/AN481-1</f>
        <v>-0.36486486486486491</v>
      </c>
      <c r="AP482" s="23"/>
      <c r="AQ482" s="70">
        <f>AQ481/AO481-1</f>
        <v>0.2127659574468086</v>
      </c>
      <c r="AR482" s="70">
        <f>AR481/AQ481-1</f>
        <v>0.35087719298245612</v>
      </c>
      <c r="AS482" s="70">
        <f>AS481/AR481-1</f>
        <v>-0.19480519480519476</v>
      </c>
      <c r="AT482" s="70">
        <f>AT481/AS481-1</f>
        <v>9.6774193548387011E-2</v>
      </c>
      <c r="AU482" s="23"/>
      <c r="AV482" s="70">
        <f>AV481/AT481-1</f>
        <v>-0.23529411764705888</v>
      </c>
      <c r="AW482" s="70">
        <f>AW481/AV481-1</f>
        <v>-5.7692307692307709E-2</v>
      </c>
      <c r="AX482" s="70">
        <f>AX481/AW481-1</f>
        <v>-0.2857142857142857</v>
      </c>
      <c r="AY482" s="70">
        <f>AY481/AX481-1</f>
        <v>-0.22857142857142854</v>
      </c>
      <c r="AZ482" s="23"/>
      <c r="BA482" s="83" t="s">
        <v>39</v>
      </c>
      <c r="BB482" s="70">
        <v>16</v>
      </c>
      <c r="BC482" s="83" t="s">
        <v>39</v>
      </c>
      <c r="BD482" s="83" t="s">
        <v>39</v>
      </c>
      <c r="BE482" s="23"/>
      <c r="BF482" s="83" t="s">
        <v>39</v>
      </c>
      <c r="BG482" s="70">
        <v>-0.46666666666666667</v>
      </c>
      <c r="BH482" s="83" t="s">
        <v>39</v>
      </c>
      <c r="BI482" s="83" t="s">
        <v>39</v>
      </c>
      <c r="BJ482" s="23"/>
      <c r="BK482" s="83" t="s">
        <v>39</v>
      </c>
    </row>
    <row r="483" spans="1:63">
      <c r="A483" s="69" t="s">
        <v>8</v>
      </c>
      <c r="B483" s="23"/>
      <c r="C483" s="71"/>
      <c r="D483" s="71"/>
      <c r="E483" s="71"/>
      <c r="F483" s="71"/>
      <c r="G483" s="23">
        <f t="shared" ref="G483:N483" si="882">G481/B481-1</f>
        <v>2.1634136323862925</v>
      </c>
      <c r="H483" s="71">
        <f t="shared" si="882"/>
        <v>1.4564213349225272</v>
      </c>
      <c r="I483" s="71">
        <f t="shared" si="882"/>
        <v>0.3878404737843999</v>
      </c>
      <c r="J483" s="71">
        <f t="shared" si="882"/>
        <v>0.15736553908381512</v>
      </c>
      <c r="K483" s="71">
        <f t="shared" si="882"/>
        <v>0.13040335405522629</v>
      </c>
      <c r="L483" s="23">
        <f t="shared" si="882"/>
        <v>0.4011843204552128</v>
      </c>
      <c r="M483" s="71">
        <f t="shared" si="882"/>
        <v>-0.11006823351023498</v>
      </c>
      <c r="N483" s="71">
        <f t="shared" si="882"/>
        <v>-0.8766383310190673</v>
      </c>
      <c r="O483" s="71">
        <f t="shared" ref="O483:Y483" si="883">O481/J481-1</f>
        <v>0.18267090882115378</v>
      </c>
      <c r="P483" s="71">
        <f t="shared" si="883"/>
        <v>-0.35092403120603688</v>
      </c>
      <c r="Q483" s="23">
        <f t="shared" si="883"/>
        <v>-0.28160037386641534</v>
      </c>
      <c r="R483" s="71">
        <f t="shared" si="883"/>
        <v>4.5645840077694899E-2</v>
      </c>
      <c r="S483" s="71">
        <f t="shared" si="883"/>
        <v>7.9654083733699377</v>
      </c>
      <c r="T483" s="71">
        <f t="shared" si="883"/>
        <v>-0.11677957124139282</v>
      </c>
      <c r="U483" s="71">
        <f t="shared" si="883"/>
        <v>1.6107731336666595</v>
      </c>
      <c r="V483" s="23">
        <f t="shared" si="883"/>
        <v>0.65359832659447403</v>
      </c>
      <c r="W483" s="71">
        <f t="shared" si="883"/>
        <v>-0.15911683232849927</v>
      </c>
      <c r="X483" s="71">
        <f t="shared" si="883"/>
        <v>0.14047739347449961</v>
      </c>
      <c r="Y483" s="71">
        <f t="shared" si="883"/>
        <v>-0.14793889274666994</v>
      </c>
      <c r="Z483" s="71">
        <v>-0.30676104978964125</v>
      </c>
      <c r="AA483" s="23">
        <v>-0.14284018611717786</v>
      </c>
      <c r="AB483" s="71">
        <f t="shared" ref="AB483:AI483" si="884">AB481/W481-1</f>
        <v>0.30663695378354827</v>
      </c>
      <c r="AC483" s="71">
        <f t="shared" si="884"/>
        <v>-9.2686070239501595E-2</v>
      </c>
      <c r="AD483" s="71">
        <f t="shared" si="884"/>
        <v>0.34113724763845155</v>
      </c>
      <c r="AE483" s="71">
        <f t="shared" si="884"/>
        <v>-0.18009798255029885</v>
      </c>
      <c r="AF483" s="23">
        <f t="shared" si="884"/>
        <v>5.6384001519293792E-2</v>
      </c>
      <c r="AG483" s="71">
        <f t="shared" si="884"/>
        <v>8.2620237583235667E-2</v>
      </c>
      <c r="AH483" s="71">
        <f t="shared" si="884"/>
        <v>-8.6410984848485084E-3</v>
      </c>
      <c r="AI483" s="71">
        <f t="shared" si="884"/>
        <v>4.9607778146061099E-2</v>
      </c>
      <c r="AJ483" s="71">
        <f t="shared" ref="AJ483:AS483" si="885">AJ481/AE481-1</f>
        <v>-4.3287064234041828E-2</v>
      </c>
      <c r="AK483" s="23">
        <f t="shared" si="885"/>
        <v>2.2471910112359605E-2</v>
      </c>
      <c r="AL483" s="71">
        <f t="shared" si="885"/>
        <v>-0.19178082191780821</v>
      </c>
      <c r="AM483" s="71">
        <f t="shared" si="885"/>
        <v>4.4776119402984982E-2</v>
      </c>
      <c r="AN483" s="71">
        <f t="shared" si="885"/>
        <v>-2.6315789473684181E-2</v>
      </c>
      <c r="AO483" s="71">
        <f t="shared" si="885"/>
        <v>-0.17543859649122806</v>
      </c>
      <c r="AP483" s="23">
        <f t="shared" si="885"/>
        <v>-8.4249084249084283E-2</v>
      </c>
      <c r="AQ483" s="71">
        <f t="shared" si="885"/>
        <v>-3.3898305084745783E-2</v>
      </c>
      <c r="AR483" s="71">
        <f t="shared" si="885"/>
        <v>0.10000000000000009</v>
      </c>
      <c r="AS483" s="71">
        <f t="shared" si="885"/>
        <v>-0.16216216216216217</v>
      </c>
      <c r="AT483" s="71">
        <f t="shared" ref="AT483" si="886">AT481/AO481-1</f>
        <v>0.44680851063829796</v>
      </c>
      <c r="AU483" s="23">
        <f t="shared" ref="AU483:AX483" si="887">AU481/AP481-1</f>
        <v>5.600000000000005E-2</v>
      </c>
      <c r="AV483" s="71">
        <f t="shared" si="887"/>
        <v>-8.7719298245614086E-2</v>
      </c>
      <c r="AW483" s="71">
        <f t="shared" si="887"/>
        <v>-0.36363636363636365</v>
      </c>
      <c r="AX483" s="71">
        <f t="shared" si="887"/>
        <v>-0.43548387096774188</v>
      </c>
      <c r="AY483" s="71">
        <f t="shared" ref="AY483" si="888">AY481/AT481-1</f>
        <v>-0.60294117647058831</v>
      </c>
      <c r="AZ483" s="23">
        <v>-0.38257575757575757</v>
      </c>
      <c r="BA483" s="83" t="s">
        <v>39</v>
      </c>
      <c r="BB483" s="83" t="s">
        <v>39</v>
      </c>
      <c r="BC483" s="71">
        <v>-0.97142857142857142</v>
      </c>
      <c r="BD483" s="83" t="s">
        <v>39</v>
      </c>
      <c r="BE483" s="90" t="s">
        <v>39</v>
      </c>
      <c r="BF483" s="83">
        <v>44</v>
      </c>
      <c r="BG483" s="71">
        <v>0.41176470588235303</v>
      </c>
      <c r="BH483" s="71">
        <v>19</v>
      </c>
      <c r="BI483" s="83">
        <v>-0.99473222124670768</v>
      </c>
      <c r="BJ483" s="90">
        <v>-0.95242214532871972</v>
      </c>
      <c r="BK483" s="83" t="s">
        <v>39</v>
      </c>
    </row>
    <row r="484" spans="1:63">
      <c r="A484" s="67" t="s">
        <v>88</v>
      </c>
      <c r="B484" s="36">
        <v>153</v>
      </c>
      <c r="C484" s="68"/>
      <c r="D484" s="68"/>
      <c r="E484" s="68"/>
      <c r="F484" s="68"/>
      <c r="G484" s="36">
        <v>178</v>
      </c>
      <c r="H484" s="68"/>
      <c r="I484" s="68"/>
      <c r="J484" s="68"/>
      <c r="K484" s="68"/>
      <c r="L484" s="36">
        <v>170</v>
      </c>
      <c r="M484" s="78" t="s">
        <v>48</v>
      </c>
      <c r="N484" s="78" t="s">
        <v>48</v>
      </c>
      <c r="O484" s="78" t="s">
        <v>48</v>
      </c>
      <c r="P484" s="78" t="s">
        <v>48</v>
      </c>
      <c r="Q484" s="36">
        <v>172</v>
      </c>
      <c r="R484" s="78" t="s">
        <v>48</v>
      </c>
      <c r="S484" s="78" t="s">
        <v>48</v>
      </c>
      <c r="T484" s="78" t="s">
        <v>48</v>
      </c>
      <c r="U484" s="78" t="s">
        <v>48</v>
      </c>
      <c r="V484" s="36">
        <v>146</v>
      </c>
      <c r="W484" s="78" t="s">
        <v>48</v>
      </c>
      <c r="X484" s="78" t="s">
        <v>48</v>
      </c>
      <c r="Y484" s="78" t="s">
        <v>48</v>
      </c>
      <c r="Z484" s="78" t="s">
        <v>48</v>
      </c>
      <c r="AA484" s="36">
        <v>154</v>
      </c>
      <c r="AB484" s="78" t="s">
        <v>48</v>
      </c>
      <c r="AC484" s="78" t="s">
        <v>48</v>
      </c>
      <c r="AD484" s="78" t="s">
        <v>48</v>
      </c>
      <c r="AE484" s="78" t="s">
        <v>48</v>
      </c>
      <c r="AF484" s="36">
        <v>161</v>
      </c>
      <c r="AG484" s="78" t="s">
        <v>48</v>
      </c>
      <c r="AH484" s="78" t="s">
        <v>48</v>
      </c>
      <c r="AI484" s="78" t="s">
        <v>48</v>
      </c>
      <c r="AJ484" s="78" t="s">
        <v>48</v>
      </c>
      <c r="AK484" s="36">
        <v>111</v>
      </c>
      <c r="AL484" s="78" t="s">
        <v>48</v>
      </c>
      <c r="AM484" s="78" t="s">
        <v>48</v>
      </c>
      <c r="AN484" s="78" t="s">
        <v>48</v>
      </c>
      <c r="AO484" s="78" t="s">
        <v>48</v>
      </c>
      <c r="AP484" s="36">
        <v>90</v>
      </c>
      <c r="AQ484" s="68">
        <v>19</v>
      </c>
      <c r="AR484" s="68">
        <v>12</v>
      </c>
      <c r="AS484" s="68">
        <v>26</v>
      </c>
      <c r="AT484" s="68">
        <f>AU484-AS484-AR484-AQ484</f>
        <v>1</v>
      </c>
      <c r="AU484" s="36">
        <v>58</v>
      </c>
      <c r="AV484" s="68">
        <v>27</v>
      </c>
      <c r="AW484" s="68">
        <v>32</v>
      </c>
      <c r="AX484" s="147">
        <v>-1</v>
      </c>
      <c r="AY484" s="68">
        <f>AZ484-AX484-AW484-AV484</f>
        <v>13</v>
      </c>
      <c r="AZ484" s="36">
        <v>71</v>
      </c>
      <c r="BA484" s="147">
        <v>-3</v>
      </c>
      <c r="BB484" s="147">
        <v>-7</v>
      </c>
      <c r="BC484" s="147">
        <v>3</v>
      </c>
      <c r="BD484" s="147">
        <v>-4</v>
      </c>
      <c r="BE484" s="174">
        <v>-11</v>
      </c>
      <c r="BF484" s="147">
        <v>5</v>
      </c>
      <c r="BG484" s="147">
        <v>2</v>
      </c>
      <c r="BH484" s="147">
        <v>4</v>
      </c>
      <c r="BI484" s="147">
        <v>1</v>
      </c>
      <c r="BJ484" s="174">
        <v>12</v>
      </c>
      <c r="BK484" s="147">
        <v>-5</v>
      </c>
    </row>
    <row r="485" spans="1:63">
      <c r="A485" s="69" t="s">
        <v>7</v>
      </c>
      <c r="B485" s="23"/>
      <c r="C485" s="70"/>
      <c r="D485" s="70"/>
      <c r="E485" s="70"/>
      <c r="F485" s="70"/>
      <c r="G485" s="23"/>
      <c r="H485" s="70"/>
      <c r="I485" s="70"/>
      <c r="J485" s="70"/>
      <c r="K485" s="70"/>
      <c r="L485" s="23"/>
      <c r="M485" s="70"/>
      <c r="N485" s="70"/>
      <c r="O485" s="70"/>
      <c r="P485" s="70"/>
      <c r="Q485" s="23"/>
      <c r="R485" s="70"/>
      <c r="S485" s="70"/>
      <c r="T485" s="70"/>
      <c r="U485" s="70"/>
      <c r="V485" s="23"/>
      <c r="W485" s="70"/>
      <c r="X485" s="70"/>
      <c r="Y485" s="70"/>
      <c r="Z485" s="70"/>
      <c r="AA485" s="23"/>
      <c r="AB485" s="70"/>
      <c r="AC485" s="70"/>
      <c r="AD485" s="70"/>
      <c r="AE485" s="70"/>
      <c r="AF485" s="23"/>
      <c r="AG485" s="70"/>
      <c r="AH485" s="70"/>
      <c r="AI485" s="70"/>
      <c r="AJ485" s="70"/>
      <c r="AK485" s="23"/>
      <c r="AL485" s="70"/>
      <c r="AM485" s="70"/>
      <c r="AN485" s="70"/>
      <c r="AO485" s="70"/>
      <c r="AP485" s="23"/>
      <c r="AQ485" s="70"/>
      <c r="AR485" s="70">
        <f>AR484/AQ484-1</f>
        <v>-0.36842105263157898</v>
      </c>
      <c r="AS485" s="70">
        <f>AS484/AR484-1</f>
        <v>1.1666666666666665</v>
      </c>
      <c r="AT485" s="70">
        <f>AT484/AS484-1</f>
        <v>-0.96153846153846156</v>
      </c>
      <c r="AU485" s="23"/>
      <c r="AV485" s="70">
        <f>AV484/AT484-1</f>
        <v>26</v>
      </c>
      <c r="AW485" s="70">
        <f>AW484/AV484-1</f>
        <v>0.18518518518518512</v>
      </c>
      <c r="AX485" s="83" t="s">
        <v>39</v>
      </c>
      <c r="AY485" s="83" t="s">
        <v>39</v>
      </c>
      <c r="AZ485" s="23"/>
      <c r="BA485" s="81" t="s">
        <v>39</v>
      </c>
      <c r="BB485" s="70">
        <v>1.3333333333333335</v>
      </c>
      <c r="BC485" s="83" t="s">
        <v>39</v>
      </c>
      <c r="BD485" s="83" t="s">
        <v>39</v>
      </c>
      <c r="BE485" s="23"/>
      <c r="BF485" s="81" t="s">
        <v>39</v>
      </c>
      <c r="BG485" s="70">
        <v>-0.6</v>
      </c>
      <c r="BH485" s="70">
        <v>1</v>
      </c>
      <c r="BI485" s="70">
        <v>-0.75</v>
      </c>
      <c r="BJ485" s="23"/>
      <c r="BK485" s="83" t="s">
        <v>39</v>
      </c>
    </row>
    <row r="486" spans="1:63">
      <c r="A486" s="69" t="s">
        <v>8</v>
      </c>
      <c r="B486" s="23"/>
      <c r="C486" s="71"/>
      <c r="D486" s="71"/>
      <c r="E486" s="71"/>
      <c r="F486" s="71"/>
      <c r="G486" s="23">
        <f t="shared" ref="G486" si="889">G484/B484-1</f>
        <v>0.1633986928104576</v>
      </c>
      <c r="H486" s="71"/>
      <c r="I486" s="71"/>
      <c r="J486" s="71"/>
      <c r="K486" s="71"/>
      <c r="L486" s="23">
        <f t="shared" ref="L486:Q486" si="890">L484/G484-1</f>
        <v>-4.49438202247191E-2</v>
      </c>
      <c r="M486" s="71"/>
      <c r="N486" s="71"/>
      <c r="O486" s="71"/>
      <c r="P486" s="71"/>
      <c r="Q486" s="23">
        <f t="shared" si="890"/>
        <v>1.1764705882352899E-2</v>
      </c>
      <c r="R486" s="71"/>
      <c r="S486" s="71"/>
      <c r="T486" s="71"/>
      <c r="U486" s="71"/>
      <c r="V486" s="23">
        <f t="shared" ref="V486" si="891">V484/Q484-1</f>
        <v>-0.15116279069767447</v>
      </c>
      <c r="W486" s="71"/>
      <c r="X486" s="71"/>
      <c r="Y486" s="71"/>
      <c r="Z486" s="71"/>
      <c r="AA486" s="23">
        <f t="shared" ref="AA486" si="892">AA484/V484-1</f>
        <v>5.4794520547945202E-2</v>
      </c>
      <c r="AB486" s="71"/>
      <c r="AC486" s="71"/>
      <c r="AD486" s="71"/>
      <c r="AE486" s="71"/>
      <c r="AF486" s="23">
        <f t="shared" ref="AF486" si="893">AF484/AA484-1</f>
        <v>4.5454545454545414E-2</v>
      </c>
      <c r="AG486" s="71"/>
      <c r="AH486" s="71"/>
      <c r="AI486" s="71"/>
      <c r="AJ486" s="71"/>
      <c r="AK486" s="23">
        <f t="shared" ref="AK486" si="894">AK484/AF484-1</f>
        <v>-0.31055900621118016</v>
      </c>
      <c r="AL486" s="71"/>
      <c r="AM486" s="71"/>
      <c r="AN486" s="71"/>
      <c r="AO486" s="71"/>
      <c r="AP486" s="23">
        <f t="shared" ref="AP486" si="895">AP484/AK484-1</f>
        <v>-0.18918918918918914</v>
      </c>
      <c r="AQ486" s="71"/>
      <c r="AR486" s="71"/>
      <c r="AS486" s="71"/>
      <c r="AT486" s="71"/>
      <c r="AU486" s="23">
        <f t="shared" ref="AU486" si="896">AU484/AP484-1</f>
        <v>-0.35555555555555551</v>
      </c>
      <c r="AV486" s="71">
        <f t="shared" ref="AV486" si="897">AV484/AQ484-1</f>
        <v>0.42105263157894735</v>
      </c>
      <c r="AW486" s="71">
        <f t="shared" ref="AW486" si="898">AW484/AR484-1</f>
        <v>1.6666666666666665</v>
      </c>
      <c r="AX486" s="83" t="s">
        <v>39</v>
      </c>
      <c r="AY486" s="71">
        <f t="shared" ref="AY486" si="899">AY484/AT484-1</f>
        <v>12</v>
      </c>
      <c r="AZ486" s="23">
        <v>0.22413793103448265</v>
      </c>
      <c r="BA486" s="81" t="s">
        <v>39</v>
      </c>
      <c r="BB486" s="83" t="s">
        <v>39</v>
      </c>
      <c r="BC486" s="83" t="s">
        <v>39</v>
      </c>
      <c r="BD486" s="83" t="s">
        <v>39</v>
      </c>
      <c r="BE486" s="90" t="s">
        <v>39</v>
      </c>
      <c r="BF486" s="81" t="s">
        <v>39</v>
      </c>
      <c r="BG486" s="81" t="s">
        <v>39</v>
      </c>
      <c r="BH486" s="71">
        <v>0.33333333333333326</v>
      </c>
      <c r="BI486" s="83" t="s">
        <v>39</v>
      </c>
      <c r="BJ486" s="90" t="s">
        <v>39</v>
      </c>
      <c r="BK486" s="83" t="s">
        <v>39</v>
      </c>
    </row>
    <row r="487" spans="1:63" hidden="1">
      <c r="A487" s="188" t="s">
        <v>159</v>
      </c>
      <c r="B487" s="174">
        <f>55.999-166.523+13.392</f>
        <v>-97.132000000000005</v>
      </c>
      <c r="C487" s="78" t="s">
        <v>48</v>
      </c>
      <c r="D487" s="78" t="s">
        <v>48</v>
      </c>
      <c r="E487" s="78" t="s">
        <v>48</v>
      </c>
      <c r="F487" s="78" t="s">
        <v>48</v>
      </c>
      <c r="G487" s="174">
        <f>177.148-229.65+51.805</f>
        <v>-0.69700000000000983</v>
      </c>
      <c r="H487" s="78" t="s">
        <v>48</v>
      </c>
      <c r="I487" s="78" t="s">
        <v>48</v>
      </c>
      <c r="J487" s="78" t="s">
        <v>48</v>
      </c>
      <c r="K487" s="78" t="s">
        <v>48</v>
      </c>
      <c r="L487" s="36">
        <f>248.217-177.9+8.347</f>
        <v>78.664000000000001</v>
      </c>
      <c r="M487" s="78" t="s">
        <v>48</v>
      </c>
      <c r="N487" s="78" t="s">
        <v>48</v>
      </c>
      <c r="O487" s="78" t="s">
        <v>48</v>
      </c>
      <c r="P487" s="78" t="s">
        <v>48</v>
      </c>
      <c r="Q487" s="36">
        <f>178.319-181.584+9.313</f>
        <v>6.0479999999999858</v>
      </c>
      <c r="R487" s="78" t="s">
        <v>48</v>
      </c>
      <c r="S487" s="78" t="s">
        <v>48</v>
      </c>
      <c r="T487" s="78" t="s">
        <v>48</v>
      </c>
      <c r="U487" s="78" t="s">
        <v>48</v>
      </c>
      <c r="V487" s="36">
        <f>294.868-168.991+23.163</f>
        <v>149.04</v>
      </c>
      <c r="W487" s="78" t="s">
        <v>48</v>
      </c>
      <c r="X487" s="78" t="s">
        <v>48</v>
      </c>
      <c r="Y487" s="78" t="s">
        <v>48</v>
      </c>
      <c r="Z487" s="78" t="s">
        <v>48</v>
      </c>
      <c r="AA487" s="36">
        <f>252.749-155.431+1.859</f>
        <v>99.176999999999978</v>
      </c>
      <c r="AB487" s="78" t="s">
        <v>48</v>
      </c>
      <c r="AC487" s="78" t="s">
        <v>48</v>
      </c>
      <c r="AD487" s="78" t="s">
        <v>48</v>
      </c>
      <c r="AE487" s="78" t="s">
        <v>48</v>
      </c>
      <c r="AF487" s="36">
        <f>267-168+7</f>
        <v>106</v>
      </c>
      <c r="AG487" s="68">
        <v>55</v>
      </c>
      <c r="AH487" s="68">
        <f>67-50+6</f>
        <v>23</v>
      </c>
      <c r="AI487" s="68">
        <f>76-42+16</f>
        <v>50</v>
      </c>
      <c r="AJ487" s="68">
        <v>34</v>
      </c>
      <c r="AK487" s="36">
        <v>162</v>
      </c>
      <c r="AL487" s="68">
        <v>60</v>
      </c>
      <c r="AM487" s="68">
        <f>70-59+4</f>
        <v>15</v>
      </c>
      <c r="AN487" s="68">
        <f>74-13+19</f>
        <v>80</v>
      </c>
      <c r="AO487" s="68">
        <v>5</v>
      </c>
      <c r="AP487" s="36">
        <v>160</v>
      </c>
      <c r="AQ487" s="68">
        <v>38</v>
      </c>
      <c r="AR487" s="68">
        <v>65</v>
      </c>
      <c r="AS487" s="143">
        <v>36</v>
      </c>
      <c r="AT487" s="68">
        <f>AU487-AS487-AR487-AQ487</f>
        <v>67</v>
      </c>
      <c r="AU487" s="36">
        <v>206</v>
      </c>
      <c r="AV487" s="68">
        <v>25</v>
      </c>
      <c r="AW487" s="68">
        <v>16</v>
      </c>
      <c r="AX487" s="68">
        <f>35+1</f>
        <v>36</v>
      </c>
      <c r="AY487" s="68">
        <f>AZ487-AX487-AW487-AV487</f>
        <v>15</v>
      </c>
      <c r="AZ487" s="36">
        <v>92</v>
      </c>
      <c r="BA487" s="68">
        <v>2</v>
      </c>
      <c r="BB487" s="68">
        <v>16</v>
      </c>
      <c r="BC487" s="68">
        <v>36</v>
      </c>
      <c r="BD487" s="68">
        <v>38</v>
      </c>
      <c r="BE487" s="36">
        <v>92</v>
      </c>
      <c r="BF487" s="68"/>
      <c r="BG487" s="68"/>
      <c r="BH487" s="68"/>
      <c r="BI487" s="68">
        <v>92</v>
      </c>
      <c r="BJ487" s="36">
        <v>92</v>
      </c>
      <c r="BK487" s="68"/>
    </row>
    <row r="488" spans="1:63" hidden="1">
      <c r="A488" s="69" t="s">
        <v>7</v>
      </c>
      <c r="B488" s="23"/>
      <c r="C488" s="71"/>
      <c r="D488" s="71"/>
      <c r="E488" s="71"/>
      <c r="F488" s="71"/>
      <c r="G488" s="23"/>
      <c r="H488" s="71"/>
      <c r="I488" s="71"/>
      <c r="J488" s="71"/>
      <c r="K488" s="71"/>
      <c r="L488" s="23"/>
      <c r="M488" s="71"/>
      <c r="N488" s="71"/>
      <c r="O488" s="71"/>
      <c r="P488" s="71"/>
      <c r="Q488" s="23"/>
      <c r="R488" s="71"/>
      <c r="S488" s="71"/>
      <c r="T488" s="71"/>
      <c r="U488" s="71"/>
      <c r="V488" s="23"/>
      <c r="W488" s="71"/>
      <c r="X488" s="71"/>
      <c r="Y488" s="71"/>
      <c r="Z488" s="71"/>
      <c r="AA488" s="23"/>
      <c r="AB488" s="71"/>
      <c r="AC488" s="71"/>
      <c r="AD488" s="71"/>
      <c r="AE488" s="71"/>
      <c r="AF488" s="23"/>
      <c r="AG488" s="70"/>
      <c r="AH488" s="70">
        <f>AH487/AG487-1</f>
        <v>-0.58181818181818179</v>
      </c>
      <c r="AI488" s="70">
        <f>AI487/AH487-1</f>
        <v>1.1739130434782608</v>
      </c>
      <c r="AJ488" s="70">
        <f>AJ487/AI487-1</f>
        <v>-0.31999999999999995</v>
      </c>
      <c r="AK488" s="23"/>
      <c r="AL488" s="70">
        <f>AL487/AJ487-1</f>
        <v>0.76470588235294112</v>
      </c>
      <c r="AM488" s="70">
        <f>AM487/AL487-1</f>
        <v>-0.75</v>
      </c>
      <c r="AN488" s="70">
        <f>AN487/AM487-1</f>
        <v>4.333333333333333</v>
      </c>
      <c r="AO488" s="70">
        <f>AO487/AN487-1</f>
        <v>-0.9375</v>
      </c>
      <c r="AP488" s="23"/>
      <c r="AQ488" s="70">
        <f>AQ487/AO487-1</f>
        <v>6.6</v>
      </c>
      <c r="AR488" s="70">
        <f>AR487/AQ487-1</f>
        <v>0.71052631578947367</v>
      </c>
      <c r="AS488" s="70">
        <f>AS487/AR487-1</f>
        <v>-0.44615384615384612</v>
      </c>
      <c r="AT488" s="70">
        <f>AT487/AS487-1</f>
        <v>0.86111111111111116</v>
      </c>
      <c r="AU488" s="23"/>
      <c r="AV488" s="70">
        <f>AV487/AT487-1</f>
        <v>-0.62686567164179108</v>
      </c>
      <c r="AW488" s="70">
        <f>AW487/AV487-1</f>
        <v>-0.36</v>
      </c>
      <c r="AX488" s="70">
        <f>AX487/AW487-1</f>
        <v>1.25</v>
      </c>
      <c r="AY488" s="70">
        <f>AY487/AX487-1</f>
        <v>-0.58333333333333326</v>
      </c>
      <c r="AZ488" s="23"/>
      <c r="BA488" s="70">
        <v>-0.8666666666666667</v>
      </c>
      <c r="BB488" s="70">
        <v>7</v>
      </c>
      <c r="BC488" s="70">
        <v>1.25</v>
      </c>
      <c r="BD488" s="70">
        <v>5.555555555555558E-2</v>
      </c>
      <c r="BE488" s="23"/>
      <c r="BF488" s="70"/>
      <c r="BG488" s="70"/>
      <c r="BH488" s="70"/>
      <c r="BI488" s="70" t="e">
        <v>#DIV/0!</v>
      </c>
      <c r="BJ488" s="23"/>
      <c r="BK488" s="70"/>
    </row>
    <row r="489" spans="1:63" hidden="1">
      <c r="A489" s="69" t="s">
        <v>8</v>
      </c>
      <c r="B489" s="23"/>
      <c r="C489" s="71"/>
      <c r="D489" s="71"/>
      <c r="E489" s="71"/>
      <c r="F489" s="71"/>
      <c r="G489" s="23">
        <f t="shared" ref="G489" si="900">G487/B487-1</f>
        <v>-0.99282419799859978</v>
      </c>
      <c r="H489" s="71"/>
      <c r="I489" s="71"/>
      <c r="J489" s="71"/>
      <c r="K489" s="71"/>
      <c r="L489" s="90" t="s">
        <v>39</v>
      </c>
      <c r="M489" s="71"/>
      <c r="N489" s="71"/>
      <c r="O489" s="71"/>
      <c r="P489" s="71"/>
      <c r="Q489" s="23">
        <f t="shared" ref="Q489" si="901">Q487/L487-1</f>
        <v>-0.92311603783179108</v>
      </c>
      <c r="R489" s="71"/>
      <c r="S489" s="71"/>
      <c r="T489" s="71"/>
      <c r="U489" s="71"/>
      <c r="V489" s="23">
        <f t="shared" ref="V489" si="902">V487/Q487-1</f>
        <v>23.642857142857199</v>
      </c>
      <c r="W489" s="71"/>
      <c r="X489" s="71"/>
      <c r="Y489" s="71"/>
      <c r="Z489" s="71"/>
      <c r="AA489" s="23">
        <f t="shared" ref="AA489" si="903">AA487/V487-1</f>
        <v>-0.33456119162640918</v>
      </c>
      <c r="AB489" s="71"/>
      <c r="AC489" s="71"/>
      <c r="AD489" s="71"/>
      <c r="AE489" s="71"/>
      <c r="AF489" s="23">
        <f t="shared" ref="AF489" si="904">AF487/AA487-1</f>
        <v>6.8796192665638412E-2</v>
      </c>
      <c r="AG489" s="71"/>
      <c r="AH489" s="71"/>
      <c r="AI489" s="71"/>
      <c r="AJ489" s="71"/>
      <c r="AK489" s="23">
        <f t="shared" ref="AK489" si="905">AK487/AF487-1</f>
        <v>0.52830188679245293</v>
      </c>
      <c r="AL489" s="71">
        <f t="shared" ref="AL489" si="906">AL487/AG487-1</f>
        <v>9.0909090909090828E-2</v>
      </c>
      <c r="AM489" s="71">
        <f t="shared" ref="AM489" si="907">AM487/AH487-1</f>
        <v>-0.34782608695652173</v>
      </c>
      <c r="AN489" s="71">
        <f t="shared" ref="AN489" si="908">AN487/AI487-1</f>
        <v>0.60000000000000009</v>
      </c>
      <c r="AO489" s="71">
        <f t="shared" ref="AO489" si="909">AO487/AJ487-1</f>
        <v>-0.8529411764705882</v>
      </c>
      <c r="AP489" s="23"/>
      <c r="AQ489" s="71">
        <f t="shared" ref="AQ489:AS489" si="910">AQ487/AL487-1</f>
        <v>-0.3666666666666667</v>
      </c>
      <c r="AR489" s="71">
        <f t="shared" si="910"/>
        <v>3.333333333333333</v>
      </c>
      <c r="AS489" s="71">
        <f t="shared" si="910"/>
        <v>-0.55000000000000004</v>
      </c>
      <c r="AT489" s="71">
        <f t="shared" ref="AT489:AX489" si="911">AT487/AO487-1</f>
        <v>12.4</v>
      </c>
      <c r="AU489" s="23">
        <f t="shared" si="911"/>
        <v>0.28750000000000009</v>
      </c>
      <c r="AV489" s="71">
        <f t="shared" si="911"/>
        <v>-0.34210526315789469</v>
      </c>
      <c r="AW489" s="71">
        <f t="shared" si="911"/>
        <v>-0.75384615384615383</v>
      </c>
      <c r="AX489" s="71">
        <f t="shared" si="911"/>
        <v>0</v>
      </c>
      <c r="AY489" s="71">
        <f t="shared" ref="AY489" si="912">AY487/AT487-1</f>
        <v>-0.77611940298507465</v>
      </c>
      <c r="AZ489" s="23">
        <v>-0.55339805825242716</v>
      </c>
      <c r="BA489" s="71">
        <v>-0.92</v>
      </c>
      <c r="BB489" s="71">
        <v>0</v>
      </c>
      <c r="BC489" s="71">
        <v>0</v>
      </c>
      <c r="BD489" s="71">
        <v>1.5333333333333332</v>
      </c>
      <c r="BE489" s="23">
        <v>0</v>
      </c>
      <c r="BF489" s="71"/>
      <c r="BG489" s="71"/>
      <c r="BH489" s="71"/>
      <c r="BI489" s="71">
        <v>1.4210526315789473</v>
      </c>
      <c r="BJ489" s="23">
        <v>0</v>
      </c>
      <c r="BK489" s="71"/>
    </row>
    <row r="490" spans="1:63" s="35" customFormat="1">
      <c r="A490" s="67" t="s">
        <v>160</v>
      </c>
      <c r="B490" s="174">
        <v>-117.61</v>
      </c>
      <c r="C490" s="182">
        <v>-65.766999999999996</v>
      </c>
      <c r="D490" s="182">
        <v>-99.322000000000003</v>
      </c>
      <c r="E490" s="182">
        <v>-82.126999999999995</v>
      </c>
      <c r="F490" s="182">
        <f>G490-E490-D490-C490</f>
        <v>-17.490000000000009</v>
      </c>
      <c r="G490" s="174">
        <v>-264.70600000000002</v>
      </c>
      <c r="H490" s="182">
        <v>-1.153</v>
      </c>
      <c r="I490" s="182">
        <v>-95.153999999999996</v>
      </c>
      <c r="J490" s="182">
        <v>-88.456999999999994</v>
      </c>
      <c r="K490" s="182">
        <f>L490-J490-I490-H490</f>
        <v>-37.690000000000019</v>
      </c>
      <c r="L490" s="174">
        <v>-222.45400000000001</v>
      </c>
      <c r="M490" s="182">
        <v>-8.2669999999999995</v>
      </c>
      <c r="N490" s="182">
        <v>-142.78399999999999</v>
      </c>
      <c r="O490" s="182">
        <v>-78.350999999999999</v>
      </c>
      <c r="P490" s="182">
        <f>Q490-O490-N490-M490</f>
        <v>-84.237000000000023</v>
      </c>
      <c r="Q490" s="174">
        <v>-313.63900000000001</v>
      </c>
      <c r="R490" s="182">
        <v>-73.378</v>
      </c>
      <c r="S490" s="182">
        <v>-88.364000000000004</v>
      </c>
      <c r="T490" s="182">
        <v>-75.885000000000005</v>
      </c>
      <c r="U490" s="182">
        <f>V490-T490-S490-R490</f>
        <v>8.0100000000000335</v>
      </c>
      <c r="V490" s="174">
        <v>-229.61699999999999</v>
      </c>
      <c r="W490" s="182">
        <v>-63.862000000000002</v>
      </c>
      <c r="X490" s="182">
        <v>-106.64400000000001</v>
      </c>
      <c r="Y490" s="182">
        <v>-118.672</v>
      </c>
      <c r="Z490" s="182">
        <f>AA490-Y490-X490-W490</f>
        <v>-21.139000000000003</v>
      </c>
      <c r="AA490" s="174">
        <v>-310.31700000000001</v>
      </c>
      <c r="AB490" s="182">
        <v>-60.701000000000001</v>
      </c>
      <c r="AC490" s="182">
        <v>-100.938</v>
      </c>
      <c r="AD490" s="182">
        <v>-136.084</v>
      </c>
      <c r="AE490" s="182">
        <f>AF490-AD490-AC490-AB490</f>
        <v>-82.971000000000032</v>
      </c>
      <c r="AF490" s="174">
        <v>-380.69400000000002</v>
      </c>
      <c r="AG490" s="182">
        <v>-34</v>
      </c>
      <c r="AH490" s="182">
        <v>-115</v>
      </c>
      <c r="AI490" s="182">
        <v>-86</v>
      </c>
      <c r="AJ490" s="182">
        <f>AK490-AI490-AH490-AG490</f>
        <v>-87</v>
      </c>
      <c r="AK490" s="174">
        <v>-322</v>
      </c>
      <c r="AL490" s="182">
        <v>-3</v>
      </c>
      <c r="AM490" s="182">
        <v>-166</v>
      </c>
      <c r="AN490" s="182">
        <v>-75</v>
      </c>
      <c r="AO490" s="182">
        <f>AP490-AN490-AM490-AL490</f>
        <v>-110</v>
      </c>
      <c r="AP490" s="174">
        <v>-354</v>
      </c>
      <c r="AQ490" s="182">
        <v>-71</v>
      </c>
      <c r="AR490" s="182">
        <v>-114</v>
      </c>
      <c r="AS490" s="182">
        <v>-142</v>
      </c>
      <c r="AT490" s="182">
        <f>AU490-AS490-AR490-AQ490</f>
        <v>395</v>
      </c>
      <c r="AU490" s="174">
        <v>68</v>
      </c>
      <c r="AV490" s="182">
        <v>19</v>
      </c>
      <c r="AW490" s="182">
        <v>-151</v>
      </c>
      <c r="AX490" s="182">
        <v>-123</v>
      </c>
      <c r="AY490" s="182">
        <f>AZ490-AX490-AW490-AV490</f>
        <v>11</v>
      </c>
      <c r="AZ490" s="174">
        <v>-244</v>
      </c>
      <c r="BA490" s="182">
        <v>1</v>
      </c>
      <c r="BB490" s="182">
        <v>-10</v>
      </c>
      <c r="BC490" s="182">
        <v>-2</v>
      </c>
      <c r="BD490" s="182">
        <v>-1137</v>
      </c>
      <c r="BE490" s="174">
        <v>-1148</v>
      </c>
      <c r="BF490" s="182">
        <v>-50</v>
      </c>
      <c r="BG490" s="182">
        <v>-27</v>
      </c>
      <c r="BH490" s="182">
        <v>15</v>
      </c>
      <c r="BI490" s="182">
        <v>-7</v>
      </c>
      <c r="BJ490" s="174">
        <v>-69</v>
      </c>
      <c r="BK490" s="182">
        <v>14</v>
      </c>
    </row>
    <row r="491" spans="1:63">
      <c r="A491" s="69" t="s">
        <v>7</v>
      </c>
      <c r="B491" s="174"/>
      <c r="C491" s="70"/>
      <c r="D491" s="70">
        <f>D490/C490-1</f>
        <v>0.51021028783432443</v>
      </c>
      <c r="E491" s="70">
        <f>E490/D490-1</f>
        <v>-0.17312377922313293</v>
      </c>
      <c r="F491" s="70">
        <f>F490/E490-1</f>
        <v>-0.78703714978021833</v>
      </c>
      <c r="G491" s="23"/>
      <c r="H491" s="70">
        <f>H490/F490-1</f>
        <v>-0.93407661520869067</v>
      </c>
      <c r="I491" s="70">
        <f>I490/H490-1</f>
        <v>81.527320034692096</v>
      </c>
      <c r="J491" s="70">
        <f>J490/I490-1</f>
        <v>-7.0380646110515643E-2</v>
      </c>
      <c r="K491" s="70">
        <f>K490/J490-1</f>
        <v>-0.57391727053822739</v>
      </c>
      <c r="L491" s="23"/>
      <c r="M491" s="70">
        <f>M490/K490-1</f>
        <v>-0.78065799946935543</v>
      </c>
      <c r="N491" s="70">
        <f>N490/M490-1</f>
        <v>16.271561630579413</v>
      </c>
      <c r="O491" s="70">
        <f>O490/N490-1</f>
        <v>-0.45126204616763776</v>
      </c>
      <c r="P491" s="70">
        <f>P490/O490-1</f>
        <v>7.5123482788988394E-2</v>
      </c>
      <c r="Q491" s="23"/>
      <c r="R491" s="70">
        <f>R490/P490-1</f>
        <v>-0.12891009888766247</v>
      </c>
      <c r="S491" s="70">
        <f>S490/R490-1</f>
        <v>0.20423015072637574</v>
      </c>
      <c r="T491" s="70">
        <f>T490/S490-1</f>
        <v>-0.14122266986555609</v>
      </c>
      <c r="U491" s="83" t="s">
        <v>39</v>
      </c>
      <c r="V491" s="23"/>
      <c r="W491" s="83" t="s">
        <v>39</v>
      </c>
      <c r="X491" s="70">
        <f>X490/W490-1</f>
        <v>0.66991325044627481</v>
      </c>
      <c r="Y491" s="70">
        <f>Y490/X490-1</f>
        <v>0.11278646712426377</v>
      </c>
      <c r="Z491" s="70">
        <v>-0.821870365376837</v>
      </c>
      <c r="AA491" s="23"/>
      <c r="AB491" s="70">
        <f>AB490/Z490-1</f>
        <v>1.8715171010927665</v>
      </c>
      <c r="AC491" s="70">
        <f>AC490/AB490-1</f>
        <v>0.66287211083837172</v>
      </c>
      <c r="AD491" s="70">
        <f>AD490/AC490-1</f>
        <v>0.34819394083496791</v>
      </c>
      <c r="AE491" s="70">
        <f>AE490/AD490-1</f>
        <v>-0.39029569971488176</v>
      </c>
      <c r="AF491" s="23"/>
      <c r="AG491" s="70">
        <f>AG490/AE490-1</f>
        <v>-0.59021826903375896</v>
      </c>
      <c r="AH491" s="70">
        <f>AH490/AG490-1</f>
        <v>2.3823529411764706</v>
      </c>
      <c r="AI491" s="70">
        <f>AI490/AH490-1</f>
        <v>-0.25217391304347825</v>
      </c>
      <c r="AJ491" s="70">
        <f>AJ490/AI490-1</f>
        <v>1.1627906976744207E-2</v>
      </c>
      <c r="AK491" s="23"/>
      <c r="AL491" s="70">
        <f>AL490/AJ490-1</f>
        <v>-0.96551724137931039</v>
      </c>
      <c r="AM491" s="70">
        <f>AM490/AL490-1</f>
        <v>54.333333333333336</v>
      </c>
      <c r="AN491" s="70">
        <f>AN490/AM490-1</f>
        <v>-0.54819277108433728</v>
      </c>
      <c r="AO491" s="70">
        <f>AO490/AN490-1</f>
        <v>0.46666666666666656</v>
      </c>
      <c r="AP491" s="23"/>
      <c r="AQ491" s="70">
        <f>AQ490/AO490-1</f>
        <v>-0.3545454545454545</v>
      </c>
      <c r="AR491" s="70">
        <f>AR490/AQ490-1</f>
        <v>0.60563380281690149</v>
      </c>
      <c r="AS491" s="70">
        <f>AS490/AR490-1</f>
        <v>0.2456140350877194</v>
      </c>
      <c r="AT491" s="83" t="s">
        <v>39</v>
      </c>
      <c r="AU491" s="23"/>
      <c r="AV491" s="70">
        <f>AV490/AT490-1</f>
        <v>-0.95189873417721516</v>
      </c>
      <c r="AW491" s="83" t="s">
        <v>39</v>
      </c>
      <c r="AX491" s="70">
        <f>AX490/AW490-1</f>
        <v>-0.18543046357615889</v>
      </c>
      <c r="AY491" s="70">
        <f>AY490/AX490-1</f>
        <v>-1.089430894308943</v>
      </c>
      <c r="AZ491" s="23"/>
      <c r="BA491" s="70">
        <v>-0.90909090909090906</v>
      </c>
      <c r="BB491" s="83" t="s">
        <v>39</v>
      </c>
      <c r="BC491" s="70">
        <v>-0.8</v>
      </c>
      <c r="BD491" s="83" t="s">
        <v>39</v>
      </c>
      <c r="BE491" s="23"/>
      <c r="BF491" s="70">
        <v>-0.95602462620932283</v>
      </c>
      <c r="BG491" s="70">
        <v>-0.45999999999999996</v>
      </c>
      <c r="BH491" s="83" t="s">
        <v>39</v>
      </c>
      <c r="BI491" s="83" t="s">
        <v>39</v>
      </c>
      <c r="BJ491" s="23"/>
      <c r="BK491" s="83" t="s">
        <v>39</v>
      </c>
    </row>
    <row r="492" spans="1:63">
      <c r="A492" s="69" t="s">
        <v>8</v>
      </c>
      <c r="B492" s="23"/>
      <c r="C492" s="71"/>
      <c r="D492" s="71"/>
      <c r="E492" s="71"/>
      <c r="F492" s="71"/>
      <c r="G492" s="23">
        <f t="shared" ref="G492:N492" si="913">G490/B490-1</f>
        <v>1.2507099736416971</v>
      </c>
      <c r="H492" s="71">
        <f t="shared" si="913"/>
        <v>-0.98246841120926909</v>
      </c>
      <c r="I492" s="71">
        <f t="shared" si="913"/>
        <v>-4.1964519441815562E-2</v>
      </c>
      <c r="J492" s="71">
        <f t="shared" si="913"/>
        <v>7.7075748535804234E-2</v>
      </c>
      <c r="K492" s="71">
        <f t="shared" si="913"/>
        <v>1.1549456832475702</v>
      </c>
      <c r="L492" s="23">
        <f t="shared" si="913"/>
        <v>-0.15961859572506865</v>
      </c>
      <c r="M492" s="71">
        <f t="shared" si="913"/>
        <v>6.169991326973113</v>
      </c>
      <c r="N492" s="71">
        <f t="shared" si="913"/>
        <v>0.50055699182378044</v>
      </c>
      <c r="O492" s="71">
        <f t="shared" ref="O492:Y492" si="914">O490/J490-1</f>
        <v>-0.11424760052907057</v>
      </c>
      <c r="P492" s="71">
        <f t="shared" si="914"/>
        <v>1.2349960201644992</v>
      </c>
      <c r="Q492" s="23">
        <f t="shared" si="914"/>
        <v>0.40990496911721075</v>
      </c>
      <c r="R492" s="71">
        <f t="shared" si="914"/>
        <v>7.8760130639893564</v>
      </c>
      <c r="S492" s="71">
        <f t="shared" si="914"/>
        <v>-0.38113514119229042</v>
      </c>
      <c r="T492" s="71">
        <f t="shared" si="914"/>
        <v>-3.147375272810804E-2</v>
      </c>
      <c r="U492" s="83" t="s">
        <v>39</v>
      </c>
      <c r="V492" s="23">
        <f t="shared" si="914"/>
        <v>-0.26789398002161724</v>
      </c>
      <c r="W492" s="71">
        <f t="shared" si="914"/>
        <v>-0.12968464662432877</v>
      </c>
      <c r="X492" s="71">
        <f t="shared" si="914"/>
        <v>0.2068715766601783</v>
      </c>
      <c r="Y492" s="71">
        <f t="shared" si="914"/>
        <v>0.56384002108453557</v>
      </c>
      <c r="Z492" s="83" t="s">
        <v>39</v>
      </c>
      <c r="AA492" s="23">
        <v>0.35145481388573163</v>
      </c>
      <c r="AB492" s="71">
        <f t="shared" ref="AB492:AI492" si="915">AB490/W490-1</f>
        <v>-4.9497353668848443E-2</v>
      </c>
      <c r="AC492" s="71">
        <f t="shared" si="915"/>
        <v>-5.3505119837965576E-2</v>
      </c>
      <c r="AD492" s="71">
        <f t="shared" si="915"/>
        <v>0.14672374275313471</v>
      </c>
      <c r="AE492" s="71">
        <f t="shared" si="915"/>
        <v>2.92502010501916</v>
      </c>
      <c r="AF492" s="23">
        <f t="shared" si="915"/>
        <v>0.22679066889664434</v>
      </c>
      <c r="AG492" s="71">
        <f t="shared" si="915"/>
        <v>-0.43987743200276763</v>
      </c>
      <c r="AH492" s="160">
        <f t="shared" si="915"/>
        <v>0.13931324179199112</v>
      </c>
      <c r="AI492" s="71">
        <f t="shared" si="915"/>
        <v>-0.36803738867170277</v>
      </c>
      <c r="AJ492" s="71">
        <f t="shared" ref="AJ492:AS492" si="916">AJ490/AE490-1</f>
        <v>4.8559135119499164E-2</v>
      </c>
      <c r="AK492" s="23">
        <f t="shared" si="916"/>
        <v>-0.15417632008910043</v>
      </c>
      <c r="AL492" s="71">
        <f t="shared" si="916"/>
        <v>-0.91176470588235292</v>
      </c>
      <c r="AM492" s="71">
        <f t="shared" si="916"/>
        <v>0.44347826086956532</v>
      </c>
      <c r="AN492" s="71">
        <f t="shared" si="916"/>
        <v>-0.12790697674418605</v>
      </c>
      <c r="AO492" s="71">
        <f t="shared" si="916"/>
        <v>0.26436781609195403</v>
      </c>
      <c r="AP492" s="23">
        <f t="shared" si="916"/>
        <v>9.9378881987577605E-2</v>
      </c>
      <c r="AQ492" s="71">
        <f t="shared" si="916"/>
        <v>22.666666666666668</v>
      </c>
      <c r="AR492" s="71">
        <f t="shared" si="916"/>
        <v>-0.31325301204819278</v>
      </c>
      <c r="AS492" s="71">
        <f t="shared" si="916"/>
        <v>0.89333333333333331</v>
      </c>
      <c r="AT492" s="83" t="s">
        <v>39</v>
      </c>
      <c r="AU492" s="90" t="s">
        <v>39</v>
      </c>
      <c r="AV492" s="81" t="s">
        <v>39</v>
      </c>
      <c r="AW492" s="71">
        <f t="shared" ref="AW492:AY492" si="917">AW490/AR490-1</f>
        <v>0.32456140350877183</v>
      </c>
      <c r="AX492" s="71">
        <f t="shared" si="917"/>
        <v>-0.13380281690140849</v>
      </c>
      <c r="AY492" s="71">
        <f t="shared" si="917"/>
        <v>-0.97215189873417718</v>
      </c>
      <c r="AZ492" s="90" t="s">
        <v>39</v>
      </c>
      <c r="BA492" s="71">
        <v>-0.94736842105263164</v>
      </c>
      <c r="BB492" s="71">
        <v>-0.93377483443708609</v>
      </c>
      <c r="BC492" s="71">
        <v>-0.98373983739837401</v>
      </c>
      <c r="BD492" s="83" t="s">
        <v>39</v>
      </c>
      <c r="BE492" s="23">
        <v>3.7049180327868854</v>
      </c>
      <c r="BF492" s="81" t="s">
        <v>39</v>
      </c>
      <c r="BG492" s="71">
        <v>1.7000000000000002</v>
      </c>
      <c r="BH492" s="83" t="s">
        <v>39</v>
      </c>
      <c r="BI492" s="83">
        <v>-0.99384344766930521</v>
      </c>
      <c r="BJ492" s="23">
        <v>-0.93989547038327526</v>
      </c>
      <c r="BK492" s="83" t="s">
        <v>39</v>
      </c>
    </row>
    <row r="493" spans="1:63" s="35" customFormat="1">
      <c r="A493" s="67" t="s">
        <v>240</v>
      </c>
      <c r="B493" s="36">
        <f>B458+B481</f>
        <v>329.20100000000002</v>
      </c>
      <c r="C493" s="75">
        <f>C458+C481</f>
        <v>91.557999999999993</v>
      </c>
      <c r="D493" s="75">
        <f>D458+D481</f>
        <v>103.146</v>
      </c>
      <c r="E493" s="75">
        <f>E458+E481</f>
        <v>111.151</v>
      </c>
      <c r="F493" s="68">
        <f>G493-E493-D493-C493</f>
        <v>121.173</v>
      </c>
      <c r="G493" s="36">
        <f>G458+G481</f>
        <v>427.02800000000002</v>
      </c>
      <c r="H493" s="75">
        <f>H458+H481</f>
        <v>122.495</v>
      </c>
      <c r="I493" s="75">
        <f>I458+I481</f>
        <v>114.616</v>
      </c>
      <c r="J493" s="75">
        <f>J458+J481</f>
        <v>119.589</v>
      </c>
      <c r="K493" s="68">
        <f>L493-J493-I493-H493</f>
        <v>125.72000000000003</v>
      </c>
      <c r="L493" s="36">
        <f>L458+L481</f>
        <v>482.42</v>
      </c>
      <c r="M493" s="75">
        <f>M458+M481</f>
        <v>122.44499999999999</v>
      </c>
      <c r="N493" s="75">
        <f>N458+N481</f>
        <v>75.460999999999999</v>
      </c>
      <c r="O493" s="75">
        <f>O458+O481</f>
        <v>139.52199999999999</v>
      </c>
      <c r="P493" s="68">
        <f>Q493-O493-N493-M493</f>
        <v>125.62300000000005</v>
      </c>
      <c r="Q493" s="36">
        <f>Q458+Q481</f>
        <v>463.05100000000004</v>
      </c>
      <c r="R493" s="75">
        <f>R458+R481</f>
        <v>129.96299999999999</v>
      </c>
      <c r="S493" s="75">
        <f>S458+S481</f>
        <v>136.44400000000002</v>
      </c>
      <c r="T493" s="75">
        <f>T458+T481</f>
        <v>137.43799999999999</v>
      </c>
      <c r="U493" s="68">
        <v>168</v>
      </c>
      <c r="V493" s="36">
        <f>V458+V481</f>
        <v>571.26099999999997</v>
      </c>
      <c r="W493" s="75">
        <v>118</v>
      </c>
      <c r="X493" s="75">
        <f>X458+X481</f>
        <v>128.29</v>
      </c>
      <c r="Y493" s="75">
        <f>Y458+Y481</f>
        <v>118.422</v>
      </c>
      <c r="Z493" s="68">
        <f>AA493-Y493-X493-W493</f>
        <v>136.79100000000003</v>
      </c>
      <c r="AA493" s="36">
        <f>500.999+0.504</f>
        <v>501.50300000000004</v>
      </c>
      <c r="AB493" s="75">
        <f>AB481+AB458+0.8</f>
        <v>130.18200000000002</v>
      </c>
      <c r="AC493" s="75">
        <f>AC458+AC481</f>
        <v>131.68900000000002</v>
      </c>
      <c r="AD493" s="75">
        <f>AD458+AD481</f>
        <v>138.41399999999999</v>
      </c>
      <c r="AE493" s="75">
        <v>131</v>
      </c>
      <c r="AF493" s="36">
        <f>AF458+AF481</f>
        <v>529.73500000000001</v>
      </c>
      <c r="AG493" s="75">
        <f>AG481+AG458</f>
        <v>143</v>
      </c>
      <c r="AH493" s="75">
        <f>AH458+AH481</f>
        <v>141</v>
      </c>
      <c r="AI493" s="75">
        <f>AI458+AI481</f>
        <v>151</v>
      </c>
      <c r="AJ493" s="75">
        <v>135</v>
      </c>
      <c r="AK493" s="36">
        <f>AK458+AK481</f>
        <v>570</v>
      </c>
      <c r="AL493" s="75">
        <f>AL481+AL458</f>
        <v>135</v>
      </c>
      <c r="AM493" s="75">
        <f>AM458+AM481</f>
        <v>150</v>
      </c>
      <c r="AN493" s="75">
        <f>AN458+AN481</f>
        <v>152</v>
      </c>
      <c r="AO493" s="68">
        <f>AP493-AN493-AM493-AL493</f>
        <v>135</v>
      </c>
      <c r="AP493" s="36">
        <f>AP458+AP481</f>
        <v>572</v>
      </c>
      <c r="AQ493" s="75">
        <f>AQ481+AQ458</f>
        <v>133</v>
      </c>
      <c r="AR493" s="75">
        <f>AR458+AR481</f>
        <v>151</v>
      </c>
      <c r="AS493" s="75">
        <f>AS458+AS481</f>
        <v>137</v>
      </c>
      <c r="AT493" s="68">
        <f>AU493-AS493-AR493-AQ493</f>
        <v>139</v>
      </c>
      <c r="AU493" s="36">
        <f>AU458+AU481</f>
        <v>560</v>
      </c>
      <c r="AV493" s="75">
        <f>AV481+AV458</f>
        <v>122</v>
      </c>
      <c r="AW493" s="75">
        <f>AW481+AW458</f>
        <v>120</v>
      </c>
      <c r="AX493" s="75">
        <f>AX481+AX458</f>
        <v>107</v>
      </c>
      <c r="AY493" s="68">
        <f>AZ493-AX493-AW493-AV493</f>
        <v>99</v>
      </c>
      <c r="AZ493" s="36">
        <v>448</v>
      </c>
      <c r="BA493" s="75">
        <v>78</v>
      </c>
      <c r="BB493" s="75">
        <v>62</v>
      </c>
      <c r="BC493" s="75">
        <v>82</v>
      </c>
      <c r="BD493" s="182">
        <v>-1055</v>
      </c>
      <c r="BE493" s="174">
        <v>-833</v>
      </c>
      <c r="BF493" s="75">
        <v>10</v>
      </c>
      <c r="BG493" s="75">
        <v>44</v>
      </c>
      <c r="BH493" s="75">
        <v>70</v>
      </c>
      <c r="BI493" s="182">
        <v>40</v>
      </c>
      <c r="BJ493" s="174">
        <v>164</v>
      </c>
      <c r="BK493" s="75">
        <v>53</v>
      </c>
    </row>
    <row r="494" spans="1:63">
      <c r="A494" s="69" t="s">
        <v>7</v>
      </c>
      <c r="B494" s="23"/>
      <c r="C494" s="70"/>
      <c r="D494" s="70">
        <f>D493/C493-1</f>
        <v>0.12656458201358722</v>
      </c>
      <c r="E494" s="70">
        <f>E493/D493-1</f>
        <v>7.7608438524033874E-2</v>
      </c>
      <c r="F494" s="70">
        <f>F493/E493-1</f>
        <v>9.0165630538636687E-2</v>
      </c>
      <c r="G494" s="23"/>
      <c r="H494" s="70">
        <f>H493/F493-1</f>
        <v>1.0910021209345366E-2</v>
      </c>
      <c r="I494" s="70">
        <f>I493/H493-1</f>
        <v>-6.4320992693579382E-2</v>
      </c>
      <c r="J494" s="70">
        <f>J493/I493-1</f>
        <v>4.3388357646401809E-2</v>
      </c>
      <c r="K494" s="70">
        <f>K493/J493-1</f>
        <v>5.1267257021967216E-2</v>
      </c>
      <c r="L494" s="23"/>
      <c r="M494" s="70">
        <f>M493/K493-1</f>
        <v>-2.6049952274896815E-2</v>
      </c>
      <c r="N494" s="70">
        <f>N493/M493-1</f>
        <v>-0.38371513740863239</v>
      </c>
      <c r="O494" s="70">
        <f>O493/N493-1</f>
        <v>0.84892858562701257</v>
      </c>
      <c r="P494" s="70">
        <f>P493/O493-1</f>
        <v>-9.9618698126459959E-2</v>
      </c>
      <c r="Q494" s="23"/>
      <c r="R494" s="70">
        <f>R493/P493-1</f>
        <v>3.4547813696536034E-2</v>
      </c>
      <c r="S494" s="70">
        <f>S493/R493-1</f>
        <v>4.9868039365050132E-2</v>
      </c>
      <c r="T494" s="70">
        <f>T493/S493-1</f>
        <v>7.2850400164168327E-3</v>
      </c>
      <c r="U494" s="70">
        <f>U493/T493-1</f>
        <v>0.22236935927472756</v>
      </c>
      <c r="V494" s="23"/>
      <c r="W494" s="70">
        <f>W493/U493-1</f>
        <v>-0.29761904761904767</v>
      </c>
      <c r="X494" s="70">
        <f>X493/W493-1</f>
        <v>8.720338983050846E-2</v>
      </c>
      <c r="Y494" s="70">
        <f>Y493/X493-1</f>
        <v>-7.6919479304700222E-2</v>
      </c>
      <c r="Z494" s="70">
        <v>0.150858793129655</v>
      </c>
      <c r="AA494" s="23"/>
      <c r="AB494" s="70">
        <f>AB493/Z493-1</f>
        <v>-4.8314582099699632E-2</v>
      </c>
      <c r="AC494" s="70">
        <f>AC493/AB493-1</f>
        <v>1.1576101150696738E-2</v>
      </c>
      <c r="AD494" s="70">
        <f>AD493/AC493-1</f>
        <v>5.1067287320884613E-2</v>
      </c>
      <c r="AE494" s="70">
        <f>AE493/AD493-1</f>
        <v>-5.3563945843628447E-2</v>
      </c>
      <c r="AF494" s="23"/>
      <c r="AG494" s="70">
        <f>AG493/AE493-1</f>
        <v>9.1603053435114434E-2</v>
      </c>
      <c r="AH494" s="70">
        <f>AH493/AG493-1</f>
        <v>-1.3986013986013957E-2</v>
      </c>
      <c r="AI494" s="70">
        <f>AI493/AH493-1</f>
        <v>7.0921985815602939E-2</v>
      </c>
      <c r="AJ494" s="70">
        <f>AJ493/AI493-1</f>
        <v>-0.10596026490066224</v>
      </c>
      <c r="AK494" s="23"/>
      <c r="AL494" s="70">
        <f>AL493/AJ493-1</f>
        <v>0</v>
      </c>
      <c r="AM494" s="70">
        <f>AM493/AL493-1</f>
        <v>0.11111111111111116</v>
      </c>
      <c r="AN494" s="70">
        <f>AN493/AM493-1</f>
        <v>1.3333333333333419E-2</v>
      </c>
      <c r="AO494" s="70">
        <f>AO493/AN493-1</f>
        <v>-0.11184210526315785</v>
      </c>
      <c r="AP494" s="23"/>
      <c r="AQ494" s="70">
        <f>AQ493/AO493-1</f>
        <v>-1.4814814814814836E-2</v>
      </c>
      <c r="AR494" s="70">
        <f>AR493/AQ493-1</f>
        <v>0.13533834586466176</v>
      </c>
      <c r="AS494" s="70">
        <f>AS493/AR493-1</f>
        <v>-9.27152317880795E-2</v>
      </c>
      <c r="AT494" s="70">
        <f>AT493/AS493-1</f>
        <v>1.4598540145985384E-2</v>
      </c>
      <c r="AU494" s="23"/>
      <c r="AV494" s="70">
        <f>AV493/AT493-1</f>
        <v>-0.12230215827338131</v>
      </c>
      <c r="AW494" s="70">
        <f>AW493/AV493-1</f>
        <v>-1.6393442622950838E-2</v>
      </c>
      <c r="AX494" s="70">
        <f>AX493/AW493-1</f>
        <v>-0.10833333333333328</v>
      </c>
      <c r="AY494" s="70">
        <f>AY493/AX493-1</f>
        <v>-7.4766355140186924E-2</v>
      </c>
      <c r="AZ494" s="23"/>
      <c r="BA494" s="70">
        <v>-0.21212121212121215</v>
      </c>
      <c r="BB494" s="70">
        <v>-0.20512820512820518</v>
      </c>
      <c r="BC494" s="70">
        <v>0.32258064516129026</v>
      </c>
      <c r="BD494" s="83" t="s">
        <v>39</v>
      </c>
      <c r="BE494" s="23"/>
      <c r="BF494" s="81" t="s">
        <v>39</v>
      </c>
      <c r="BG494" s="70">
        <v>3.4000000000000004</v>
      </c>
      <c r="BH494" s="70">
        <v>0.59090909090909083</v>
      </c>
      <c r="BI494" s="70">
        <v>-0.4285714285714286</v>
      </c>
      <c r="BJ494" s="23"/>
      <c r="BK494" s="70">
        <v>0.32499999999999996</v>
      </c>
    </row>
    <row r="495" spans="1:63">
      <c r="A495" s="69" t="s">
        <v>8</v>
      </c>
      <c r="B495" s="23"/>
      <c r="C495" s="71"/>
      <c r="D495" s="71"/>
      <c r="E495" s="71"/>
      <c r="F495" s="71"/>
      <c r="G495" s="23">
        <f t="shared" ref="G495:N495" si="918">G493/B493-1</f>
        <v>0.29716495393391873</v>
      </c>
      <c r="H495" s="71">
        <f t="shared" si="918"/>
        <v>0.33789510474234929</v>
      </c>
      <c r="I495" s="71">
        <f t="shared" si="918"/>
        <v>0.11120159773524896</v>
      </c>
      <c r="J495" s="71">
        <f t="shared" si="918"/>
        <v>7.591474660596842E-2</v>
      </c>
      <c r="K495" s="71">
        <f t="shared" si="918"/>
        <v>3.7524861148936051E-2</v>
      </c>
      <c r="L495" s="23">
        <f t="shared" si="918"/>
        <v>0.12971514748447399</v>
      </c>
      <c r="M495" s="71">
        <f t="shared" si="918"/>
        <v>-4.0817992571129391E-4</v>
      </c>
      <c r="N495" s="71">
        <f t="shared" si="918"/>
        <v>-0.34161897117330919</v>
      </c>
      <c r="O495" s="71">
        <f t="shared" ref="O495:V495" si="919">O493/J493-1</f>
        <v>0.16667920962630345</v>
      </c>
      <c r="P495" s="71">
        <f t="shared" si="919"/>
        <v>-7.7155583837085207E-4</v>
      </c>
      <c r="Q495" s="23">
        <f t="shared" si="919"/>
        <v>-4.0149662120144258E-2</v>
      </c>
      <c r="R495" s="71">
        <f t="shared" si="919"/>
        <v>6.1398995467352613E-2</v>
      </c>
      <c r="S495" s="71">
        <f t="shared" si="919"/>
        <v>0.80813930374630627</v>
      </c>
      <c r="T495" s="71">
        <f t="shared" si="919"/>
        <v>-1.4936712489786563E-2</v>
      </c>
      <c r="U495" s="71">
        <f t="shared" si="919"/>
        <v>0.33733472373689488</v>
      </c>
      <c r="V495" s="23">
        <f t="shared" si="919"/>
        <v>0.23368916166901688</v>
      </c>
      <c r="W495" s="71">
        <v>-9.1999999999999998E-2</v>
      </c>
      <c r="X495" s="71">
        <f>X493/S493-1</f>
        <v>-5.97607809797428E-2</v>
      </c>
      <c r="Y495" s="71">
        <f>Y493/T493-1</f>
        <v>-0.13836056985695366</v>
      </c>
      <c r="Z495" s="71">
        <v>-0.18593802265016468</v>
      </c>
      <c r="AA495" s="23">
        <v>-0.12299456815711196</v>
      </c>
      <c r="AB495" s="71">
        <v>0.104</v>
      </c>
      <c r="AC495" s="71">
        <f>AC493/X493-1</f>
        <v>2.6494660534726266E-2</v>
      </c>
      <c r="AD495" s="71">
        <f>AD493/Y493-1</f>
        <v>0.1688199827734711</v>
      </c>
      <c r="AE495" s="71">
        <v>-4.4999999999999998E-2</v>
      </c>
      <c r="AF495" s="23">
        <f>AF493/AA493-1</f>
        <v>5.6294777897639703E-2</v>
      </c>
      <c r="AG495" s="71">
        <f>AG493/AB493-1</f>
        <v>9.8462152985819618E-2</v>
      </c>
      <c r="AH495" s="71">
        <f>AH493/AC493-1</f>
        <v>7.0704462787324562E-2</v>
      </c>
      <c r="AI495" s="71">
        <f>AI493/AD493-1</f>
        <v>9.0930108226046524E-2</v>
      </c>
      <c r="AJ495" s="71">
        <v>3.5000000000000003E-2</v>
      </c>
      <c r="AK495" s="23">
        <f>AK493/AF493-1</f>
        <v>7.6009702964689785E-2</v>
      </c>
      <c r="AL495" s="71">
        <f>AL493/AG493-1</f>
        <v>-5.5944055944055937E-2</v>
      </c>
      <c r="AM495" s="71">
        <f>AM493/AH493-1</f>
        <v>6.3829787234042534E-2</v>
      </c>
      <c r="AN495" s="71">
        <f>AN493/AI493-1</f>
        <v>6.6225165562914245E-3</v>
      </c>
      <c r="AO495" s="71">
        <f t="shared" ref="AO495" si="920">AO493/AJ493-1</f>
        <v>0</v>
      </c>
      <c r="AP495" s="23">
        <f>AP493/AK493-1</f>
        <v>3.5087719298245723E-3</v>
      </c>
      <c r="AQ495" s="71">
        <f>AQ493/AL493-1</f>
        <v>-1.4814814814814836E-2</v>
      </c>
      <c r="AR495" s="71">
        <f>AR493/AM493-1</f>
        <v>6.6666666666665986E-3</v>
      </c>
      <c r="AS495" s="71">
        <f>AS493/AN493-1</f>
        <v>-9.8684210526315819E-2</v>
      </c>
      <c r="AT495" s="71">
        <f t="shared" ref="AT495" si="921">AT493/AO493-1</f>
        <v>2.9629629629629672E-2</v>
      </c>
      <c r="AU495" s="23">
        <f>AU493/AP493-1</f>
        <v>-2.0979020979020935E-2</v>
      </c>
      <c r="AV495" s="71">
        <f>AV493/AQ493-1</f>
        <v>-8.2706766917293284E-2</v>
      </c>
      <c r="AW495" s="71">
        <f t="shared" ref="AW495:AX495" si="922">AW493/AR493-1</f>
        <v>-0.20529801324503316</v>
      </c>
      <c r="AX495" s="71">
        <f t="shared" si="922"/>
        <v>-0.21897810218978098</v>
      </c>
      <c r="AY495" s="71">
        <f t="shared" ref="AY495" si="923">AY493/AT493-1</f>
        <v>-0.28776978417266186</v>
      </c>
      <c r="AZ495" s="23">
        <v>-0.19999999999999996</v>
      </c>
      <c r="BA495" s="71">
        <v>-0.36065573770491799</v>
      </c>
      <c r="BB495" s="71">
        <v>-0.48333333333333328</v>
      </c>
      <c r="BC495" s="71">
        <v>-0.23364485981308414</v>
      </c>
      <c r="BD495" s="83" t="s">
        <v>39</v>
      </c>
      <c r="BE495" s="90" t="s">
        <v>39</v>
      </c>
      <c r="BF495" s="71">
        <v>-0.87179487179487181</v>
      </c>
      <c r="BG495" s="71">
        <v>-0.29032258064516125</v>
      </c>
      <c r="BH495" s="71">
        <v>-0.14634146341463417</v>
      </c>
      <c r="BI495" s="83" t="s">
        <v>39</v>
      </c>
      <c r="BJ495" s="90" t="s">
        <v>39</v>
      </c>
      <c r="BK495" s="71">
        <v>4.3</v>
      </c>
    </row>
    <row r="496" spans="1:63" ht="24">
      <c r="A496" s="87" t="s">
        <v>262</v>
      </c>
      <c r="B496" s="23"/>
      <c r="C496" s="71"/>
      <c r="D496" s="71"/>
      <c r="E496" s="71"/>
      <c r="F496" s="71"/>
      <c r="G496" s="23"/>
      <c r="H496" s="71"/>
      <c r="I496" s="71"/>
      <c r="J496" s="71"/>
      <c r="K496" s="71"/>
      <c r="L496" s="23"/>
      <c r="M496" s="71"/>
      <c r="N496" s="71"/>
      <c r="O496" s="71"/>
      <c r="P496" s="71"/>
      <c r="Q496" s="23"/>
      <c r="R496" s="71"/>
      <c r="S496" s="71"/>
      <c r="T496" s="71"/>
      <c r="U496" s="71"/>
      <c r="V496" s="23"/>
      <c r="W496" s="71"/>
      <c r="X496" s="71"/>
      <c r="Y496" s="71"/>
      <c r="Z496" s="71"/>
      <c r="AA496" s="23"/>
      <c r="AB496" s="75"/>
      <c r="AC496" s="75"/>
      <c r="AD496" s="75"/>
      <c r="AE496" s="232"/>
      <c r="AF496" s="174"/>
      <c r="AG496" s="75"/>
      <c r="AH496" s="75"/>
      <c r="AI496" s="75"/>
      <c r="AJ496" s="232"/>
      <c r="AK496" s="174"/>
      <c r="AL496" s="75"/>
      <c r="AM496" s="75"/>
      <c r="AN496" s="75"/>
      <c r="AO496" s="232"/>
      <c r="AP496" s="174">
        <f>AP493</f>
        <v>572</v>
      </c>
      <c r="AQ496" s="182" t="s">
        <v>138</v>
      </c>
      <c r="AR496" s="182" t="s">
        <v>138</v>
      </c>
      <c r="AS496" s="182" t="s">
        <v>138</v>
      </c>
      <c r="AT496" s="182" t="s">
        <v>138</v>
      </c>
      <c r="AU496" s="174">
        <f>AU493+AU480</f>
        <v>549</v>
      </c>
      <c r="AV496" s="182" t="s">
        <v>138</v>
      </c>
      <c r="AW496" s="182" t="s">
        <v>138</v>
      </c>
      <c r="AX496" s="182" t="s">
        <v>138</v>
      </c>
      <c r="AY496" s="182" t="s">
        <v>138</v>
      </c>
      <c r="AZ496" s="174">
        <v>448</v>
      </c>
      <c r="BA496" s="75">
        <v>80</v>
      </c>
      <c r="BB496" s="75">
        <v>69</v>
      </c>
      <c r="BC496" s="75">
        <v>82</v>
      </c>
      <c r="BD496" s="232">
        <v>53</v>
      </c>
      <c r="BE496" s="174">
        <v>284</v>
      </c>
      <c r="BF496" s="75">
        <v>53</v>
      </c>
      <c r="BG496" s="75">
        <v>35</v>
      </c>
      <c r="BH496" s="75">
        <v>71</v>
      </c>
      <c r="BI496" s="232">
        <v>47</v>
      </c>
      <c r="BJ496" s="174">
        <v>206</v>
      </c>
      <c r="BK496" s="75">
        <v>53</v>
      </c>
    </row>
    <row r="497" spans="1:63" ht="13.9" hidden="1" customHeight="1">
      <c r="A497" s="67" t="s">
        <v>257</v>
      </c>
      <c r="B497" s="21"/>
      <c r="C497" s="71"/>
      <c r="D497" s="71"/>
      <c r="E497" s="71"/>
      <c r="F497" s="71"/>
      <c r="G497" s="21"/>
      <c r="H497" s="71"/>
      <c r="I497" s="71"/>
      <c r="J497" s="71"/>
      <c r="K497" s="71"/>
      <c r="L497" s="21"/>
      <c r="M497" s="71"/>
      <c r="N497" s="71"/>
      <c r="O497" s="71"/>
      <c r="P497" s="71"/>
      <c r="Q497" s="21"/>
      <c r="R497" s="71"/>
      <c r="S497" s="71"/>
      <c r="T497" s="71"/>
      <c r="U497" s="71"/>
      <c r="V497" s="21"/>
      <c r="W497" s="71"/>
      <c r="X497" s="71"/>
      <c r="Y497" s="71"/>
      <c r="Z497" s="71"/>
      <c r="AA497" s="21"/>
      <c r="AB497" s="71"/>
      <c r="AC497" s="71"/>
      <c r="AD497" s="71"/>
      <c r="AE497" s="71"/>
      <c r="AF497" s="21"/>
      <c r="AG497" s="71"/>
      <c r="AH497" s="71"/>
      <c r="AI497" s="71"/>
      <c r="AJ497" s="71"/>
      <c r="AK497" s="21"/>
      <c r="AL497" s="71"/>
      <c r="AM497" s="71"/>
      <c r="AN497" s="71"/>
      <c r="AO497" s="71"/>
      <c r="AP497" s="21"/>
      <c r="AQ497" s="71"/>
      <c r="AR497" s="71"/>
      <c r="AS497" s="71"/>
      <c r="AT497" s="71"/>
      <c r="AU497" s="21"/>
      <c r="AV497" s="71"/>
      <c r="AW497" s="71"/>
      <c r="AX497" s="71"/>
      <c r="AY497" s="71"/>
      <c r="AZ497" s="21"/>
      <c r="BA497" s="75">
        <v>70</v>
      </c>
      <c r="BB497" s="75">
        <v>54</v>
      </c>
      <c r="BC497" s="75">
        <v>73</v>
      </c>
      <c r="BD497" s="182">
        <v>39</v>
      </c>
      <c r="BE497" s="174">
        <v>236</v>
      </c>
      <c r="BF497" s="75"/>
      <c r="BG497" s="75"/>
      <c r="BH497" s="75"/>
      <c r="BI497" s="182" t="e">
        <v>#VALUE!</v>
      </c>
      <c r="BJ497" s="174" t="e">
        <v>#VALUE!</v>
      </c>
      <c r="BK497" s="75"/>
    </row>
    <row r="498" spans="1:63">
      <c r="A498" s="67"/>
      <c r="B498" s="21"/>
      <c r="C498" s="71"/>
      <c r="D498" s="71"/>
      <c r="E498" s="71"/>
      <c r="F498" s="71"/>
      <c r="G498" s="21"/>
      <c r="H498" s="71"/>
      <c r="I498" s="71"/>
      <c r="J498" s="71"/>
      <c r="K498" s="71"/>
      <c r="L498" s="21"/>
      <c r="M498" s="71"/>
      <c r="N498" s="71"/>
      <c r="O498" s="71"/>
      <c r="P498" s="71"/>
      <c r="Q498" s="21"/>
      <c r="R498" s="71"/>
      <c r="S498" s="71"/>
      <c r="T498" s="71"/>
      <c r="U498" s="71"/>
      <c r="V498" s="21"/>
      <c r="W498" s="71"/>
      <c r="X498" s="71"/>
      <c r="Y498" s="71"/>
      <c r="Z498" s="71"/>
      <c r="AA498" s="21"/>
      <c r="AB498" s="71"/>
      <c r="AC498" s="71"/>
      <c r="AD498" s="71"/>
      <c r="AE498" s="71"/>
      <c r="AF498" s="21"/>
      <c r="AG498" s="71"/>
      <c r="AH498" s="71"/>
      <c r="AI498" s="71"/>
      <c r="AJ498" s="71"/>
      <c r="AK498" s="21"/>
      <c r="AL498" s="71"/>
      <c r="AM498" s="71"/>
      <c r="AN498" s="71"/>
      <c r="AO498" s="71"/>
      <c r="AP498" s="21"/>
      <c r="AQ498" s="71"/>
      <c r="AR498" s="71"/>
      <c r="AS498" s="71"/>
      <c r="AT498" s="71"/>
      <c r="AU498" s="21"/>
      <c r="AV498" s="71"/>
      <c r="AW498" s="71"/>
      <c r="AX498" s="71"/>
      <c r="AY498" s="71"/>
      <c r="AZ498" s="21"/>
      <c r="BA498" s="71"/>
      <c r="BB498" s="71"/>
      <c r="BC498" s="71"/>
      <c r="BD498" s="71"/>
      <c r="BE498" s="21"/>
      <c r="BF498" s="71"/>
      <c r="BG498" s="71"/>
      <c r="BH498" s="71"/>
      <c r="BI498" s="71"/>
      <c r="BJ498" s="21"/>
      <c r="BK498" s="71"/>
    </row>
    <row r="499" spans="1:63">
      <c r="A499" s="39" t="s">
        <v>24</v>
      </c>
      <c r="B499" s="40"/>
      <c r="C499" s="52"/>
      <c r="D499" s="52"/>
      <c r="E499" s="52"/>
      <c r="F499" s="52"/>
      <c r="G499" s="40"/>
      <c r="H499" s="52"/>
      <c r="I499" s="52"/>
      <c r="J499" s="52"/>
      <c r="K499" s="52"/>
      <c r="L499" s="40"/>
      <c r="M499" s="52"/>
      <c r="N499" s="52"/>
      <c r="O499" s="52"/>
      <c r="P499" s="52"/>
      <c r="Q499" s="40"/>
      <c r="R499" s="52"/>
      <c r="S499" s="52"/>
      <c r="T499" s="52"/>
      <c r="U499" s="52"/>
      <c r="V499" s="40"/>
      <c r="W499" s="52"/>
      <c r="X499" s="52"/>
      <c r="Y499" s="52"/>
      <c r="Z499" s="52"/>
      <c r="AA499" s="40"/>
      <c r="AB499" s="52"/>
      <c r="AC499" s="52"/>
      <c r="AD499" s="52"/>
      <c r="AE499" s="52"/>
      <c r="AF499" s="40"/>
      <c r="AG499" s="52"/>
      <c r="AH499" s="52"/>
      <c r="AI499" s="52"/>
      <c r="AJ499" s="52"/>
      <c r="AK499" s="40"/>
      <c r="AL499" s="52"/>
      <c r="AM499" s="52"/>
      <c r="AN499" s="52"/>
      <c r="AO499" s="52"/>
      <c r="AP499" s="40"/>
      <c r="AQ499" s="52"/>
      <c r="AR499" s="52"/>
      <c r="AS499" s="52"/>
      <c r="AT499" s="52"/>
      <c r="AU499" s="40"/>
      <c r="AV499" s="52"/>
      <c r="AW499" s="52"/>
      <c r="AX499" s="52"/>
      <c r="AY499" s="52"/>
      <c r="AZ499" s="40"/>
      <c r="BA499" s="52"/>
      <c r="BB499" s="52"/>
      <c r="BC499" s="52"/>
      <c r="BD499" s="52"/>
      <c r="BE499" s="40"/>
      <c r="BF499" s="52"/>
      <c r="BG499" s="52"/>
      <c r="BH499" s="52"/>
      <c r="BI499" s="52"/>
      <c r="BJ499" s="40"/>
      <c r="BK499" s="52"/>
    </row>
    <row r="500" spans="1:63" s="35" customFormat="1">
      <c r="A500" s="67" t="s">
        <v>12</v>
      </c>
      <c r="B500" s="36">
        <v>249.875</v>
      </c>
      <c r="C500" s="68">
        <v>84.1</v>
      </c>
      <c r="D500" s="68">
        <v>32.369999999999997</v>
      </c>
      <c r="E500" s="68">
        <v>97.233000000000004</v>
      </c>
      <c r="F500" s="68">
        <f>G500-E500-D500-C500</f>
        <v>133.32399999999998</v>
      </c>
      <c r="G500" s="36">
        <v>347.02699999999999</v>
      </c>
      <c r="H500" s="68">
        <v>90.685000000000002</v>
      </c>
      <c r="I500" s="68">
        <v>93.376000000000005</v>
      </c>
      <c r="J500" s="68">
        <v>135.02799999999999</v>
      </c>
      <c r="K500" s="68">
        <f>L500-J500-I500-H500</f>
        <v>90.639000000000038</v>
      </c>
      <c r="L500" s="36">
        <v>409.72800000000001</v>
      </c>
      <c r="M500" s="68">
        <v>124.29600000000001</v>
      </c>
      <c r="N500" s="68">
        <v>109.545</v>
      </c>
      <c r="O500" s="68">
        <v>126.117</v>
      </c>
      <c r="P500" s="68">
        <f>Q500-O500-N500-M500</f>
        <v>131.55599999999998</v>
      </c>
      <c r="Q500" s="36">
        <v>491.51400000000001</v>
      </c>
      <c r="R500" s="68">
        <v>141.339</v>
      </c>
      <c r="S500" s="68">
        <v>118.801</v>
      </c>
      <c r="T500" s="68">
        <v>134.20099999999999</v>
      </c>
      <c r="U500" s="68">
        <f>V500-T500-S500-R500</f>
        <v>118.80799999999999</v>
      </c>
      <c r="V500" s="36">
        <v>513.149</v>
      </c>
      <c r="W500" s="68">
        <v>115.95099999999999</v>
      </c>
      <c r="X500" s="68">
        <v>100.084</v>
      </c>
      <c r="Y500" s="68">
        <v>82.509</v>
      </c>
      <c r="Z500" s="68">
        <f>AA500-Y500-X500-W500</f>
        <v>119.50300000000001</v>
      </c>
      <c r="AA500" s="36">
        <v>418.04700000000003</v>
      </c>
      <c r="AB500" s="68">
        <v>121.581</v>
      </c>
      <c r="AC500" s="68">
        <v>110.20099999999999</v>
      </c>
      <c r="AD500" s="68">
        <v>125.82599999999999</v>
      </c>
      <c r="AE500" s="68">
        <v>134</v>
      </c>
      <c r="AF500" s="36">
        <v>490</v>
      </c>
      <c r="AG500" s="68">
        <v>113</v>
      </c>
      <c r="AH500" s="68">
        <v>106</v>
      </c>
      <c r="AI500" s="68">
        <v>101</v>
      </c>
      <c r="AJ500" s="68">
        <f>AK500-AI500-AH500-AG500</f>
        <v>122</v>
      </c>
      <c r="AK500" s="36">
        <v>442</v>
      </c>
      <c r="AL500" s="68">
        <v>149</v>
      </c>
      <c r="AM500" s="68">
        <v>106</v>
      </c>
      <c r="AN500" s="68">
        <v>145</v>
      </c>
      <c r="AO500" s="68">
        <f>AP500-AN500-AM500-AL500</f>
        <v>105</v>
      </c>
      <c r="AP500" s="36">
        <v>505</v>
      </c>
      <c r="AQ500" s="68">
        <v>158</v>
      </c>
      <c r="AR500" s="68">
        <v>110</v>
      </c>
      <c r="AS500" s="68">
        <v>154</v>
      </c>
      <c r="AT500" s="68">
        <f>AU500-AS500-AR500-AQ500</f>
        <v>207</v>
      </c>
      <c r="AU500" s="36">
        <v>629</v>
      </c>
      <c r="AV500" s="68">
        <v>51</v>
      </c>
      <c r="AW500" s="68">
        <v>169</v>
      </c>
      <c r="AX500" s="68">
        <v>115</v>
      </c>
      <c r="AY500" s="68">
        <f>AZ500-AX500-AW500-AV500</f>
        <v>95</v>
      </c>
      <c r="AZ500" s="36">
        <v>430</v>
      </c>
      <c r="BA500" s="68">
        <v>86</v>
      </c>
      <c r="BB500" s="68">
        <v>60</v>
      </c>
      <c r="BC500" s="68">
        <v>34</v>
      </c>
      <c r="BD500" s="68">
        <v>46</v>
      </c>
      <c r="BE500" s="36">
        <v>226</v>
      </c>
      <c r="BF500" s="68">
        <v>53</v>
      </c>
      <c r="BG500" s="68">
        <v>22</v>
      </c>
      <c r="BH500" s="68">
        <v>37</v>
      </c>
      <c r="BI500" s="68">
        <v>31</v>
      </c>
      <c r="BJ500" s="36">
        <v>143</v>
      </c>
      <c r="BK500" s="68">
        <v>41</v>
      </c>
    </row>
    <row r="501" spans="1:63">
      <c r="A501" s="80" t="s">
        <v>7</v>
      </c>
      <c r="B501" s="23"/>
      <c r="C501" s="70"/>
      <c r="D501" s="70">
        <f>D500/C500-1</f>
        <v>-0.61510107015457782</v>
      </c>
      <c r="E501" s="70">
        <f>E500/D500-1</f>
        <v>2.0037998146431883</v>
      </c>
      <c r="F501" s="70">
        <f>F500/E500-1</f>
        <v>0.37118056626865337</v>
      </c>
      <c r="G501" s="23"/>
      <c r="H501" s="70">
        <f>H500/F500-1</f>
        <v>-0.31981488704209282</v>
      </c>
      <c r="I501" s="70">
        <f>I500/H500-1</f>
        <v>2.9674146771792476E-2</v>
      </c>
      <c r="J501" s="70">
        <f>J500/I500-1</f>
        <v>0.44606751199451655</v>
      </c>
      <c r="K501" s="70">
        <f>K500/J500-1</f>
        <v>-0.32873922445714931</v>
      </c>
      <c r="L501" s="23"/>
      <c r="M501" s="70">
        <f>M500/K500-1</f>
        <v>0.37133022208982847</v>
      </c>
      <c r="N501" s="70">
        <f>N500/M500-1</f>
        <v>-0.1186763854025874</v>
      </c>
      <c r="O501" s="70">
        <f>O500/N500-1</f>
        <v>0.15128029576886215</v>
      </c>
      <c r="P501" s="70">
        <f>P500/O500-1</f>
        <v>4.3126620519041703E-2</v>
      </c>
      <c r="Q501" s="23"/>
      <c r="R501" s="70">
        <f>R500/P500-1</f>
        <v>7.4363769041321026E-2</v>
      </c>
      <c r="S501" s="70">
        <f>S500/R500-1</f>
        <v>-0.15946058766511717</v>
      </c>
      <c r="T501" s="70">
        <f>T500/S500-1</f>
        <v>0.12962853848031575</v>
      </c>
      <c r="U501" s="70">
        <f>U500/T500-1</f>
        <v>-0.11470108270430179</v>
      </c>
      <c r="V501" s="23"/>
      <c r="W501" s="70">
        <f>W500/U500-1</f>
        <v>-2.4047202208605456E-2</v>
      </c>
      <c r="X501" s="70">
        <f>X500/W500-1</f>
        <v>-0.13684228682805655</v>
      </c>
      <c r="Y501" s="70">
        <f>Y500/X500-1</f>
        <v>-0.17560249390511973</v>
      </c>
      <c r="Z501" s="70">
        <v>0.44838744864196656</v>
      </c>
      <c r="AA501" s="23"/>
      <c r="AB501" s="70">
        <f>AB500/Z500-1</f>
        <v>1.7388684802891907E-2</v>
      </c>
      <c r="AC501" s="70">
        <f>AC500/AB500-1</f>
        <v>-9.3600151339436333E-2</v>
      </c>
      <c r="AD501" s="70">
        <f>AD500/AC500-1</f>
        <v>0.1417863721744812</v>
      </c>
      <c r="AE501" s="70">
        <f>AE500/AD500-1</f>
        <v>6.4962726304579332E-2</v>
      </c>
      <c r="AF501" s="23"/>
      <c r="AG501" s="70">
        <f>AG500/AE500-1</f>
        <v>-0.15671641791044777</v>
      </c>
      <c r="AH501" s="70">
        <f>AH500/AG500-1</f>
        <v>-6.1946902654867242E-2</v>
      </c>
      <c r="AI501" s="70">
        <f>AI500/AH500-1</f>
        <v>-4.7169811320754707E-2</v>
      </c>
      <c r="AJ501" s="70">
        <f>AJ500/AI500-1</f>
        <v>0.20792079207920788</v>
      </c>
      <c r="AK501" s="23"/>
      <c r="AL501" s="70">
        <f>AL500/AJ500-1</f>
        <v>0.22131147540983598</v>
      </c>
      <c r="AM501" s="70">
        <f>AM500/AL500-1</f>
        <v>-0.28859060402684567</v>
      </c>
      <c r="AN501" s="70">
        <f>AN500/AM500-1</f>
        <v>0.36792452830188682</v>
      </c>
      <c r="AO501" s="70">
        <f>AO500/AN500-1</f>
        <v>-0.27586206896551724</v>
      </c>
      <c r="AP501" s="23"/>
      <c r="AQ501" s="70">
        <f>AQ500/AO500-1</f>
        <v>0.50476190476190474</v>
      </c>
      <c r="AR501" s="70">
        <f>AR500/AQ500-1</f>
        <v>-0.30379746835443033</v>
      </c>
      <c r="AS501" s="70">
        <f>AS500/AR500-1</f>
        <v>0.39999999999999991</v>
      </c>
      <c r="AT501" s="70">
        <f>AT500/AS500-1</f>
        <v>0.3441558441558441</v>
      </c>
      <c r="AU501" s="23"/>
      <c r="AV501" s="70">
        <f>AV500/AT500-1</f>
        <v>-0.75362318840579712</v>
      </c>
      <c r="AW501" s="70">
        <f>AW500/AV500-1</f>
        <v>2.3137254901960786</v>
      </c>
      <c r="AX501" s="70">
        <f>AX500/AW500-1</f>
        <v>-0.31952662721893488</v>
      </c>
      <c r="AY501" s="70">
        <f>AY500/AX500-1</f>
        <v>-0.17391304347826086</v>
      </c>
      <c r="AZ501" s="23"/>
      <c r="BA501" s="70">
        <v>-9.4736842105263119E-2</v>
      </c>
      <c r="BB501" s="70">
        <v>-0.30232558139534882</v>
      </c>
      <c r="BC501" s="70">
        <v>-0.43333333333333335</v>
      </c>
      <c r="BD501" s="70">
        <v>0.35294117647058831</v>
      </c>
      <c r="BE501" s="23"/>
      <c r="BF501" s="70">
        <v>0.15217391304347827</v>
      </c>
      <c r="BG501" s="70">
        <v>-0.58490566037735847</v>
      </c>
      <c r="BH501" s="70">
        <v>0.68181818181818188</v>
      </c>
      <c r="BI501" s="70">
        <v>-0.16216216216216217</v>
      </c>
      <c r="BJ501" s="23"/>
      <c r="BK501" s="70">
        <v>0.32258064516129026</v>
      </c>
    </row>
    <row r="502" spans="1:63">
      <c r="A502" s="80" t="s">
        <v>8</v>
      </c>
      <c r="B502" s="23"/>
      <c r="C502" s="71"/>
      <c r="D502" s="71"/>
      <c r="E502" s="71"/>
      <c r="F502" s="71"/>
      <c r="G502" s="23">
        <f t="shared" ref="G502:N502" si="924">G500/B500-1</f>
        <v>0.38880240120060017</v>
      </c>
      <c r="H502" s="71">
        <f t="shared" si="924"/>
        <v>7.8299643281807496E-2</v>
      </c>
      <c r="I502" s="71">
        <f t="shared" si="924"/>
        <v>1.884646277417362</v>
      </c>
      <c r="J502" s="71">
        <f t="shared" si="924"/>
        <v>0.38870548064957355</v>
      </c>
      <c r="K502" s="71">
        <f t="shared" si="924"/>
        <v>-0.32015991119378318</v>
      </c>
      <c r="L502" s="23">
        <f t="shared" si="924"/>
        <v>0.18068046578508312</v>
      </c>
      <c r="M502" s="71">
        <f t="shared" si="924"/>
        <v>0.37063461432430955</v>
      </c>
      <c r="N502" s="71">
        <f t="shared" si="924"/>
        <v>0.17316012679917758</v>
      </c>
      <c r="O502" s="71">
        <f t="shared" ref="O502:Y502" si="925">O500/J500-1</f>
        <v>-6.5993719821074048E-2</v>
      </c>
      <c r="P502" s="71">
        <f t="shared" si="925"/>
        <v>0.4514281931618831</v>
      </c>
      <c r="Q502" s="23">
        <f t="shared" si="925"/>
        <v>0.19961047328959691</v>
      </c>
      <c r="R502" s="71">
        <f t="shared" si="925"/>
        <v>0.13711623865611111</v>
      </c>
      <c r="S502" s="71">
        <f t="shared" si="925"/>
        <v>8.4494956410607447E-2</v>
      </c>
      <c r="T502" s="71">
        <f t="shared" si="925"/>
        <v>6.4099209464227647E-2</v>
      </c>
      <c r="U502" s="71">
        <f t="shared" si="925"/>
        <v>-9.6901699656420037E-2</v>
      </c>
      <c r="V502" s="23">
        <f t="shared" si="925"/>
        <v>4.4017057499888157E-2</v>
      </c>
      <c r="W502" s="71">
        <f t="shared" si="925"/>
        <v>-0.17962487353101408</v>
      </c>
      <c r="X502" s="71">
        <f t="shared" si="925"/>
        <v>-0.15754917887896569</v>
      </c>
      <c r="Y502" s="71">
        <f t="shared" si="925"/>
        <v>-0.38518341890149843</v>
      </c>
      <c r="Z502" s="71">
        <v>5.8666083092049348E-3</v>
      </c>
      <c r="AA502" s="23">
        <v>-0.18533018674887791</v>
      </c>
      <c r="AB502" s="71">
        <f t="shared" ref="AB502:AI502" si="926">AB500/W500-1</f>
        <v>4.8554993057412288E-2</v>
      </c>
      <c r="AC502" s="71">
        <f t="shared" si="926"/>
        <v>0.10108508852563847</v>
      </c>
      <c r="AD502" s="71">
        <f t="shared" si="926"/>
        <v>0.52499727302476096</v>
      </c>
      <c r="AE502" s="71">
        <f t="shared" si="926"/>
        <v>0.12131076207291858</v>
      </c>
      <c r="AF502" s="23">
        <f t="shared" si="926"/>
        <v>0.1721170107667318</v>
      </c>
      <c r="AG502" s="71">
        <f t="shared" si="926"/>
        <v>-7.0578462095228667E-2</v>
      </c>
      <c r="AH502" s="71">
        <f t="shared" si="926"/>
        <v>-3.8121251168319659E-2</v>
      </c>
      <c r="AI502" s="71">
        <f t="shared" si="926"/>
        <v>-0.19730421375550355</v>
      </c>
      <c r="AJ502" s="71">
        <v>-8.7999999999999995E-2</v>
      </c>
      <c r="AK502" s="23">
        <v>-0.10100000000000001</v>
      </c>
      <c r="AL502" s="71">
        <f>AL500/AG500-1</f>
        <v>0.31858407079646023</v>
      </c>
      <c r="AM502" s="71">
        <f>AM500/AH500-1</f>
        <v>0</v>
      </c>
      <c r="AN502" s="71">
        <f>AN500/AI500-1</f>
        <v>0.43564356435643559</v>
      </c>
      <c r="AO502" s="71">
        <f t="shared" ref="AO502" si="927">AO500/AJ500-1</f>
        <v>-0.13934426229508201</v>
      </c>
      <c r="AP502" s="23">
        <f t="shared" ref="AP502" si="928">AP500/AK500-1</f>
        <v>0.14253393665158365</v>
      </c>
      <c r="AQ502" s="71">
        <f>AQ500/AL500-1</f>
        <v>6.0402684563758413E-2</v>
      </c>
      <c r="AR502" s="71">
        <f>AR500/AM500-1</f>
        <v>3.7735849056603765E-2</v>
      </c>
      <c r="AS502" s="71">
        <f>AS500/AN500-1</f>
        <v>6.2068965517241281E-2</v>
      </c>
      <c r="AT502" s="71">
        <f t="shared" ref="AT502" si="929">AT500/AO500-1</f>
        <v>0.97142857142857153</v>
      </c>
      <c r="AU502" s="23">
        <f t="shared" ref="AU502" si="930">AU500/AP500-1</f>
        <v>0.24554455445544554</v>
      </c>
      <c r="AV502" s="71">
        <f>AV500/AQ500-1</f>
        <v>-0.67721518987341778</v>
      </c>
      <c r="AW502" s="71">
        <f t="shared" ref="AW502:AX502" si="931">AW500/AR500-1</f>
        <v>0.53636363636363638</v>
      </c>
      <c r="AX502" s="71">
        <f t="shared" si="931"/>
        <v>-0.25324675324675328</v>
      </c>
      <c r="AY502" s="71">
        <f t="shared" ref="AY502" si="932">AY500/AT500-1</f>
        <v>-0.54106280193236711</v>
      </c>
      <c r="AZ502" s="23">
        <v>-0.31637519872813991</v>
      </c>
      <c r="BA502" s="71">
        <v>0.68627450980392157</v>
      </c>
      <c r="BB502" s="71">
        <v>-0.6449704142011834</v>
      </c>
      <c r="BC502" s="71">
        <v>-0.70434782608695645</v>
      </c>
      <c r="BD502" s="71">
        <v>-0.51578947368421058</v>
      </c>
      <c r="BE502" s="23">
        <v>-0.47441860465116281</v>
      </c>
      <c r="BF502" s="71">
        <v>-0.38372093023255816</v>
      </c>
      <c r="BG502" s="71">
        <v>-0.6333333333333333</v>
      </c>
      <c r="BH502" s="71">
        <v>8.8235294117646967E-2</v>
      </c>
      <c r="BI502" s="71">
        <v>-0.32608695652173914</v>
      </c>
      <c r="BJ502" s="23">
        <v>-0.36725663716814161</v>
      </c>
      <c r="BK502" s="71">
        <v>-0.22641509433962259</v>
      </c>
    </row>
    <row r="503" spans="1:63" hidden="1">
      <c r="A503" s="67" t="s">
        <v>45</v>
      </c>
      <c r="B503" s="36">
        <v>299</v>
      </c>
      <c r="C503" s="68">
        <v>70</v>
      </c>
      <c r="D503" s="68">
        <v>52</v>
      </c>
      <c r="E503" s="68">
        <v>77</v>
      </c>
      <c r="F503" s="68">
        <f>G503-E503-D503-C503</f>
        <v>66</v>
      </c>
      <c r="G503" s="36">
        <v>265</v>
      </c>
      <c r="H503" s="68">
        <v>20</v>
      </c>
      <c r="I503" s="68">
        <v>71</v>
      </c>
      <c r="J503" s="68">
        <v>101</v>
      </c>
      <c r="K503" s="68">
        <f>L503-J503-I503-H503</f>
        <v>78</v>
      </c>
      <c r="L503" s="36">
        <v>270</v>
      </c>
      <c r="M503" s="68">
        <v>66</v>
      </c>
      <c r="N503" s="68">
        <v>79</v>
      </c>
      <c r="O503" s="68">
        <v>82</v>
      </c>
      <c r="P503" s="68">
        <f>Q503-O503-N503-M503</f>
        <v>68.427000000000021</v>
      </c>
      <c r="Q503" s="36">
        <f>235.103+60.324</f>
        <v>295.42700000000002</v>
      </c>
      <c r="R503" s="68">
        <v>79</v>
      </c>
      <c r="S503" s="68">
        <v>75</v>
      </c>
      <c r="T503" s="68">
        <v>68</v>
      </c>
      <c r="U503" s="68">
        <f>V503-T503-S503-R503</f>
        <v>69</v>
      </c>
      <c r="V503" s="36">
        <f>79+75+68+69</f>
        <v>291</v>
      </c>
      <c r="W503" s="68">
        <v>60</v>
      </c>
      <c r="X503" s="68">
        <v>88</v>
      </c>
      <c r="Y503" s="68">
        <v>102</v>
      </c>
      <c r="Z503" s="68">
        <f>AA503-Y503-X503-W503</f>
        <v>74</v>
      </c>
      <c r="AA503" s="36">
        <v>324</v>
      </c>
      <c r="AB503" s="68">
        <v>71</v>
      </c>
      <c r="AC503" s="68">
        <v>76</v>
      </c>
      <c r="AD503" s="68">
        <v>98</v>
      </c>
      <c r="AE503" s="68">
        <f>AF503-AD503-AC503-AB503</f>
        <v>82</v>
      </c>
      <c r="AF503" s="36">
        <v>327</v>
      </c>
      <c r="AG503" s="68">
        <v>87</v>
      </c>
      <c r="AH503" s="68">
        <v>70</v>
      </c>
      <c r="AI503" s="68">
        <v>78</v>
      </c>
      <c r="AJ503" s="68">
        <f>AK503-AI503-AH503-AG503</f>
        <v>97</v>
      </c>
      <c r="AK503" s="36">
        <v>332</v>
      </c>
      <c r="AL503" s="68">
        <v>80</v>
      </c>
      <c r="AM503" s="68">
        <v>61</v>
      </c>
      <c r="AN503" s="68">
        <v>73</v>
      </c>
      <c r="AO503" s="68">
        <v>67</v>
      </c>
      <c r="AP503" s="36">
        <f>AO503+AN503+AM503+AL503</f>
        <v>281</v>
      </c>
      <c r="AQ503" s="68">
        <v>72</v>
      </c>
      <c r="AR503" s="68">
        <v>43</v>
      </c>
      <c r="AS503" s="68">
        <v>45</v>
      </c>
      <c r="AT503" s="68"/>
      <c r="AU503" s="36"/>
      <c r="AV503" s="68"/>
      <c r="AW503" s="68"/>
      <c r="AX503" s="68"/>
      <c r="AY503" s="68"/>
      <c r="AZ503" s="36"/>
      <c r="BA503" s="68"/>
      <c r="BB503" s="68"/>
      <c r="BC503" s="68"/>
      <c r="BD503" s="68"/>
      <c r="BE503" s="36"/>
      <c r="BF503" s="68"/>
      <c r="BG503" s="68"/>
      <c r="BH503" s="68"/>
      <c r="BI503" s="68"/>
      <c r="BJ503" s="36"/>
      <c r="BK503" s="68"/>
    </row>
    <row r="504" spans="1:63" hidden="1">
      <c r="A504" s="69" t="s">
        <v>7</v>
      </c>
      <c r="B504" s="23"/>
      <c r="C504" s="70"/>
      <c r="D504" s="70">
        <f>D503/C503-1</f>
        <v>-0.25714285714285712</v>
      </c>
      <c r="E504" s="70">
        <f>E503/D503-1</f>
        <v>0.48076923076923084</v>
      </c>
      <c r="F504" s="70">
        <f>F503/E503-1</f>
        <v>-0.1428571428571429</v>
      </c>
      <c r="G504" s="23"/>
      <c r="H504" s="70">
        <f>H503/F503-1</f>
        <v>-0.69696969696969702</v>
      </c>
      <c r="I504" s="70">
        <f>I503/H503-1</f>
        <v>2.5499999999999998</v>
      </c>
      <c r="J504" s="70">
        <f>J503/I503-1</f>
        <v>0.42253521126760574</v>
      </c>
      <c r="K504" s="70">
        <f>K503/J503-1</f>
        <v>-0.2277227722772277</v>
      </c>
      <c r="L504" s="23"/>
      <c r="M504" s="70">
        <f>M503/K503-1</f>
        <v>-0.15384615384615385</v>
      </c>
      <c r="N504" s="70">
        <f>N503/M503-1</f>
        <v>0.19696969696969702</v>
      </c>
      <c r="O504" s="70">
        <f>O503/N503-1</f>
        <v>3.7974683544303778E-2</v>
      </c>
      <c r="P504" s="70">
        <f>P503/O503-1</f>
        <v>-0.1655243902439022</v>
      </c>
      <c r="Q504" s="23"/>
      <c r="R504" s="70">
        <f>R503/P503-1</f>
        <v>0.15451503061656924</v>
      </c>
      <c r="S504" s="70">
        <f>S503/R503-1</f>
        <v>-5.0632911392405111E-2</v>
      </c>
      <c r="T504" s="70">
        <f>T503/S503-1</f>
        <v>-9.3333333333333379E-2</v>
      </c>
      <c r="U504" s="70">
        <f>U503/T503-1</f>
        <v>1.4705882352941124E-2</v>
      </c>
      <c r="V504" s="23"/>
      <c r="W504" s="70">
        <f>W503/U503-1</f>
        <v>-0.13043478260869568</v>
      </c>
      <c r="X504" s="70">
        <f>X503/W503-1</f>
        <v>0.46666666666666656</v>
      </c>
      <c r="Y504" s="70">
        <f>Y503/X503-1</f>
        <v>0.15909090909090917</v>
      </c>
      <c r="Z504" s="70">
        <v>-0.27450980392156865</v>
      </c>
      <c r="AA504" s="23"/>
      <c r="AB504" s="70">
        <f>AB503/Z503-1</f>
        <v>-4.0540540540540571E-2</v>
      </c>
      <c r="AC504" s="70">
        <f>AC503/AB503-1</f>
        <v>7.0422535211267512E-2</v>
      </c>
      <c r="AD504" s="70">
        <f>AD503/AC503-1</f>
        <v>0.28947368421052633</v>
      </c>
      <c r="AE504" s="70">
        <f>AE503/AD503-1</f>
        <v>-0.16326530612244894</v>
      </c>
      <c r="AF504" s="23"/>
      <c r="AG504" s="70">
        <f>AG503/AE503-1</f>
        <v>6.0975609756097615E-2</v>
      </c>
      <c r="AH504" s="70">
        <f>AH503/AG503-1</f>
        <v>-0.1954022988505747</v>
      </c>
      <c r="AI504" s="70">
        <f>AI503/AH503-1</f>
        <v>0.11428571428571432</v>
      </c>
      <c r="AJ504" s="70">
        <f>AJ503/AI503-1</f>
        <v>0.24358974358974361</v>
      </c>
      <c r="AK504" s="23"/>
      <c r="AL504" s="70">
        <f>AL503/AJ503-1</f>
        <v>-0.17525773195876293</v>
      </c>
      <c r="AM504" s="70">
        <f>AM503/AL503-1</f>
        <v>-0.23750000000000004</v>
      </c>
      <c r="AN504" s="70">
        <f>AN503/AM503-1</f>
        <v>0.19672131147540983</v>
      </c>
      <c r="AO504" s="70">
        <f>AO503/AN503-1</f>
        <v>-8.2191780821917804E-2</v>
      </c>
      <c r="AP504" s="23"/>
      <c r="AQ504" s="70">
        <f>AQ503/AO503-1</f>
        <v>7.4626865671641784E-2</v>
      </c>
      <c r="AR504" s="70">
        <f>AR503/AQ503-1</f>
        <v>-0.40277777777777779</v>
      </c>
      <c r="AS504" s="70">
        <f>AS503/AR503-1</f>
        <v>4.6511627906976827E-2</v>
      </c>
      <c r="AT504" s="70"/>
      <c r="AU504" s="23"/>
      <c r="AV504" s="70"/>
      <c r="AW504" s="70"/>
      <c r="AX504" s="70"/>
      <c r="AY504" s="70"/>
      <c r="AZ504" s="23"/>
      <c r="BA504" s="70"/>
      <c r="BB504" s="70"/>
      <c r="BC504" s="70"/>
      <c r="BD504" s="70"/>
      <c r="BE504" s="23"/>
      <c r="BF504" s="70"/>
      <c r="BG504" s="70"/>
      <c r="BH504" s="70"/>
      <c r="BI504" s="70"/>
      <c r="BJ504" s="23"/>
      <c r="BK504" s="70"/>
    </row>
    <row r="505" spans="1:63" hidden="1">
      <c r="A505" s="69" t="s">
        <v>8</v>
      </c>
      <c r="B505" s="23"/>
      <c r="C505" s="71"/>
      <c r="D505" s="71"/>
      <c r="E505" s="71"/>
      <c r="F505" s="71"/>
      <c r="G505" s="23">
        <f t="shared" ref="G505:N505" si="933">G503/B503-1</f>
        <v>-0.11371237458193983</v>
      </c>
      <c r="H505" s="71">
        <f t="shared" si="933"/>
        <v>-0.7142857142857143</v>
      </c>
      <c r="I505" s="71">
        <f t="shared" si="933"/>
        <v>0.36538461538461542</v>
      </c>
      <c r="J505" s="71">
        <f t="shared" si="933"/>
        <v>0.31168831168831179</v>
      </c>
      <c r="K505" s="71">
        <f t="shared" si="933"/>
        <v>0.18181818181818188</v>
      </c>
      <c r="L505" s="23">
        <f t="shared" si="933"/>
        <v>1.8867924528301883E-2</v>
      </c>
      <c r="M505" s="71">
        <f t="shared" si="933"/>
        <v>2.2999999999999998</v>
      </c>
      <c r="N505" s="71">
        <f t="shared" si="933"/>
        <v>0.11267605633802824</v>
      </c>
      <c r="O505" s="71">
        <f t="shared" ref="O505:Y505" si="934">O503/J503-1</f>
        <v>-0.18811881188118806</v>
      </c>
      <c r="P505" s="71">
        <f t="shared" si="934"/>
        <v>-0.12273076923076898</v>
      </c>
      <c r="Q505" s="23">
        <f t="shared" si="934"/>
        <v>9.4174074074074188E-2</v>
      </c>
      <c r="R505" s="71">
        <f t="shared" si="934"/>
        <v>0.19696969696969702</v>
      </c>
      <c r="S505" s="71">
        <f t="shared" si="934"/>
        <v>-5.0632911392405111E-2</v>
      </c>
      <c r="T505" s="71">
        <f t="shared" si="934"/>
        <v>-0.17073170731707321</v>
      </c>
      <c r="U505" s="71">
        <f t="shared" si="934"/>
        <v>8.3738875005476832E-3</v>
      </c>
      <c r="V505" s="23">
        <f t="shared" si="934"/>
        <v>-1.4985089379102146E-2</v>
      </c>
      <c r="W505" s="71">
        <f t="shared" si="934"/>
        <v>-0.240506329113924</v>
      </c>
      <c r="X505" s="71">
        <f t="shared" si="934"/>
        <v>0.17333333333333334</v>
      </c>
      <c r="Y505" s="71">
        <f t="shared" si="934"/>
        <v>0.5</v>
      </c>
      <c r="Z505" s="71">
        <v>7.2463768115942129E-2</v>
      </c>
      <c r="AA505" s="23">
        <v>0.11340206185567014</v>
      </c>
      <c r="AB505" s="71">
        <f t="shared" ref="AB505:AI505" si="935">AB503/W503-1</f>
        <v>0.18333333333333335</v>
      </c>
      <c r="AC505" s="71">
        <f t="shared" si="935"/>
        <v>-0.13636363636363635</v>
      </c>
      <c r="AD505" s="71">
        <f t="shared" si="935"/>
        <v>-3.9215686274509776E-2</v>
      </c>
      <c r="AE505" s="71">
        <f t="shared" si="935"/>
        <v>0.10810810810810811</v>
      </c>
      <c r="AF505" s="23">
        <f t="shared" si="935"/>
        <v>9.2592592592593004E-3</v>
      </c>
      <c r="AG505" s="71">
        <f t="shared" si="935"/>
        <v>0.22535211267605626</v>
      </c>
      <c r="AH505" s="71">
        <f t="shared" si="935"/>
        <v>-7.8947368421052655E-2</v>
      </c>
      <c r="AI505" s="71">
        <f t="shared" si="935"/>
        <v>-0.20408163265306123</v>
      </c>
      <c r="AJ505" s="71">
        <f t="shared" ref="AJ505:AS505" si="936">AJ503/AE503-1</f>
        <v>0.18292682926829262</v>
      </c>
      <c r="AK505" s="23">
        <f t="shared" si="936"/>
        <v>1.5290519877675823E-2</v>
      </c>
      <c r="AL505" s="71">
        <f t="shared" si="936"/>
        <v>-8.0459770114942541E-2</v>
      </c>
      <c r="AM505" s="71">
        <f t="shared" si="936"/>
        <v>-0.12857142857142856</v>
      </c>
      <c r="AN505" s="71">
        <f t="shared" si="936"/>
        <v>-6.4102564102564097E-2</v>
      </c>
      <c r="AO505" s="71">
        <f t="shared" si="936"/>
        <v>-0.30927835051546393</v>
      </c>
      <c r="AP505" s="23">
        <f t="shared" si="936"/>
        <v>-0.15361445783132532</v>
      </c>
      <c r="AQ505" s="71">
        <f t="shared" si="936"/>
        <v>-9.9999999999999978E-2</v>
      </c>
      <c r="AR505" s="71">
        <f t="shared" si="936"/>
        <v>-0.29508196721311475</v>
      </c>
      <c r="AS505" s="71">
        <f t="shared" si="936"/>
        <v>-0.38356164383561642</v>
      </c>
      <c r="AT505" s="71"/>
      <c r="AU505" s="23"/>
      <c r="AV505" s="71"/>
      <c r="AW505" s="71"/>
      <c r="AX505" s="71"/>
      <c r="AY505" s="71"/>
      <c r="AZ505" s="23"/>
      <c r="BA505" s="71"/>
      <c r="BB505" s="71"/>
      <c r="BC505" s="71"/>
      <c r="BD505" s="71"/>
      <c r="BE505" s="23"/>
      <c r="BF505" s="71"/>
      <c r="BG505" s="71"/>
      <c r="BH505" s="71"/>
      <c r="BI505" s="71"/>
      <c r="BJ505" s="23"/>
      <c r="BK505" s="71"/>
    </row>
    <row r="506" spans="1:63">
      <c r="A506" s="67" t="s">
        <v>46</v>
      </c>
      <c r="B506" s="36">
        <f>223.607+11.995+18.948</f>
        <v>254.55</v>
      </c>
      <c r="C506" s="68">
        <v>79.400000000000006</v>
      </c>
      <c r="D506" s="68">
        <f>28.849+2.175+8.53</f>
        <v>39.554000000000002</v>
      </c>
      <c r="E506" s="68">
        <f>55.85</f>
        <v>55.85</v>
      </c>
      <c r="F506" s="68">
        <f>G506-E506-D506-C506</f>
        <v>62.736999999999995</v>
      </c>
      <c r="G506" s="36">
        <f>198.208+12.643+26.69</f>
        <v>237.541</v>
      </c>
      <c r="H506" s="68">
        <f>52.092+2.389+6.955</f>
        <v>61.436</v>
      </c>
      <c r="I506" s="68">
        <v>59.911999999999999</v>
      </c>
      <c r="J506" s="68">
        <f>72.635+5.449+9.304</f>
        <v>87.388000000000005</v>
      </c>
      <c r="K506" s="68">
        <f>L506-J506-I506-H506</f>
        <v>52.824999999999967</v>
      </c>
      <c r="L506" s="36">
        <f>214.368+9.262+37.931</f>
        <v>261.56099999999998</v>
      </c>
      <c r="M506" s="68">
        <f>48.421+3.632+8.981</f>
        <v>61.033999999999999</v>
      </c>
      <c r="N506" s="68">
        <f>50.599+4.089+8.547</f>
        <v>63.234999999999999</v>
      </c>
      <c r="O506" s="68">
        <f>52.441+2.5+9.771</f>
        <v>64.712000000000003</v>
      </c>
      <c r="P506" s="68">
        <f>Q506-O506-N506-M506</f>
        <v>89.399999999999977</v>
      </c>
      <c r="Q506" s="36">
        <f>226.728+14.897+36.756</f>
        <v>278.38099999999997</v>
      </c>
      <c r="R506" s="68">
        <f>57.453+3.813+9.85</f>
        <v>71.116</v>
      </c>
      <c r="S506" s="68">
        <f>47.551+7.177+9.667</f>
        <v>64.394999999999996</v>
      </c>
      <c r="T506" s="68">
        <f>51.634+6.428+9.274</f>
        <v>67.335999999999999</v>
      </c>
      <c r="U506" s="68">
        <v>62</v>
      </c>
      <c r="V506" s="36">
        <f>207.741+32.181+24.414</f>
        <v>264.33600000000001</v>
      </c>
      <c r="W506" s="68">
        <f>48.463+7.914</f>
        <v>56.377000000000002</v>
      </c>
      <c r="X506" s="68">
        <f>55.722+13.527</f>
        <v>69.248999999999995</v>
      </c>
      <c r="Y506" s="68">
        <f>75.056+11.515</f>
        <v>86.570999999999998</v>
      </c>
      <c r="Z506" s="68">
        <f>AA506-Y506-X506-W506</f>
        <v>72.019999999999982</v>
      </c>
      <c r="AA506" s="36">
        <f>240.686+43.531</f>
        <v>284.21699999999998</v>
      </c>
      <c r="AB506" s="68">
        <f>75.656+13.99</f>
        <v>89.646000000000001</v>
      </c>
      <c r="AC506" s="68">
        <f>68.451+16.277</f>
        <v>84.727999999999994</v>
      </c>
      <c r="AD506" s="68">
        <f>46.951+19.847</f>
        <v>66.798000000000002</v>
      </c>
      <c r="AE506" s="68">
        <f>AF506-AD506-AC506-AB506</f>
        <v>81.827999999999989</v>
      </c>
      <c r="AF506" s="36">
        <f>260+63</f>
        <v>323</v>
      </c>
      <c r="AG506" s="68">
        <v>78</v>
      </c>
      <c r="AH506" s="68">
        <v>68</v>
      </c>
      <c r="AI506" s="68">
        <v>64</v>
      </c>
      <c r="AJ506" s="68">
        <f>AK506-AI506-AH506-AG506</f>
        <v>95</v>
      </c>
      <c r="AK506" s="36">
        <v>305</v>
      </c>
      <c r="AL506" s="68">
        <v>65</v>
      </c>
      <c r="AM506" s="68">
        <v>82</v>
      </c>
      <c r="AN506" s="68">
        <v>75</v>
      </c>
      <c r="AO506" s="68">
        <f>AP506-AN506-AM506-AL506</f>
        <v>43</v>
      </c>
      <c r="AP506" s="36">
        <f>233+32</f>
        <v>265</v>
      </c>
      <c r="AQ506" s="68">
        <f>54+5</f>
        <v>59</v>
      </c>
      <c r="AR506" s="68">
        <v>58</v>
      </c>
      <c r="AS506" s="68">
        <v>51</v>
      </c>
      <c r="AT506" s="68">
        <f>AU506-AS506-AR506-AQ506</f>
        <v>41</v>
      </c>
      <c r="AU506" s="36">
        <f>168+41</f>
        <v>209</v>
      </c>
      <c r="AV506" s="68">
        <f>46+14</f>
        <v>60</v>
      </c>
      <c r="AW506" s="68">
        <v>53</v>
      </c>
      <c r="AX506" s="68">
        <f>53+10+6</f>
        <v>69</v>
      </c>
      <c r="AY506" s="68">
        <f>AZ506-AX506-AW506-AV506</f>
        <v>53</v>
      </c>
      <c r="AZ506" s="36">
        <v>235</v>
      </c>
      <c r="BA506" s="68">
        <v>62</v>
      </c>
      <c r="BB506" s="68">
        <v>75</v>
      </c>
      <c r="BC506" s="68">
        <v>79</v>
      </c>
      <c r="BD506" s="68">
        <v>82</v>
      </c>
      <c r="BE506" s="36">
        <v>298</v>
      </c>
      <c r="BF506" s="68">
        <v>64</v>
      </c>
      <c r="BG506" s="68">
        <v>74</v>
      </c>
      <c r="BH506" s="68">
        <v>69</v>
      </c>
      <c r="BI506" s="68">
        <v>32</v>
      </c>
      <c r="BJ506" s="36">
        <v>239</v>
      </c>
      <c r="BK506" s="68">
        <v>37</v>
      </c>
    </row>
    <row r="507" spans="1:63">
      <c r="A507" s="69" t="s">
        <v>7</v>
      </c>
      <c r="B507" s="23"/>
      <c r="C507" s="70"/>
      <c r="D507" s="70">
        <f>D506/C506-1</f>
        <v>-0.50183879093198991</v>
      </c>
      <c r="E507" s="70">
        <f>E506/D506-1</f>
        <v>0.41199373009050921</v>
      </c>
      <c r="F507" s="70">
        <f>F506/E506-1</f>
        <v>0.12331244404655317</v>
      </c>
      <c r="G507" s="23"/>
      <c r="H507" s="70">
        <f>H506/F506-1</f>
        <v>-2.0737363916030316E-2</v>
      </c>
      <c r="I507" s="70">
        <f>I506/H506-1</f>
        <v>-2.4806302493651899E-2</v>
      </c>
      <c r="J507" s="70">
        <f>J506/I506-1</f>
        <v>0.45860595540125537</v>
      </c>
      <c r="K507" s="70">
        <f>K506/J506-1</f>
        <v>-0.39551196960681145</v>
      </c>
      <c r="L507" s="23"/>
      <c r="M507" s="70">
        <f>M506/K506-1</f>
        <v>0.15539990534784742</v>
      </c>
      <c r="N507" s="70">
        <f>N506/M506-1</f>
        <v>3.606186715601134E-2</v>
      </c>
      <c r="O507" s="70">
        <f>O506/N506-1</f>
        <v>2.3357317941013811E-2</v>
      </c>
      <c r="P507" s="70">
        <f>P506/O506-1</f>
        <v>0.3815057485474096</v>
      </c>
      <c r="Q507" s="23"/>
      <c r="R507" s="70">
        <f>R506/P506-1</f>
        <v>-0.20451901565995501</v>
      </c>
      <c r="S507" s="70">
        <f>S506/R506-1</f>
        <v>-9.4507565104899105E-2</v>
      </c>
      <c r="T507" s="70">
        <f>T506/S506-1</f>
        <v>4.5671247767683942E-2</v>
      </c>
      <c r="U507" s="70">
        <f>U506/T506-1</f>
        <v>-7.9244386360936225E-2</v>
      </c>
      <c r="V507" s="23"/>
      <c r="W507" s="70">
        <f>W506/U506-1</f>
        <v>-9.0693548387096756E-2</v>
      </c>
      <c r="X507" s="70">
        <f>X506/W506-1</f>
        <v>0.22832005959877244</v>
      </c>
      <c r="Y507" s="70">
        <f>Y506/X506-1</f>
        <v>0.25014079625698571</v>
      </c>
      <c r="Z507" s="70">
        <v>-0.16807013896108447</v>
      </c>
      <c r="AA507" s="23"/>
      <c r="AB507" s="70">
        <f>AB506/Z506-1</f>
        <v>0.24473757289641807</v>
      </c>
      <c r="AC507" s="70">
        <f>AC506/AB506-1</f>
        <v>-5.4860228007942435E-2</v>
      </c>
      <c r="AD507" s="70">
        <f>AD506/AC506-1</f>
        <v>-0.21161835520725136</v>
      </c>
      <c r="AE507" s="70">
        <f>AE506/AD506-1</f>
        <v>0.22500673672864435</v>
      </c>
      <c r="AF507" s="23"/>
      <c r="AG507" s="70">
        <f>AG506/AE506-1</f>
        <v>-4.678105294031365E-2</v>
      </c>
      <c r="AH507" s="70">
        <f>AH506/AG506-1</f>
        <v>-0.12820512820512819</v>
      </c>
      <c r="AI507" s="70">
        <f>AI506/AH506-1</f>
        <v>-5.8823529411764719E-2</v>
      </c>
      <c r="AJ507" s="70">
        <f>AJ506/AI506-1</f>
        <v>0.484375</v>
      </c>
      <c r="AK507" s="23"/>
      <c r="AL507" s="70">
        <f>AL506/AJ506-1</f>
        <v>-0.31578947368421051</v>
      </c>
      <c r="AM507" s="70">
        <f>AM506/AL506-1</f>
        <v>0.2615384615384615</v>
      </c>
      <c r="AN507" s="70">
        <f>AN506/AM506-1</f>
        <v>-8.536585365853655E-2</v>
      </c>
      <c r="AO507" s="70">
        <f>AO506/AN506-1</f>
        <v>-0.42666666666666664</v>
      </c>
      <c r="AP507" s="23"/>
      <c r="AQ507" s="70">
        <f>AQ506/AO506-1</f>
        <v>0.37209302325581395</v>
      </c>
      <c r="AR507" s="70">
        <f>AR506/AQ506-1</f>
        <v>-1.6949152542372836E-2</v>
      </c>
      <c r="AS507" s="70">
        <f>AS506/AR506-1</f>
        <v>-0.12068965517241381</v>
      </c>
      <c r="AT507" s="70">
        <f>AT506/AS506-1</f>
        <v>-0.19607843137254899</v>
      </c>
      <c r="AU507" s="23"/>
      <c r="AV507" s="70">
        <f>AV506/AT506-1</f>
        <v>0.46341463414634143</v>
      </c>
      <c r="AW507" s="70">
        <f>AW506/AV506-1</f>
        <v>-0.1166666666666667</v>
      </c>
      <c r="AX507" s="70">
        <f>AX506/AW506-1</f>
        <v>0.30188679245283012</v>
      </c>
      <c r="AY507" s="70">
        <f>AY506/AX506-1</f>
        <v>-0.23188405797101452</v>
      </c>
      <c r="AZ507" s="23"/>
      <c r="BA507" s="70">
        <v>0.16981132075471694</v>
      </c>
      <c r="BB507" s="70">
        <v>0.20967741935483875</v>
      </c>
      <c r="BC507" s="70">
        <v>5.3333333333333233E-2</v>
      </c>
      <c r="BD507" s="70">
        <v>3.7974683544303778E-2</v>
      </c>
      <c r="BE507" s="23"/>
      <c r="BF507" s="70">
        <v>-0.21951219512195119</v>
      </c>
      <c r="BG507" s="70">
        <v>0.15625</v>
      </c>
      <c r="BH507" s="70">
        <v>-6.7567567567567544E-2</v>
      </c>
      <c r="BI507" s="70">
        <v>-0.53623188405797095</v>
      </c>
      <c r="BJ507" s="23"/>
      <c r="BK507" s="70">
        <v>0.15625</v>
      </c>
    </row>
    <row r="508" spans="1:63">
      <c r="A508" s="69" t="s">
        <v>8</v>
      </c>
      <c r="B508" s="23"/>
      <c r="C508" s="71"/>
      <c r="D508" s="71"/>
      <c r="E508" s="71"/>
      <c r="F508" s="71"/>
      <c r="G508" s="23">
        <f t="shared" ref="G508:N508" si="937">G506/B506-1</f>
        <v>-6.6819878216460515E-2</v>
      </c>
      <c r="H508" s="71">
        <f t="shared" si="937"/>
        <v>-0.22624685138539047</v>
      </c>
      <c r="I508" s="71">
        <f t="shared" si="937"/>
        <v>0.51468877989583839</v>
      </c>
      <c r="J508" s="71">
        <f t="shared" si="937"/>
        <v>0.56469113697403772</v>
      </c>
      <c r="K508" s="71">
        <f t="shared" si="937"/>
        <v>-0.1579928909574897</v>
      </c>
      <c r="L508" s="23">
        <f t="shared" si="937"/>
        <v>0.10111938570604639</v>
      </c>
      <c r="M508" s="71">
        <f t="shared" si="937"/>
        <v>-6.5433947522625102E-3</v>
      </c>
      <c r="N508" s="71">
        <f t="shared" si="937"/>
        <v>5.546468153291495E-2</v>
      </c>
      <c r="O508" s="71">
        <f t="shared" ref="O508:Y508" si="938">O506/J506-1</f>
        <v>-0.25948642834256419</v>
      </c>
      <c r="P508" s="71">
        <f t="shared" si="938"/>
        <v>0.69238050165641329</v>
      </c>
      <c r="Q508" s="23">
        <f t="shared" si="938"/>
        <v>6.4306223022545295E-2</v>
      </c>
      <c r="R508" s="71">
        <f t="shared" si="938"/>
        <v>0.16518661729527806</v>
      </c>
      <c r="S508" s="71">
        <f t="shared" si="938"/>
        <v>1.834427136870409E-2</v>
      </c>
      <c r="T508" s="71">
        <f t="shared" si="938"/>
        <v>4.0548893559154253E-2</v>
      </c>
      <c r="U508" s="71">
        <f t="shared" si="938"/>
        <v>-0.30648769574944057</v>
      </c>
      <c r="V508" s="23">
        <f t="shared" si="938"/>
        <v>-5.0452437486753654E-2</v>
      </c>
      <c r="W508" s="71">
        <f t="shared" si="938"/>
        <v>-0.20725293886045326</v>
      </c>
      <c r="X508" s="71">
        <f t="shared" si="938"/>
        <v>7.5378523177265233E-2</v>
      </c>
      <c r="Y508" s="71">
        <f t="shared" si="938"/>
        <v>0.28565700368302238</v>
      </c>
      <c r="Z508" s="71">
        <v>0.17128266844476148</v>
      </c>
      <c r="AA508" s="23">
        <v>7.5211094970037973E-2</v>
      </c>
      <c r="AB508" s="71">
        <f t="shared" ref="AB508:AI508" si="939">AB506/W506-1</f>
        <v>0.59011653688560939</v>
      </c>
      <c r="AC508" s="71">
        <f t="shared" si="939"/>
        <v>0.22352669352626031</v>
      </c>
      <c r="AD508" s="71">
        <f t="shared" si="939"/>
        <v>-0.22840212080257816</v>
      </c>
      <c r="AE508" s="71">
        <f t="shared" si="939"/>
        <v>0.13618439322410447</v>
      </c>
      <c r="AF508" s="23">
        <f t="shared" si="939"/>
        <v>0.13645559554847186</v>
      </c>
      <c r="AG508" s="71">
        <f t="shared" si="939"/>
        <v>-0.12991098320058903</v>
      </c>
      <c r="AH508" s="71">
        <f t="shared" si="939"/>
        <v>-0.1974317817014446</v>
      </c>
      <c r="AI508" s="71">
        <f t="shared" si="939"/>
        <v>-4.1887481661127657E-2</v>
      </c>
      <c r="AJ508" s="71">
        <f t="shared" ref="AJ508:AS508" si="940">AJ506/AE506-1</f>
        <v>0.16097179449577181</v>
      </c>
      <c r="AK508" s="23">
        <f t="shared" si="940"/>
        <v>-5.5727554179566541E-2</v>
      </c>
      <c r="AL508" s="71">
        <f t="shared" si="940"/>
        <v>-0.16666666666666663</v>
      </c>
      <c r="AM508" s="71">
        <f t="shared" si="940"/>
        <v>0.20588235294117641</v>
      </c>
      <c r="AN508" s="71">
        <f t="shared" si="940"/>
        <v>0.171875</v>
      </c>
      <c r="AO508" s="71">
        <f t="shared" si="940"/>
        <v>-0.5473684210526315</v>
      </c>
      <c r="AP508" s="23">
        <f t="shared" si="940"/>
        <v>-0.13114754098360659</v>
      </c>
      <c r="AQ508" s="71">
        <f t="shared" si="940"/>
        <v>-9.2307692307692313E-2</v>
      </c>
      <c r="AR508" s="71">
        <f t="shared" si="940"/>
        <v>-0.29268292682926833</v>
      </c>
      <c r="AS508" s="71">
        <f t="shared" si="940"/>
        <v>-0.31999999999999995</v>
      </c>
      <c r="AT508" s="71">
        <f t="shared" ref="AT508" si="941">AT506/AO506-1</f>
        <v>-4.6511627906976716E-2</v>
      </c>
      <c r="AU508" s="23">
        <f t="shared" ref="AU508:AX508" si="942">AU506/AP506-1</f>
        <v>-0.21132075471698109</v>
      </c>
      <c r="AV508" s="71">
        <f t="shared" si="942"/>
        <v>1.6949152542372836E-2</v>
      </c>
      <c r="AW508" s="71">
        <f t="shared" si="942"/>
        <v>-8.6206896551724088E-2</v>
      </c>
      <c r="AX508" s="71">
        <f t="shared" si="942"/>
        <v>0.35294117647058831</v>
      </c>
      <c r="AY508" s="71">
        <f t="shared" ref="AY508" si="943">AY506/AT506-1</f>
        <v>0.29268292682926833</v>
      </c>
      <c r="AZ508" s="23">
        <v>0.12440191387559807</v>
      </c>
      <c r="BA508" s="71">
        <v>3.3333333333333437E-2</v>
      </c>
      <c r="BB508" s="71">
        <v>0.41509433962264142</v>
      </c>
      <c r="BC508" s="71">
        <v>0.14492753623188404</v>
      </c>
      <c r="BD508" s="71">
        <v>0.54716981132075482</v>
      </c>
      <c r="BE508" s="23">
        <v>0.26808510638297878</v>
      </c>
      <c r="BF508" s="71">
        <v>3.2258064516129004E-2</v>
      </c>
      <c r="BG508" s="71">
        <v>-1.3333333333333308E-2</v>
      </c>
      <c r="BH508" s="71">
        <v>-0.12658227848101267</v>
      </c>
      <c r="BI508" s="71">
        <v>-0.6097560975609756</v>
      </c>
      <c r="BJ508" s="23">
        <v>-0.19798657718120805</v>
      </c>
      <c r="BK508" s="71">
        <v>-0.421875</v>
      </c>
    </row>
    <row r="509" spans="1:63" s="35" customFormat="1">
      <c r="A509" s="67" t="s">
        <v>47</v>
      </c>
      <c r="B509" s="36">
        <f>B506</f>
        <v>254.55</v>
      </c>
      <c r="C509" s="68">
        <v>79.400000000000006</v>
      </c>
      <c r="D509" s="68">
        <f>28.849+2.175+8.53</f>
        <v>39.554000000000002</v>
      </c>
      <c r="E509" s="68">
        <f>E506</f>
        <v>55.85</v>
      </c>
      <c r="F509" s="68">
        <f>G509-E509-D509-C509</f>
        <v>62.736999999999995</v>
      </c>
      <c r="G509" s="36">
        <f>G506</f>
        <v>237.541</v>
      </c>
      <c r="H509" s="68">
        <f>H506</f>
        <v>61.436</v>
      </c>
      <c r="I509" s="68">
        <v>59.911999999999999</v>
      </c>
      <c r="J509" s="68">
        <f>J506-0.578</f>
        <v>86.81</v>
      </c>
      <c r="K509" s="68">
        <f>L509-J509-I509-H509</f>
        <v>52.453999999999958</v>
      </c>
      <c r="L509" s="36">
        <f>L506-0.949</f>
        <v>260.61199999999997</v>
      </c>
      <c r="M509" s="68">
        <f>M506-0.184</f>
        <v>60.85</v>
      </c>
      <c r="N509" s="68">
        <f>N506-0.253</f>
        <v>62.981999999999999</v>
      </c>
      <c r="O509" s="68">
        <f>O506-1.056</f>
        <v>63.656000000000006</v>
      </c>
      <c r="P509" s="68">
        <f>Q509-O509-N509-M509</f>
        <v>89.303999999999974</v>
      </c>
      <c r="Q509" s="36">
        <f>Q506-1.589</f>
        <v>276.79199999999997</v>
      </c>
      <c r="R509" s="68">
        <f>R506-0.129</f>
        <v>70.986999999999995</v>
      </c>
      <c r="S509" s="68">
        <f>S506-0.069</f>
        <v>64.325999999999993</v>
      </c>
      <c r="T509" s="68">
        <f>T506-0.156</f>
        <v>67.179999999999993</v>
      </c>
      <c r="U509" s="68">
        <v>62</v>
      </c>
      <c r="V509" s="36">
        <f>V506-0.747</f>
        <v>263.589</v>
      </c>
      <c r="W509" s="68">
        <f>W506-0.109</f>
        <v>56.268000000000001</v>
      </c>
      <c r="X509" s="68">
        <f>X506-0.063</f>
        <v>69.185999999999993</v>
      </c>
      <c r="Y509" s="68">
        <f>Y506-0.052</f>
        <v>86.518999999999991</v>
      </c>
      <c r="Z509" s="68">
        <f>AA509-Y509-X509-W509</f>
        <v>71.772999999999996</v>
      </c>
      <c r="AA509" s="36">
        <f>AA506-0.471</f>
        <v>283.74599999999998</v>
      </c>
      <c r="AB509" s="68">
        <f>AB506-0.035</f>
        <v>89.611000000000004</v>
      </c>
      <c r="AC509" s="68">
        <f>AC506-0.082</f>
        <v>84.646000000000001</v>
      </c>
      <c r="AD509" s="68">
        <f>AD506-0.212</f>
        <v>66.585999999999999</v>
      </c>
      <c r="AE509" s="68">
        <f>AF509-AD509-AC509-AB509</f>
        <v>82.156999999999968</v>
      </c>
      <c r="AF509" s="36">
        <f>AF506</f>
        <v>323</v>
      </c>
      <c r="AG509" s="68">
        <v>78</v>
      </c>
      <c r="AH509" s="68">
        <v>68</v>
      </c>
      <c r="AI509" s="68">
        <v>64</v>
      </c>
      <c r="AJ509" s="68">
        <f>AK509-AI509-AH509-AG509</f>
        <v>95</v>
      </c>
      <c r="AK509" s="36">
        <f>AK506</f>
        <v>305</v>
      </c>
      <c r="AL509" s="68">
        <v>65</v>
      </c>
      <c r="AM509" s="68">
        <v>82</v>
      </c>
      <c r="AN509" s="68">
        <v>75</v>
      </c>
      <c r="AO509" s="68">
        <f>AP509-AN509-AM509-AL509</f>
        <v>43</v>
      </c>
      <c r="AP509" s="36">
        <f>AP506</f>
        <v>265</v>
      </c>
      <c r="AQ509" s="68">
        <f>AQ506</f>
        <v>59</v>
      </c>
      <c r="AR509" s="68">
        <f>AR506</f>
        <v>58</v>
      </c>
      <c r="AS509" s="68">
        <f>AS506-1</f>
        <v>50</v>
      </c>
      <c r="AT509" s="68">
        <f>AU509-AS509-AR509-AQ509</f>
        <v>41</v>
      </c>
      <c r="AU509" s="36">
        <f>AU506-1</f>
        <v>208</v>
      </c>
      <c r="AV509" s="68">
        <f>AV506</f>
        <v>60</v>
      </c>
      <c r="AW509" s="68">
        <f>AW506-1</f>
        <v>52</v>
      </c>
      <c r="AX509" s="68">
        <f>AX506</f>
        <v>69</v>
      </c>
      <c r="AY509" s="68">
        <f>AZ509-AX509-AW509-AV509</f>
        <v>53</v>
      </c>
      <c r="AZ509" s="36">
        <v>234</v>
      </c>
      <c r="BA509" s="68">
        <v>62</v>
      </c>
      <c r="BB509" s="68">
        <v>75</v>
      </c>
      <c r="BC509" s="68">
        <v>79</v>
      </c>
      <c r="BD509" s="68">
        <v>81</v>
      </c>
      <c r="BE509" s="36">
        <v>297</v>
      </c>
      <c r="BF509" s="68">
        <v>64</v>
      </c>
      <c r="BG509" s="68">
        <v>73</v>
      </c>
      <c r="BH509" s="68">
        <v>69</v>
      </c>
      <c r="BI509" s="68">
        <v>32</v>
      </c>
      <c r="BJ509" s="36">
        <v>238</v>
      </c>
      <c r="BK509" s="68">
        <v>37</v>
      </c>
    </row>
    <row r="510" spans="1:63">
      <c r="A510" s="69" t="s">
        <v>7</v>
      </c>
      <c r="B510" s="23"/>
      <c r="C510" s="70"/>
      <c r="D510" s="70">
        <f>D509/C509-1</f>
        <v>-0.50183879093198991</v>
      </c>
      <c r="E510" s="70">
        <f>E509/D509-1</f>
        <v>0.41199373009050921</v>
      </c>
      <c r="F510" s="70">
        <f>F509/E509-1</f>
        <v>0.12331244404655317</v>
      </c>
      <c r="G510" s="23"/>
      <c r="H510" s="70">
        <f>H509/F509-1</f>
        <v>-2.0737363916030316E-2</v>
      </c>
      <c r="I510" s="70">
        <f>I509/H509-1</f>
        <v>-2.4806302493651899E-2</v>
      </c>
      <c r="J510" s="70">
        <f>J509/I509-1</f>
        <v>0.44895847242622522</v>
      </c>
      <c r="K510" s="70">
        <f>K509/J509-1</f>
        <v>-0.3957608570441199</v>
      </c>
      <c r="L510" s="23"/>
      <c r="M510" s="70">
        <f>M509/K509-1</f>
        <v>0.16006405612536789</v>
      </c>
      <c r="N510" s="70">
        <f>N509/M509-1</f>
        <v>3.5036976170911949E-2</v>
      </c>
      <c r="O510" s="70">
        <f>O509/N509-1</f>
        <v>1.0701470261344603E-2</v>
      </c>
      <c r="P510" s="70">
        <f>P509/O509-1</f>
        <v>0.40291567173557818</v>
      </c>
      <c r="Q510" s="23"/>
      <c r="R510" s="70">
        <f>R509/P509-1</f>
        <v>-0.20510839380094936</v>
      </c>
      <c r="S510" s="70">
        <f>S509/R509-1</f>
        <v>-9.3834082296758603E-2</v>
      </c>
      <c r="T510" s="70">
        <f>T509/S509-1</f>
        <v>4.4367751764449848E-2</v>
      </c>
      <c r="U510" s="70">
        <f>U509/T509-1</f>
        <v>-7.7106281631437845E-2</v>
      </c>
      <c r="V510" s="23"/>
      <c r="W510" s="70">
        <f>W509/U509-1</f>
        <v>-9.2451612903225788E-2</v>
      </c>
      <c r="X510" s="70">
        <f>X509/W509-1</f>
        <v>0.22957986777564487</v>
      </c>
      <c r="Y510" s="70">
        <f>Y509/X509-1</f>
        <v>0.25052756337987447</v>
      </c>
      <c r="Z510" s="70">
        <v>-0.17042499335406114</v>
      </c>
      <c r="AA510" s="23"/>
      <c r="AB510" s="70">
        <f>AB509/Z509-1</f>
        <v>0.24853357112005914</v>
      </c>
      <c r="AC510" s="70">
        <f>AC509/AB509-1</f>
        <v>-5.540614433495894E-2</v>
      </c>
      <c r="AD510" s="70">
        <f>AD509/AC509-1</f>
        <v>-0.21335916641069874</v>
      </c>
      <c r="AE510" s="70">
        <f>AE509/AD509-1</f>
        <v>0.23384795602679187</v>
      </c>
      <c r="AF510" s="23"/>
      <c r="AG510" s="70">
        <f>AG509/AE509-1</f>
        <v>-5.0598244823934269E-2</v>
      </c>
      <c r="AH510" s="70">
        <f>AH509/AG509-1</f>
        <v>-0.12820512820512819</v>
      </c>
      <c r="AI510" s="70">
        <f>AI509/AH509-1</f>
        <v>-5.8823529411764719E-2</v>
      </c>
      <c r="AJ510" s="70">
        <f>AJ509/AI509-1</f>
        <v>0.484375</v>
      </c>
      <c r="AK510" s="23"/>
      <c r="AL510" s="70">
        <f>AL509/AJ509-1</f>
        <v>-0.31578947368421051</v>
      </c>
      <c r="AM510" s="70">
        <f>AM509/AL509-1</f>
        <v>0.2615384615384615</v>
      </c>
      <c r="AN510" s="70">
        <f>AN509/AM509-1</f>
        <v>-8.536585365853655E-2</v>
      </c>
      <c r="AO510" s="70">
        <f>AO509/AN509-1</f>
        <v>-0.42666666666666664</v>
      </c>
      <c r="AP510" s="23"/>
      <c r="AQ510" s="70">
        <f>AQ509/AO509-1</f>
        <v>0.37209302325581395</v>
      </c>
      <c r="AR510" s="70">
        <f>AR509/AQ509-1</f>
        <v>-1.6949152542372836E-2</v>
      </c>
      <c r="AS510" s="70">
        <f>AS509/AR509-1</f>
        <v>-0.13793103448275867</v>
      </c>
      <c r="AT510" s="70">
        <f>AT509/AS509-1</f>
        <v>-0.18000000000000005</v>
      </c>
      <c r="AU510" s="23"/>
      <c r="AV510" s="70">
        <f>AV509/AT509-1</f>
        <v>0.46341463414634143</v>
      </c>
      <c r="AW510" s="70">
        <f>AW509/AV509-1</f>
        <v>-0.1333333333333333</v>
      </c>
      <c r="AX510" s="70">
        <f>AX509/AW509-1</f>
        <v>0.32692307692307687</v>
      </c>
      <c r="AY510" s="70">
        <f>AY509/AX509-1</f>
        <v>-0.23188405797101452</v>
      </c>
      <c r="AZ510" s="23"/>
      <c r="BA510" s="70">
        <v>0.16981132075471694</v>
      </c>
      <c r="BB510" s="70">
        <v>0.20967741935483875</v>
      </c>
      <c r="BC510" s="70">
        <v>5.3333333333333233E-2</v>
      </c>
      <c r="BD510" s="70">
        <v>2.5316455696202445E-2</v>
      </c>
      <c r="BE510" s="23"/>
      <c r="BF510" s="70">
        <v>-0.20987654320987659</v>
      </c>
      <c r="BG510" s="70">
        <v>0.140625</v>
      </c>
      <c r="BH510" s="70">
        <v>-5.4794520547945202E-2</v>
      </c>
      <c r="BI510" s="70">
        <v>-0.53623188405797095</v>
      </c>
      <c r="BJ510" s="23"/>
      <c r="BK510" s="70">
        <v>0.15625</v>
      </c>
    </row>
    <row r="511" spans="1:63">
      <c r="A511" s="69" t="s">
        <v>8</v>
      </c>
      <c r="B511" s="23"/>
      <c r="C511" s="71"/>
      <c r="D511" s="71"/>
      <c r="E511" s="71"/>
      <c r="F511" s="71"/>
      <c r="G511" s="23">
        <f t="shared" ref="G511:N511" si="944">G509/B509-1</f>
        <v>-6.6819878216460515E-2</v>
      </c>
      <c r="H511" s="71">
        <f t="shared" si="944"/>
        <v>-0.22624685138539047</v>
      </c>
      <c r="I511" s="71">
        <f t="shared" si="944"/>
        <v>0.51468877989583839</v>
      </c>
      <c r="J511" s="71">
        <f t="shared" si="944"/>
        <v>0.55434198746642793</v>
      </c>
      <c r="K511" s="71">
        <f t="shared" si="944"/>
        <v>-0.16390646667835629</v>
      </c>
      <c r="L511" s="23">
        <f t="shared" si="944"/>
        <v>9.7124285912747466E-2</v>
      </c>
      <c r="M511" s="71">
        <f t="shared" si="944"/>
        <v>-9.5383814050393756E-3</v>
      </c>
      <c r="N511" s="71">
        <f t="shared" si="944"/>
        <v>5.1241821337962401E-2</v>
      </c>
      <c r="O511" s="71">
        <f t="shared" ref="O511:Y511" si="945">O509/J509-1</f>
        <v>-0.26672042391429551</v>
      </c>
      <c r="P511" s="71">
        <f t="shared" si="945"/>
        <v>0.7025203035040235</v>
      </c>
      <c r="Q511" s="23">
        <f t="shared" si="945"/>
        <v>6.2084631559559789E-2</v>
      </c>
      <c r="R511" s="71">
        <f t="shared" si="945"/>
        <v>0.16658997534921927</v>
      </c>
      <c r="S511" s="71">
        <f t="shared" si="945"/>
        <v>2.1339430313422891E-2</v>
      </c>
      <c r="T511" s="71">
        <f t="shared" si="945"/>
        <v>5.5360060324242566E-2</v>
      </c>
      <c r="U511" s="71">
        <f t="shared" si="945"/>
        <v>-0.3057421840007164</v>
      </c>
      <c r="V511" s="23">
        <f t="shared" si="945"/>
        <v>-4.7700078036937432E-2</v>
      </c>
      <c r="W511" s="71">
        <f t="shared" si="945"/>
        <v>-0.20734782424951037</v>
      </c>
      <c r="X511" s="71">
        <f t="shared" si="945"/>
        <v>7.5552653670366565E-2</v>
      </c>
      <c r="Y511" s="71">
        <f t="shared" si="945"/>
        <v>0.28786841321821965</v>
      </c>
      <c r="Z511" s="71">
        <v>0.17477412596569275</v>
      </c>
      <c r="AA511" s="23">
        <v>7.6471324675915886E-2</v>
      </c>
      <c r="AB511" s="71">
        <f t="shared" ref="AB511:AI511" si="946">AB509/W509-1</f>
        <v>0.59257482050188393</v>
      </c>
      <c r="AC511" s="71">
        <f t="shared" si="946"/>
        <v>0.22345561240713452</v>
      </c>
      <c r="AD511" s="71">
        <f t="shared" si="946"/>
        <v>-0.23038870074781259</v>
      </c>
      <c r="AE511" s="71">
        <f t="shared" si="946"/>
        <v>0.14467836094352982</v>
      </c>
      <c r="AF511" s="23">
        <f t="shared" si="946"/>
        <v>0.13834203830186165</v>
      </c>
      <c r="AG511" s="71">
        <f t="shared" si="946"/>
        <v>-0.12957114639943756</v>
      </c>
      <c r="AH511" s="71">
        <f t="shared" si="946"/>
        <v>-0.19665430144365947</v>
      </c>
      <c r="AI511" s="71">
        <f t="shared" si="946"/>
        <v>-3.8836992761241085E-2</v>
      </c>
      <c r="AJ511" s="71">
        <f t="shared" ref="AJ511:AS511" si="947">AJ509/AE509-1</f>
        <v>0.15632265053495176</v>
      </c>
      <c r="AK511" s="23">
        <f t="shared" si="947"/>
        <v>-5.5727554179566541E-2</v>
      </c>
      <c r="AL511" s="71">
        <f t="shared" si="947"/>
        <v>-0.16666666666666663</v>
      </c>
      <c r="AM511" s="71">
        <f t="shared" si="947"/>
        <v>0.20588235294117641</v>
      </c>
      <c r="AN511" s="71">
        <f t="shared" si="947"/>
        <v>0.171875</v>
      </c>
      <c r="AO511" s="71">
        <f t="shared" si="947"/>
        <v>-0.5473684210526315</v>
      </c>
      <c r="AP511" s="23">
        <f t="shared" si="947"/>
        <v>-0.13114754098360659</v>
      </c>
      <c r="AQ511" s="71">
        <f t="shared" si="947"/>
        <v>-9.2307692307692313E-2</v>
      </c>
      <c r="AR511" s="71">
        <f t="shared" si="947"/>
        <v>-0.29268292682926833</v>
      </c>
      <c r="AS511" s="71">
        <f t="shared" si="947"/>
        <v>-0.33333333333333337</v>
      </c>
      <c r="AT511" s="71">
        <f t="shared" ref="AT511" si="948">AT509/AO509-1</f>
        <v>-4.6511627906976716E-2</v>
      </c>
      <c r="AU511" s="23">
        <f t="shared" ref="AU511:AX511" si="949">AU509/AP509-1</f>
        <v>-0.21509433962264146</v>
      </c>
      <c r="AV511" s="71">
        <f t="shared" si="949"/>
        <v>1.6949152542372836E-2</v>
      </c>
      <c r="AW511" s="71">
        <f t="shared" si="949"/>
        <v>-0.10344827586206895</v>
      </c>
      <c r="AX511" s="71">
        <f t="shared" si="949"/>
        <v>0.37999999999999989</v>
      </c>
      <c r="AY511" s="71">
        <f t="shared" ref="AY511" si="950">AY509/AT509-1</f>
        <v>0.29268292682926833</v>
      </c>
      <c r="AZ511" s="23">
        <v>0.125</v>
      </c>
      <c r="BA511" s="71">
        <v>3.3333333333333437E-2</v>
      </c>
      <c r="BB511" s="71">
        <v>0.44230769230769229</v>
      </c>
      <c r="BC511" s="71">
        <v>0.14492753623188404</v>
      </c>
      <c r="BD511" s="71">
        <v>0.52830188679245293</v>
      </c>
      <c r="BE511" s="23">
        <v>0.26923076923076916</v>
      </c>
      <c r="BF511" s="71">
        <v>3.2258064516129004E-2</v>
      </c>
      <c r="BG511" s="71">
        <v>-2.6666666666666616E-2</v>
      </c>
      <c r="BH511" s="71">
        <v>-0.12658227848101267</v>
      </c>
      <c r="BI511" s="71">
        <v>-0.60493827160493829</v>
      </c>
      <c r="BJ511" s="23">
        <v>-0.19865319865319864</v>
      </c>
      <c r="BK511" s="71">
        <v>-0.421875</v>
      </c>
    </row>
    <row r="512" spans="1:63">
      <c r="A512" s="67" t="s">
        <v>241</v>
      </c>
      <c r="B512" s="23"/>
      <c r="C512" s="71"/>
      <c r="D512" s="71"/>
      <c r="E512" s="71"/>
      <c r="F512" s="71"/>
      <c r="G512" s="23"/>
      <c r="H512" s="71"/>
      <c r="I512" s="71"/>
      <c r="J512" s="71"/>
      <c r="K512" s="71"/>
      <c r="L512" s="23"/>
      <c r="M512" s="71"/>
      <c r="N512" s="71"/>
      <c r="O512" s="71"/>
      <c r="P512" s="71"/>
      <c r="Q512" s="23"/>
      <c r="R512" s="71"/>
      <c r="S512" s="71"/>
      <c r="T512" s="71"/>
      <c r="U512" s="71"/>
      <c r="V512" s="23"/>
      <c r="W512" s="71"/>
      <c r="X512" s="71"/>
      <c r="Y512" s="71"/>
      <c r="Z512" s="71"/>
      <c r="AA512" s="23"/>
      <c r="AB512" s="71"/>
      <c r="AC512" s="71"/>
      <c r="AD512" s="71"/>
      <c r="AE512" s="71"/>
      <c r="AF512" s="23"/>
      <c r="AG512" s="71"/>
      <c r="AH512" s="71"/>
      <c r="AI512" s="71"/>
      <c r="AJ512" s="71"/>
      <c r="AK512" s="23"/>
      <c r="AL512" s="71"/>
      <c r="AM512" s="71"/>
      <c r="AN512" s="71"/>
      <c r="AO512" s="71"/>
      <c r="AP512" s="23"/>
      <c r="AQ512" s="71"/>
      <c r="AR512" s="71"/>
      <c r="AS512" s="71"/>
      <c r="AT512" s="71"/>
      <c r="AU512" s="23"/>
      <c r="AV512" s="71"/>
      <c r="AW512" s="71"/>
      <c r="AX512" s="71"/>
      <c r="AY512" s="71"/>
      <c r="AZ512" s="23"/>
      <c r="BA512" s="68">
        <v>8</v>
      </c>
      <c r="BB512" s="68">
        <v>8</v>
      </c>
      <c r="BC512" s="68">
        <v>9</v>
      </c>
      <c r="BD512" s="68">
        <v>6</v>
      </c>
      <c r="BE512" s="36">
        <v>31</v>
      </c>
      <c r="BF512" s="68">
        <v>8</v>
      </c>
      <c r="BG512" s="68">
        <v>7</v>
      </c>
      <c r="BH512" s="68">
        <v>8</v>
      </c>
      <c r="BI512" s="68">
        <v>7</v>
      </c>
      <c r="BJ512" s="36">
        <v>30</v>
      </c>
      <c r="BK512" s="68">
        <v>7</v>
      </c>
    </row>
    <row r="513" spans="1:63" s="35" customFormat="1" ht="18.600000000000001" customHeight="1">
      <c r="A513" s="67" t="s">
        <v>13</v>
      </c>
      <c r="B513" s="174">
        <f>B500-B509</f>
        <v>-4.6750000000000114</v>
      </c>
      <c r="C513" s="182">
        <f>C500-C509</f>
        <v>4.6999999999999886</v>
      </c>
      <c r="D513" s="182">
        <f>D500-D509</f>
        <v>-7.1840000000000046</v>
      </c>
      <c r="E513" s="182">
        <f>E500-E509</f>
        <v>41.383000000000003</v>
      </c>
      <c r="F513" s="182">
        <f>G513-E513-D513-C513</f>
        <v>70.586999999999989</v>
      </c>
      <c r="G513" s="36">
        <f>G500-G509</f>
        <v>109.48599999999999</v>
      </c>
      <c r="H513" s="75">
        <f>H500-H509</f>
        <v>29.249000000000002</v>
      </c>
      <c r="I513" s="75">
        <f>I500-I509</f>
        <v>33.464000000000006</v>
      </c>
      <c r="J513" s="75">
        <f>J500-J509</f>
        <v>48.217999999999989</v>
      </c>
      <c r="K513" s="68">
        <f>L513-J513-I513-H513</f>
        <v>38.185000000000052</v>
      </c>
      <c r="L513" s="36">
        <f>L500-L509</f>
        <v>149.11600000000004</v>
      </c>
      <c r="M513" s="75">
        <f>M500-M509</f>
        <v>63.446000000000005</v>
      </c>
      <c r="N513" s="75">
        <f>N500-N509</f>
        <v>46.563000000000002</v>
      </c>
      <c r="O513" s="75">
        <f>O500-O509</f>
        <v>62.460999999999999</v>
      </c>
      <c r="P513" s="68">
        <f>Q513-O513-N513-M513</f>
        <v>42.252000000000017</v>
      </c>
      <c r="Q513" s="36">
        <f>Q500-Q509</f>
        <v>214.72200000000004</v>
      </c>
      <c r="R513" s="75">
        <f>R500-R509</f>
        <v>70.352000000000004</v>
      </c>
      <c r="S513" s="75">
        <f>S500-S509</f>
        <v>54.475000000000009</v>
      </c>
      <c r="T513" s="75">
        <f>T500-T509</f>
        <v>67.021000000000001</v>
      </c>
      <c r="U513" s="68">
        <v>57</v>
      </c>
      <c r="V513" s="36">
        <f>V500-V509</f>
        <v>249.56</v>
      </c>
      <c r="W513" s="182">
        <f>W500-W509</f>
        <v>59.682999999999993</v>
      </c>
      <c r="X513" s="182">
        <f>X500-X509</f>
        <v>30.89800000000001</v>
      </c>
      <c r="Y513" s="182">
        <f>Y500-Y509</f>
        <v>-4.0099999999999909</v>
      </c>
      <c r="Z513" s="182">
        <f>AA513-Y513-X513-W513</f>
        <v>47.730000000000032</v>
      </c>
      <c r="AA513" s="36">
        <v>134.30100000000004</v>
      </c>
      <c r="AB513" s="75">
        <f>AB500-AB509</f>
        <v>31.97</v>
      </c>
      <c r="AC513" s="75">
        <f>AC500-AC509</f>
        <v>25.554999999999993</v>
      </c>
      <c r="AD513" s="75">
        <f>AD500-AD509</f>
        <v>59.239999999999995</v>
      </c>
      <c r="AE513" s="68">
        <f>AF513-AD513-AC513-AB513</f>
        <v>50.235000000000014</v>
      </c>
      <c r="AF513" s="36">
        <v>167</v>
      </c>
      <c r="AG513" s="75">
        <f>AG500-AG509</f>
        <v>35</v>
      </c>
      <c r="AH513" s="75">
        <f>AH500-AH509</f>
        <v>38</v>
      </c>
      <c r="AI513" s="75">
        <f>AI500-AI509</f>
        <v>37</v>
      </c>
      <c r="AJ513" s="68">
        <f>AK513-AI513-AH513-AG513</f>
        <v>27</v>
      </c>
      <c r="AK513" s="36">
        <f>AK500-AK509</f>
        <v>137</v>
      </c>
      <c r="AL513" s="75">
        <f>AL500-AL509</f>
        <v>84</v>
      </c>
      <c r="AM513" s="75">
        <f>AM500-AM509</f>
        <v>24</v>
      </c>
      <c r="AN513" s="75">
        <f>AN500-AN509</f>
        <v>70</v>
      </c>
      <c r="AO513" s="68">
        <f>AP513-AN513-AM513-AL513</f>
        <v>62</v>
      </c>
      <c r="AP513" s="36">
        <f>AP500-AP509</f>
        <v>240</v>
      </c>
      <c r="AQ513" s="75">
        <f>AQ500-AQ509</f>
        <v>99</v>
      </c>
      <c r="AR513" s="75">
        <f>AR500-AR509</f>
        <v>52</v>
      </c>
      <c r="AS513" s="75">
        <f>AS500-AS509</f>
        <v>104</v>
      </c>
      <c r="AT513" s="68">
        <f>AU513-AS513-AR513-AQ513</f>
        <v>166</v>
      </c>
      <c r="AU513" s="36">
        <f>AU500-AU509</f>
        <v>421</v>
      </c>
      <c r="AV513" s="182">
        <f>AV500-AV509</f>
        <v>-9</v>
      </c>
      <c r="AW513" s="75">
        <f>AW500-AW509</f>
        <v>117</v>
      </c>
      <c r="AX513" s="75">
        <f>AX500-AX509</f>
        <v>46</v>
      </c>
      <c r="AY513" s="68">
        <f>AZ513-AX513-AW513-AV513</f>
        <v>42</v>
      </c>
      <c r="AZ513" s="36">
        <v>196</v>
      </c>
      <c r="BA513" s="182">
        <v>16</v>
      </c>
      <c r="BB513" s="182">
        <v>-23</v>
      </c>
      <c r="BC513" s="182">
        <v>-54</v>
      </c>
      <c r="BD513" s="182">
        <v>-41</v>
      </c>
      <c r="BE513" s="174">
        <v>-102</v>
      </c>
      <c r="BF513" s="182">
        <v>-19</v>
      </c>
      <c r="BG513" s="182">
        <v>-58</v>
      </c>
      <c r="BH513" s="182">
        <v>-40</v>
      </c>
      <c r="BI513" s="182">
        <v>-8</v>
      </c>
      <c r="BJ513" s="174">
        <v>-125</v>
      </c>
      <c r="BK513" s="182">
        <v>-3</v>
      </c>
    </row>
    <row r="514" spans="1:63">
      <c r="A514" s="69" t="s">
        <v>7</v>
      </c>
      <c r="B514" s="23"/>
      <c r="C514" s="70"/>
      <c r="D514" s="83" t="s">
        <v>44</v>
      </c>
      <c r="E514" s="83" t="s">
        <v>44</v>
      </c>
      <c r="F514" s="70">
        <f>F513/E513-1</f>
        <v>0.7057004083802525</v>
      </c>
      <c r="G514" s="23"/>
      <c r="H514" s="70">
        <f>H513/F513-1</f>
        <v>-0.58563191522518299</v>
      </c>
      <c r="I514" s="70">
        <f>I513/H513-1</f>
        <v>0.14410749085438823</v>
      </c>
      <c r="J514" s="70">
        <f>J513/I513-1</f>
        <v>0.44089170451828785</v>
      </c>
      <c r="K514" s="70">
        <f>K513/J513-1</f>
        <v>-0.20807582230702104</v>
      </c>
      <c r="L514" s="23"/>
      <c r="M514" s="70">
        <f>M513/K513-1</f>
        <v>0.6615424905067413</v>
      </c>
      <c r="N514" s="70">
        <f>N513/M513-1</f>
        <v>-0.26610030577183752</v>
      </c>
      <c r="O514" s="70">
        <f>O513/N513-1</f>
        <v>0.34142989068573759</v>
      </c>
      <c r="P514" s="70">
        <f>P513/O513-1</f>
        <v>-0.32354589263700517</v>
      </c>
      <c r="Q514" s="23"/>
      <c r="R514" s="70">
        <f>R513/P513-1</f>
        <v>0.66505727539524706</v>
      </c>
      <c r="S514" s="70">
        <f>S513/R513-1</f>
        <v>-0.22567944052763245</v>
      </c>
      <c r="T514" s="70">
        <f>T513/S513-1</f>
        <v>0.23030748049563998</v>
      </c>
      <c r="U514" s="70">
        <f>U513/T513-1</f>
        <v>-0.14952029960758573</v>
      </c>
      <c r="V514" s="23"/>
      <c r="W514" s="70">
        <f>W513/U513-1</f>
        <v>4.7070175438596262E-2</v>
      </c>
      <c r="X514" s="70">
        <f>X513/W513-1</f>
        <v>-0.48229814184943764</v>
      </c>
      <c r="Y514" s="83" t="s">
        <v>39</v>
      </c>
      <c r="Z514" s="83" t="s">
        <v>39</v>
      </c>
      <c r="AA514" s="23"/>
      <c r="AB514" s="70">
        <f>AB513/Z513-1</f>
        <v>-0.33019065577205164</v>
      </c>
      <c r="AC514" s="70">
        <f>AC513/AB513-1</f>
        <v>-0.20065686581169861</v>
      </c>
      <c r="AD514" s="70">
        <f>AD513/AC513-1</f>
        <v>1.3181373508119747</v>
      </c>
      <c r="AE514" s="70">
        <f>AE513/AD513-1</f>
        <v>-0.15200877785280187</v>
      </c>
      <c r="AF514" s="23"/>
      <c r="AG514" s="70">
        <f>AG513/AE513-1</f>
        <v>-0.30327460933612038</v>
      </c>
      <c r="AH514" s="70">
        <f>AH513/AG513-1</f>
        <v>8.5714285714285632E-2</v>
      </c>
      <c r="AI514" s="70">
        <f>AI513/AH513-1</f>
        <v>-2.6315789473684181E-2</v>
      </c>
      <c r="AJ514" s="70">
        <f>AJ513/AI513-1</f>
        <v>-0.27027027027027029</v>
      </c>
      <c r="AK514" s="23"/>
      <c r="AL514" s="70">
        <f>AL513/AJ513-1</f>
        <v>2.1111111111111112</v>
      </c>
      <c r="AM514" s="70">
        <f>AM513/AL513-1</f>
        <v>-0.7142857142857143</v>
      </c>
      <c r="AN514" s="70">
        <f>AN513/AM513-1</f>
        <v>1.9166666666666665</v>
      </c>
      <c r="AO514" s="70">
        <f>AO513/AN513-1</f>
        <v>-0.11428571428571432</v>
      </c>
      <c r="AP514" s="23"/>
      <c r="AQ514" s="70">
        <f>AQ513/AO513-1</f>
        <v>0.59677419354838701</v>
      </c>
      <c r="AR514" s="70">
        <f>AR513/AQ513-1</f>
        <v>-0.4747474747474747</v>
      </c>
      <c r="AS514" s="70">
        <f>AS513/AR513-1</f>
        <v>1</v>
      </c>
      <c r="AT514" s="70">
        <f>AT513/AS513-1</f>
        <v>0.59615384615384626</v>
      </c>
      <c r="AU514" s="23"/>
      <c r="AV514" s="83" t="s">
        <v>39</v>
      </c>
      <c r="AW514" s="83" t="s">
        <v>39</v>
      </c>
      <c r="AX514" s="70">
        <f>AX513/AW513-1</f>
        <v>-0.6068376068376069</v>
      </c>
      <c r="AY514" s="70">
        <f>AY513/AX513-1</f>
        <v>-8.6956521739130488E-2</v>
      </c>
      <c r="AZ514" s="23"/>
      <c r="BA514" s="70">
        <v>-0.61904761904761907</v>
      </c>
      <c r="BB514" s="83" t="s">
        <v>39</v>
      </c>
      <c r="BC514" s="70">
        <v>1.347826086956522</v>
      </c>
      <c r="BD514" s="70">
        <v>-0.2407407407407407</v>
      </c>
      <c r="BE514" s="23"/>
      <c r="BF514" s="70">
        <v>-0.53658536585365857</v>
      </c>
      <c r="BG514" s="70">
        <v>2.0526315789473686</v>
      </c>
      <c r="BH514" s="70">
        <v>-0.31034482758620685</v>
      </c>
      <c r="BI514" s="70">
        <v>-0.8</v>
      </c>
      <c r="BJ514" s="23"/>
      <c r="BK514" s="70">
        <v>-0.625</v>
      </c>
    </row>
    <row r="515" spans="1:63">
      <c r="A515" s="69" t="s">
        <v>8</v>
      </c>
      <c r="B515" s="23"/>
      <c r="C515" s="71"/>
      <c r="D515" s="71"/>
      <c r="E515" s="71"/>
      <c r="F515" s="71"/>
      <c r="G515" s="90" t="s">
        <v>44</v>
      </c>
      <c r="H515" s="71">
        <f>H513/C513-1</f>
        <v>5.2231914893617173</v>
      </c>
      <c r="I515" s="83" t="s">
        <v>44</v>
      </c>
      <c r="J515" s="71">
        <f t="shared" ref="J515:R515" si="951">J513/E513-1</f>
        <v>0.16516443950414383</v>
      </c>
      <c r="K515" s="71">
        <f t="shared" si="951"/>
        <v>-0.45903636646974577</v>
      </c>
      <c r="L515" s="23">
        <f t="shared" si="951"/>
        <v>0.36196408673255087</v>
      </c>
      <c r="M515" s="71">
        <f t="shared" si="951"/>
        <v>1.1691681766898014</v>
      </c>
      <c r="N515" s="71">
        <f t="shared" si="951"/>
        <v>0.39143557255558203</v>
      </c>
      <c r="O515" s="71">
        <f t="shared" si="951"/>
        <v>0.29538761458376572</v>
      </c>
      <c r="P515" s="71">
        <f t="shared" si="951"/>
        <v>0.10650779101741414</v>
      </c>
      <c r="Q515" s="23">
        <f t="shared" si="951"/>
        <v>0.43996620081010751</v>
      </c>
      <c r="R515" s="71">
        <f t="shared" si="951"/>
        <v>0.1088484695646692</v>
      </c>
      <c r="S515" s="71">
        <f t="shared" ref="S515:X515" si="952">S513/N513-1</f>
        <v>0.16992032300324311</v>
      </c>
      <c r="T515" s="71">
        <f t="shared" si="952"/>
        <v>7.3005555466611138E-2</v>
      </c>
      <c r="U515" s="71">
        <f t="shared" si="952"/>
        <v>0.3490485657483664</v>
      </c>
      <c r="V515" s="23">
        <f t="shared" si="952"/>
        <v>0.16224699844450008</v>
      </c>
      <c r="W515" s="71">
        <f t="shared" si="952"/>
        <v>-0.15165169433704817</v>
      </c>
      <c r="X515" s="71">
        <f t="shared" si="952"/>
        <v>-0.43280403854979344</v>
      </c>
      <c r="Y515" s="83" t="s">
        <v>39</v>
      </c>
      <c r="Z515" s="71">
        <v>-0.17294496811754778</v>
      </c>
      <c r="AA515" s="23">
        <v>-0.4618488539830099</v>
      </c>
      <c r="AB515" s="71">
        <f>AB513/W513-1</f>
        <v>-0.46433657825511443</v>
      </c>
      <c r="AC515" s="71">
        <f>AC513/X513-1</f>
        <v>-0.17292381383908395</v>
      </c>
      <c r="AD515" s="83" t="s">
        <v>39</v>
      </c>
      <c r="AE515" s="71">
        <f>AE513/Z513-1</f>
        <v>5.2482715273412417E-2</v>
      </c>
      <c r="AF515" s="23">
        <f>AF513/AA513-1</f>
        <v>0.24347547672764858</v>
      </c>
      <c r="AG515" s="71">
        <f>AG513/AB513-1</f>
        <v>9.4776352830778787E-2</v>
      </c>
      <c r="AH515" s="71">
        <f>AH513/AC513-1</f>
        <v>0.48698884758364347</v>
      </c>
      <c r="AI515" s="71">
        <f>AI513/AD513-1</f>
        <v>-0.37542201215394999</v>
      </c>
      <c r="AJ515" s="71">
        <v>-0.47899999999999998</v>
      </c>
      <c r="AK515" s="23">
        <v>-0.17799999999999999</v>
      </c>
      <c r="AL515" s="71">
        <f>AL513/AG513-1</f>
        <v>1.4</v>
      </c>
      <c r="AM515" s="71">
        <f>AM513/AH513-1</f>
        <v>-0.36842105263157898</v>
      </c>
      <c r="AN515" s="71">
        <f>AN513/AI513-1</f>
        <v>0.89189189189189189</v>
      </c>
      <c r="AO515" s="71">
        <f t="shared" ref="AO515" si="953">AO513/AJ513-1</f>
        <v>1.2962962962962963</v>
      </c>
      <c r="AP515" s="23">
        <f t="shared" ref="AP515" si="954">AP513/AK513-1</f>
        <v>0.75182481751824826</v>
      </c>
      <c r="AQ515" s="71">
        <f>AQ513/AL513-1</f>
        <v>0.1785714285714286</v>
      </c>
      <c r="AR515" s="71">
        <f>AR513/AM513-1</f>
        <v>1.1666666666666665</v>
      </c>
      <c r="AS515" s="71">
        <f>AS513/AN513-1</f>
        <v>0.48571428571428577</v>
      </c>
      <c r="AT515" s="71">
        <f t="shared" ref="AT515" si="955">AT513/AO513-1</f>
        <v>1.6774193548387095</v>
      </c>
      <c r="AU515" s="23">
        <f t="shared" ref="AU515" si="956">AU513/AP513-1</f>
        <v>0.75416666666666665</v>
      </c>
      <c r="AV515" s="83" t="s">
        <v>39</v>
      </c>
      <c r="AW515" s="71">
        <f t="shared" ref="AW515:AX515" si="957">AW513/AR513-1</f>
        <v>1.25</v>
      </c>
      <c r="AX515" s="71">
        <f t="shared" si="957"/>
        <v>-0.55769230769230771</v>
      </c>
      <c r="AY515" s="71">
        <f t="shared" ref="AY515" si="958">AY513/AT513-1</f>
        <v>-0.74698795180722888</v>
      </c>
      <c r="AZ515" s="23">
        <v>-0.53444180522565321</v>
      </c>
      <c r="BA515" s="81" t="s">
        <v>39</v>
      </c>
      <c r="BB515" s="83" t="s">
        <v>39</v>
      </c>
      <c r="BC515" s="83" t="s">
        <v>39</v>
      </c>
      <c r="BD515" s="83" t="s">
        <v>39</v>
      </c>
      <c r="BE515" s="90" t="s">
        <v>39</v>
      </c>
      <c r="BF515" s="81" t="s">
        <v>39</v>
      </c>
      <c r="BG515" s="71">
        <v>1.5217391304347827</v>
      </c>
      <c r="BH515" s="71">
        <v>-0.2592592592592593</v>
      </c>
      <c r="BI515" s="83">
        <v>-0.80487804878048785</v>
      </c>
      <c r="BJ515" s="90">
        <v>0.22549019607843146</v>
      </c>
      <c r="BK515" s="71">
        <v>-0.84210526315789469</v>
      </c>
    </row>
    <row r="516" spans="1:63">
      <c r="A516" s="69"/>
      <c r="B516" s="23"/>
      <c r="C516" s="71"/>
      <c r="D516" s="71"/>
      <c r="E516" s="71"/>
      <c r="F516" s="71"/>
      <c r="G516" s="23"/>
      <c r="H516" s="71"/>
      <c r="I516" s="71"/>
      <c r="J516" s="71"/>
      <c r="K516" s="71"/>
      <c r="L516" s="23"/>
      <c r="M516" s="71"/>
      <c r="N516" s="71"/>
      <c r="O516" s="71"/>
      <c r="P516" s="71"/>
      <c r="Q516" s="23"/>
      <c r="R516" s="71"/>
      <c r="S516" s="71"/>
      <c r="T516" s="71"/>
      <c r="U516" s="71"/>
      <c r="V516" s="23"/>
      <c r="W516" s="71"/>
      <c r="X516" s="71"/>
      <c r="Y516" s="71"/>
      <c r="Z516" s="71"/>
      <c r="AA516" s="23"/>
      <c r="AB516" s="71"/>
      <c r="AC516" s="71"/>
      <c r="AD516" s="71"/>
      <c r="AE516" s="71"/>
      <c r="AF516" s="23"/>
      <c r="AG516" s="71"/>
      <c r="AH516" s="71"/>
      <c r="AI516" s="71"/>
      <c r="AJ516" s="71"/>
      <c r="AK516" s="23"/>
      <c r="AL516" s="71"/>
      <c r="AM516" s="71"/>
      <c r="AN516" s="71"/>
      <c r="AO516" s="71"/>
      <c r="AP516" s="23"/>
      <c r="AQ516" s="71"/>
      <c r="AR516" s="71"/>
      <c r="AS516" s="71"/>
      <c r="AT516" s="71"/>
      <c r="AU516" s="23"/>
      <c r="AV516" s="71"/>
      <c r="AW516" s="71"/>
      <c r="AX516" s="71"/>
      <c r="AY516" s="71"/>
      <c r="AZ516" s="23"/>
      <c r="BA516" s="71"/>
      <c r="BB516" s="71"/>
      <c r="BC516" s="71"/>
      <c r="BD516" s="71"/>
      <c r="BE516" s="23"/>
      <c r="BF516" s="71"/>
      <c r="BG516" s="71"/>
      <c r="BH516" s="71"/>
      <c r="BI516" s="71"/>
      <c r="BJ516" s="23"/>
      <c r="BK516" s="71"/>
    </row>
    <row r="517" spans="1:63">
      <c r="A517" s="49" t="s">
        <v>19</v>
      </c>
      <c r="B517" s="39"/>
      <c r="C517" s="51"/>
      <c r="D517" s="51"/>
      <c r="E517" s="51"/>
      <c r="F517" s="51"/>
      <c r="G517" s="39"/>
      <c r="H517" s="51"/>
      <c r="I517" s="51"/>
      <c r="J517" s="51"/>
      <c r="K517" s="51"/>
      <c r="L517" s="39"/>
      <c r="M517" s="51"/>
      <c r="N517" s="51"/>
      <c r="O517" s="51"/>
      <c r="P517" s="51"/>
      <c r="Q517" s="39"/>
      <c r="R517" s="51"/>
      <c r="S517" s="51"/>
      <c r="T517" s="51"/>
      <c r="U517" s="51"/>
      <c r="V517" s="39"/>
      <c r="W517" s="51"/>
      <c r="X517" s="51"/>
      <c r="Y517" s="51"/>
      <c r="Z517" s="51"/>
      <c r="AA517" s="39"/>
      <c r="AB517" s="51"/>
      <c r="AC517" s="51"/>
      <c r="AD517" s="51"/>
      <c r="AE517" s="51"/>
      <c r="AF517" s="39"/>
      <c r="AG517" s="51"/>
      <c r="AH517" s="51"/>
      <c r="AI517" s="51"/>
      <c r="AJ517" s="51"/>
      <c r="AK517" s="39"/>
      <c r="AL517" s="51"/>
      <c r="AM517" s="51"/>
      <c r="AN517" s="51"/>
      <c r="AO517" s="51"/>
      <c r="AP517" s="39"/>
      <c r="AQ517" s="51"/>
      <c r="AR517" s="51"/>
      <c r="AS517" s="51"/>
      <c r="AT517" s="51"/>
      <c r="AU517" s="39"/>
      <c r="AV517" s="51"/>
      <c r="AW517" s="51"/>
      <c r="AX517" s="51"/>
      <c r="AY517" s="51"/>
      <c r="AZ517" s="39"/>
      <c r="BA517" s="51"/>
      <c r="BB517" s="51"/>
      <c r="BC517" s="51"/>
      <c r="BD517" s="51"/>
      <c r="BE517" s="39"/>
      <c r="BF517" s="51"/>
      <c r="BG517" s="51"/>
      <c r="BH517" s="51"/>
      <c r="BI517" s="51"/>
      <c r="BJ517" s="39"/>
      <c r="BK517" s="51"/>
    </row>
    <row r="518" spans="1:63" s="35" customFormat="1">
      <c r="A518" s="35" t="s">
        <v>28</v>
      </c>
      <c r="B518" s="54">
        <f t="shared" ref="B518:AG518" si="959">B481/B455</f>
        <v>3.9580216041158502E-2</v>
      </c>
      <c r="C518" s="76">
        <f t="shared" si="959"/>
        <v>7.0400302075193641E-2</v>
      </c>
      <c r="D518" s="187">
        <f t="shared" si="959"/>
        <v>0.11201316222441593</v>
      </c>
      <c r="E518" s="187">
        <f t="shared" si="959"/>
        <v>0.13971211515393842</v>
      </c>
      <c r="F518" s="187">
        <f t="shared" si="959"/>
        <v>0.14707437972597645</v>
      </c>
      <c r="G518" s="54">
        <f t="shared" si="959"/>
        <v>0.11711242390746725</v>
      </c>
      <c r="H518" s="76">
        <f t="shared" si="959"/>
        <v>0.17184234799964565</v>
      </c>
      <c r="I518" s="76">
        <f t="shared" si="959"/>
        <v>0.15701758584198799</v>
      </c>
      <c r="J518" s="76">
        <f t="shared" si="959"/>
        <v>0.15944497451708631</v>
      </c>
      <c r="K518" s="76">
        <f t="shared" si="959"/>
        <v>0.16034698439390524</v>
      </c>
      <c r="L518" s="54">
        <f t="shared" si="959"/>
        <v>0.16218722128022425</v>
      </c>
      <c r="M518" s="76">
        <f t="shared" si="959"/>
        <v>0.14994532671122285</v>
      </c>
      <c r="N518" s="76">
        <f t="shared" si="959"/>
        <v>1.8398927129135972E-2</v>
      </c>
      <c r="O518" s="76">
        <f t="shared" si="959"/>
        <v>0.18146590210625099</v>
      </c>
      <c r="P518" s="76">
        <f t="shared" si="959"/>
        <v>0.10144670431262799</v>
      </c>
      <c r="Q518" s="54">
        <f t="shared" si="959"/>
        <v>0.11265122273252764</v>
      </c>
      <c r="R518" s="121">
        <f t="shared" si="959"/>
        <v>0.15132536062137836</v>
      </c>
      <c r="S518" s="121">
        <f t="shared" si="959"/>
        <v>0.16168184968808794</v>
      </c>
      <c r="T518" s="121">
        <f t="shared" si="959"/>
        <v>0.15627373800151922</v>
      </c>
      <c r="U518" s="121">
        <f t="shared" si="959"/>
        <v>0.26248603995235642</v>
      </c>
      <c r="V518" s="54">
        <f t="shared" si="959"/>
        <v>0.18215119881344866</v>
      </c>
      <c r="W518" s="121">
        <f t="shared" si="959"/>
        <v>0.12384090385501458</v>
      </c>
      <c r="X518" s="121">
        <f t="shared" si="959"/>
        <v>0.18224166446473483</v>
      </c>
      <c r="Y518" s="121">
        <f t="shared" si="959"/>
        <v>0.13406336909018673</v>
      </c>
      <c r="Z518" s="121">
        <f t="shared" si="959"/>
        <v>0.17817368661086022</v>
      </c>
      <c r="AA518" s="54">
        <f t="shared" si="959"/>
        <v>0.15449262038858333</v>
      </c>
      <c r="AB518" s="121">
        <f t="shared" si="959"/>
        <v>0.16709330650417181</v>
      </c>
      <c r="AC518" s="121">
        <f t="shared" si="959"/>
        <v>0.16735340729001585</v>
      </c>
      <c r="AD518" s="121">
        <f t="shared" si="959"/>
        <v>0.17649123491215413</v>
      </c>
      <c r="AE518" s="121">
        <f t="shared" si="959"/>
        <v>0.14267992748538572</v>
      </c>
      <c r="AF518" s="54">
        <f t="shared" si="959"/>
        <v>0.1632811812017495</v>
      </c>
      <c r="AG518" s="121">
        <f t="shared" si="959"/>
        <v>0.17216981132075471</v>
      </c>
      <c r="AH518" s="121">
        <f t="shared" ref="AH518:AY518" si="960">AH481/AH455</f>
        <v>0.15654205607476634</v>
      </c>
      <c r="AI518" s="121">
        <f t="shared" si="960"/>
        <v>0.17592592592592593</v>
      </c>
      <c r="AJ518" s="121">
        <f t="shared" si="960"/>
        <v>0.12954545454545455</v>
      </c>
      <c r="AK518" s="54">
        <f t="shared" si="960"/>
        <v>0.15835266821345709</v>
      </c>
      <c r="AL518" s="121">
        <f t="shared" si="960"/>
        <v>0.13409090909090909</v>
      </c>
      <c r="AM518" s="121">
        <f t="shared" si="960"/>
        <v>0.15945330296127563</v>
      </c>
      <c r="AN518" s="121">
        <f t="shared" si="960"/>
        <v>0.16591928251121077</v>
      </c>
      <c r="AO518" s="121">
        <f t="shared" si="960"/>
        <v>0.10467706013363029</v>
      </c>
      <c r="AP518" s="54">
        <f t="shared" si="960"/>
        <v>0.14092446448703494</v>
      </c>
      <c r="AQ518" s="121">
        <f t="shared" si="960"/>
        <v>0.12984054669703873</v>
      </c>
      <c r="AR518" s="121">
        <f t="shared" si="960"/>
        <v>0.17741935483870969</v>
      </c>
      <c r="AS518" s="121">
        <f t="shared" si="960"/>
        <v>0.14285714285714285</v>
      </c>
      <c r="AT518" s="121">
        <f t="shared" si="960"/>
        <v>0.15525114155251141</v>
      </c>
      <c r="AU518" s="54">
        <f t="shared" si="960"/>
        <v>0.15128939828080229</v>
      </c>
      <c r="AV518" s="121">
        <f t="shared" si="960"/>
        <v>0.12264150943396226</v>
      </c>
      <c r="AW518" s="121">
        <f t="shared" si="960"/>
        <v>0.11778846153846154</v>
      </c>
      <c r="AX518" s="121">
        <f t="shared" si="960"/>
        <v>8.6206896551724144E-2</v>
      </c>
      <c r="AY518" s="121">
        <f t="shared" si="960"/>
        <v>6.6831683168316836E-2</v>
      </c>
      <c r="AZ518" s="54">
        <v>9.8787878787878786E-2</v>
      </c>
      <c r="BA518" s="187">
        <v>-2.6666666666666666E-3</v>
      </c>
      <c r="BB518" s="187">
        <v>-4.5333333333333337E-2</v>
      </c>
      <c r="BC518" s="121">
        <v>2.7247956403269754E-3</v>
      </c>
      <c r="BD518" s="187">
        <v>-3.1994382022471912</v>
      </c>
      <c r="BE518" s="186">
        <v>-0.78479293957909024</v>
      </c>
      <c r="BF518" s="187">
        <v>-0.13119533527696792</v>
      </c>
      <c r="BG518" s="187">
        <v>-7.1216617210682495E-2</v>
      </c>
      <c r="BH518" s="187">
        <v>5.9880239520958084E-2</v>
      </c>
      <c r="BI518" s="187">
        <v>-1.812688821752266E-2</v>
      </c>
      <c r="BJ518" s="186">
        <v>-4.0892193308550186E-2</v>
      </c>
      <c r="BK518" s="187">
        <v>2.6627218934911243E-2</v>
      </c>
    </row>
    <row r="519" spans="1:63" s="35" customFormat="1">
      <c r="A519" s="67" t="s">
        <v>36</v>
      </c>
      <c r="B519" s="186">
        <f t="shared" ref="B519:Y519" si="961">B490/B455</f>
        <v>-8.3127005992975789E-2</v>
      </c>
      <c r="C519" s="187">
        <f t="shared" si="961"/>
        <v>-0.17245294497092001</v>
      </c>
      <c r="D519" s="187">
        <f t="shared" si="961"/>
        <v>-0.26145969068772623</v>
      </c>
      <c r="E519" s="187">
        <f t="shared" si="961"/>
        <v>-0.21891776622684259</v>
      </c>
      <c r="F519" s="187">
        <f t="shared" si="961"/>
        <v>-4.6485667583622402E-2</v>
      </c>
      <c r="G519" s="186">
        <f t="shared" si="961"/>
        <v>-0.17499695894308728</v>
      </c>
      <c r="H519" s="187">
        <f t="shared" si="961"/>
        <v>-3.0043097383410378E-3</v>
      </c>
      <c r="I519" s="187">
        <f t="shared" si="961"/>
        <v>-0.25300320661104286</v>
      </c>
      <c r="J519" s="187">
        <f t="shared" si="961"/>
        <v>-0.23250563147422398</v>
      </c>
      <c r="K519" s="187">
        <f t="shared" si="961"/>
        <v>-9.6615261571273356E-2</v>
      </c>
      <c r="L519" s="186">
        <f t="shared" si="961"/>
        <v>-0.14535344526229471</v>
      </c>
      <c r="M519" s="187">
        <f t="shared" si="961"/>
        <v>-2.1120751323400168E-2</v>
      </c>
      <c r="N519" s="187">
        <f t="shared" si="961"/>
        <v>-0.3606139205499726</v>
      </c>
      <c r="O519" s="187">
        <f t="shared" si="961"/>
        <v>-0.1981828621438888</v>
      </c>
      <c r="P519" s="187">
        <f t="shared" si="961"/>
        <v>-0.21047673779421319</v>
      </c>
      <c r="Q519" s="186">
        <f t="shared" si="961"/>
        <v>-0.19813826258899636</v>
      </c>
      <c r="R519" s="187">
        <f t="shared" si="961"/>
        <v>-0.18093453334977191</v>
      </c>
      <c r="S519" s="187">
        <f t="shared" si="961"/>
        <v>-0.2187444301415982</v>
      </c>
      <c r="T519" s="187">
        <f t="shared" si="961"/>
        <v>-0.18715410340643404</v>
      </c>
      <c r="U519" s="187">
        <f t="shared" si="961"/>
        <v>1.9835030000173431E-2</v>
      </c>
      <c r="V519" s="186">
        <f t="shared" si="961"/>
        <v>-0.14184316988600879</v>
      </c>
      <c r="W519" s="187">
        <f t="shared" si="961"/>
        <v>-0.15325506834587621</v>
      </c>
      <c r="X519" s="187">
        <f t="shared" si="961"/>
        <v>-0.26091424209506475</v>
      </c>
      <c r="Y519" s="187">
        <f t="shared" si="961"/>
        <v>-0.29467620182757248</v>
      </c>
      <c r="Z519" s="187">
        <v>-5.1831854805094196E-2</v>
      </c>
      <c r="AA519" s="186">
        <v>-0.18968101350004954</v>
      </c>
      <c r="AB519" s="187">
        <f t="shared" ref="AB519:AY519" si="962">AB490/AB455</f>
        <v>-0.15042089899167618</v>
      </c>
      <c r="AC519" s="187">
        <f t="shared" si="962"/>
        <v>-0.24994552297939782</v>
      </c>
      <c r="AD519" s="187">
        <f t="shared" si="962"/>
        <v>-0.33169861357564884</v>
      </c>
      <c r="AE519" s="187">
        <f t="shared" si="962"/>
        <v>-0.19869914337920991</v>
      </c>
      <c r="AF519" s="186">
        <f t="shared" si="962"/>
        <v>-0.23280961047347876</v>
      </c>
      <c r="AG519" s="187">
        <f t="shared" si="962"/>
        <v>-8.0188679245283015E-2</v>
      </c>
      <c r="AH519" s="187">
        <f t="shared" si="962"/>
        <v>-0.26869158878504673</v>
      </c>
      <c r="AI519" s="187">
        <f t="shared" si="962"/>
        <v>-0.19907407407407407</v>
      </c>
      <c r="AJ519" s="187">
        <f t="shared" si="962"/>
        <v>-0.19772727272727272</v>
      </c>
      <c r="AK519" s="186">
        <f t="shared" si="962"/>
        <v>-0.18677494199535963</v>
      </c>
      <c r="AL519" s="187">
        <f t="shared" si="962"/>
        <v>-6.8181818181818179E-3</v>
      </c>
      <c r="AM519" s="187">
        <f t="shared" si="962"/>
        <v>-0.37813211845102507</v>
      </c>
      <c r="AN519" s="187">
        <f t="shared" si="962"/>
        <v>-0.16816143497757849</v>
      </c>
      <c r="AO519" s="187">
        <f t="shared" si="962"/>
        <v>-0.24498886414253898</v>
      </c>
      <c r="AP519" s="186">
        <f t="shared" si="962"/>
        <v>-0.19954904171364149</v>
      </c>
      <c r="AQ519" s="187">
        <f t="shared" si="962"/>
        <v>-0.16173120728929385</v>
      </c>
      <c r="AR519" s="187">
        <f t="shared" si="962"/>
        <v>-0.26267281105990781</v>
      </c>
      <c r="AS519" s="187">
        <f t="shared" si="962"/>
        <v>-0.32718894009216593</v>
      </c>
      <c r="AT519" s="187">
        <f t="shared" si="962"/>
        <v>0.90182648401826482</v>
      </c>
      <c r="AU519" s="186">
        <f t="shared" si="962"/>
        <v>3.8968481375358167E-2</v>
      </c>
      <c r="AV519" s="187">
        <f t="shared" si="962"/>
        <v>4.4811320754716978E-2</v>
      </c>
      <c r="AW519" s="187">
        <f t="shared" si="962"/>
        <v>-0.36298076923076922</v>
      </c>
      <c r="AX519" s="187">
        <f t="shared" si="962"/>
        <v>-0.30295566502463056</v>
      </c>
      <c r="AY519" s="187">
        <f t="shared" si="962"/>
        <v>2.7227722772277228E-2</v>
      </c>
      <c r="AZ519" s="186">
        <v>-0.14787878787878789</v>
      </c>
      <c r="BA519" s="187">
        <v>2.6666666666666666E-3</v>
      </c>
      <c r="BB519" s="187">
        <v>0</v>
      </c>
      <c r="BC519" s="187">
        <v>-5.4495912806539508E-3</v>
      </c>
      <c r="BD519" s="187">
        <v>-3.1938202247191012</v>
      </c>
      <c r="BE519" s="186">
        <v>-0.77936184657162255</v>
      </c>
      <c r="BF519" s="187">
        <v>-0.1457725947521866</v>
      </c>
      <c r="BG519" s="187">
        <v>-8.0118694362017809E-2</v>
      </c>
      <c r="BH519" s="187">
        <v>4.4910179640718563E-2</v>
      </c>
      <c r="BI519" s="187">
        <v>-2.1148036253776436E-2</v>
      </c>
      <c r="BJ519" s="186">
        <v>-5.1301115241635685E-2</v>
      </c>
      <c r="BK519" s="187">
        <v>4.142011834319527E-2</v>
      </c>
    </row>
    <row r="520" spans="1:63" s="35" customFormat="1">
      <c r="A520" s="67" t="s">
        <v>10</v>
      </c>
      <c r="B520" s="54">
        <f t="shared" ref="B520:Y520" si="963">B493/B455</f>
        <v>0.2326799889456137</v>
      </c>
      <c r="C520" s="76">
        <f t="shared" si="963"/>
        <v>0.24008160225717295</v>
      </c>
      <c r="D520" s="187">
        <f t="shared" si="963"/>
        <v>0.27152615992102663</v>
      </c>
      <c r="E520" s="187">
        <f t="shared" si="963"/>
        <v>0.29628415300546451</v>
      </c>
      <c r="F520" s="187">
        <f t="shared" si="963"/>
        <v>0.32205876490053031</v>
      </c>
      <c r="G520" s="54">
        <f t="shared" si="963"/>
        <v>0.28230792420099537</v>
      </c>
      <c r="H520" s="76">
        <f t="shared" si="963"/>
        <v>0.31917859618220762</v>
      </c>
      <c r="I520" s="76">
        <f t="shared" si="963"/>
        <v>0.3047503576195566</v>
      </c>
      <c r="J520" s="76">
        <f t="shared" si="963"/>
        <v>0.31433482892672115</v>
      </c>
      <c r="K520" s="76">
        <f t="shared" si="963"/>
        <v>0.32227303488300563</v>
      </c>
      <c r="L520" s="54">
        <f t="shared" si="963"/>
        <v>0.31521756886114083</v>
      </c>
      <c r="M520" s="76">
        <f t="shared" si="963"/>
        <v>0.31282574038874239</v>
      </c>
      <c r="N520" s="76">
        <f t="shared" si="963"/>
        <v>0.19058358820751262</v>
      </c>
      <c r="O520" s="76">
        <f t="shared" si="963"/>
        <v>0.3529102282298841</v>
      </c>
      <c r="P520" s="76">
        <f t="shared" si="963"/>
        <v>0.31388486332517118</v>
      </c>
      <c r="Q520" s="54">
        <f t="shared" si="963"/>
        <v>0.29252778076099389</v>
      </c>
      <c r="R520" s="76">
        <f t="shared" si="963"/>
        <v>0.32046110220687951</v>
      </c>
      <c r="S520" s="76">
        <f t="shared" si="963"/>
        <v>0.33776611545697599</v>
      </c>
      <c r="T520" s="76">
        <f t="shared" si="963"/>
        <v>0.3389613976935294</v>
      </c>
      <c r="U520" s="76">
        <f t="shared" si="963"/>
        <v>0.41601561049052715</v>
      </c>
      <c r="V520" s="54">
        <f t="shared" si="963"/>
        <v>0.35288968618286654</v>
      </c>
      <c r="W520" s="76">
        <f t="shared" si="963"/>
        <v>0.28317462755337119</v>
      </c>
      <c r="X520" s="76">
        <f t="shared" si="963"/>
        <v>0.3138731491539688</v>
      </c>
      <c r="Y520" s="76">
        <f t="shared" si="963"/>
        <v>0.29405542312276517</v>
      </c>
      <c r="Z520" s="76">
        <v>0.33600000000000002</v>
      </c>
      <c r="AA520" s="54">
        <f>AA493/AA455</f>
        <v>0.30654330028105242</v>
      </c>
      <c r="AB520" s="76">
        <f>AB493/AB455</f>
        <v>0.32259919066464132</v>
      </c>
      <c r="AC520" s="76">
        <f>AC493/AC455</f>
        <v>0.32609201664025361</v>
      </c>
      <c r="AD520" s="76">
        <f>AD493/AD455</f>
        <v>0.33737788350915504</v>
      </c>
      <c r="AE520" s="76">
        <v>0.313</v>
      </c>
      <c r="AF520" s="54">
        <f t="shared" ref="AF520:AY520" si="964">AF493/AF455</f>
        <v>0.32395414428430253</v>
      </c>
      <c r="AG520" s="76">
        <f t="shared" si="964"/>
        <v>0.33726415094339623</v>
      </c>
      <c r="AH520" s="76">
        <f t="shared" si="964"/>
        <v>0.32943925233644861</v>
      </c>
      <c r="AI520" s="76">
        <f t="shared" si="964"/>
        <v>0.34953703703703703</v>
      </c>
      <c r="AJ520" s="76">
        <f t="shared" si="964"/>
        <v>0.30681818181818182</v>
      </c>
      <c r="AK520" s="54">
        <f t="shared" si="964"/>
        <v>0.33062645011600927</v>
      </c>
      <c r="AL520" s="76">
        <f t="shared" si="964"/>
        <v>0.30681818181818182</v>
      </c>
      <c r="AM520" s="76">
        <f t="shared" si="964"/>
        <v>0.34168564920273348</v>
      </c>
      <c r="AN520" s="76">
        <f t="shared" si="964"/>
        <v>0.34080717488789236</v>
      </c>
      <c r="AO520" s="76">
        <f t="shared" si="964"/>
        <v>0.30066815144766146</v>
      </c>
      <c r="AP520" s="54">
        <f t="shared" si="964"/>
        <v>0.32243517474633598</v>
      </c>
      <c r="AQ520" s="76">
        <f t="shared" si="964"/>
        <v>0.30296127562642367</v>
      </c>
      <c r="AR520" s="76">
        <f t="shared" si="964"/>
        <v>0.34792626728110598</v>
      </c>
      <c r="AS520" s="76">
        <f t="shared" si="964"/>
        <v>0.31566820276497698</v>
      </c>
      <c r="AT520" s="76">
        <f t="shared" si="964"/>
        <v>0.31735159817351599</v>
      </c>
      <c r="AU520" s="54">
        <f t="shared" si="964"/>
        <v>0.3209169054441261</v>
      </c>
      <c r="AV520" s="76">
        <f t="shared" si="964"/>
        <v>0.28773584905660377</v>
      </c>
      <c r="AW520" s="76">
        <f t="shared" si="964"/>
        <v>0.28846153846153844</v>
      </c>
      <c r="AX520" s="76">
        <f t="shared" si="964"/>
        <v>0.26354679802955666</v>
      </c>
      <c r="AY520" s="76">
        <f t="shared" si="964"/>
        <v>0.24504950495049505</v>
      </c>
      <c r="AZ520" s="54">
        <v>0.27151515151515154</v>
      </c>
      <c r="BA520" s="76">
        <v>0.20799999999999999</v>
      </c>
      <c r="BB520" s="76">
        <v>0.16533333333333333</v>
      </c>
      <c r="BC520" s="76">
        <v>0.22343324250681199</v>
      </c>
      <c r="BD520" s="187">
        <v>-2.9634831460674156</v>
      </c>
      <c r="BE520" s="186">
        <v>-0.56551255940257972</v>
      </c>
      <c r="BF520" s="76">
        <v>2.9154518950437316E-2</v>
      </c>
      <c r="BG520" s="76">
        <v>0.13056379821958458</v>
      </c>
      <c r="BH520" s="76">
        <v>0.20958083832335328</v>
      </c>
      <c r="BI520" s="187">
        <v>0.12084592145015106</v>
      </c>
      <c r="BJ520" s="186">
        <v>0.12193308550185873</v>
      </c>
      <c r="BK520" s="76">
        <v>0.15680473372781065</v>
      </c>
    </row>
    <row r="521" spans="1:63" s="35" customFormat="1">
      <c r="A521" s="67" t="s">
        <v>18</v>
      </c>
      <c r="B521" s="54">
        <f t="shared" ref="B521:AG521" si="965">B506/B455</f>
        <v>0.17991649838884441</v>
      </c>
      <c r="C521" s="76">
        <f t="shared" si="965"/>
        <v>0.20820113173310398</v>
      </c>
      <c r="D521" s="187">
        <f t="shared" si="965"/>
        <v>0.10412372490950972</v>
      </c>
      <c r="E521" s="187">
        <f t="shared" si="965"/>
        <v>0.14887378381980543</v>
      </c>
      <c r="F521" s="187">
        <f t="shared" si="965"/>
        <v>0.16674507302422625</v>
      </c>
      <c r="G521" s="54">
        <f t="shared" si="965"/>
        <v>0.15703819567482374</v>
      </c>
      <c r="H521" s="76">
        <f t="shared" si="965"/>
        <v>0.16008046234581091</v>
      </c>
      <c r="I521" s="187">
        <f t="shared" si="965"/>
        <v>0.15929890613616662</v>
      </c>
      <c r="J521" s="187">
        <f t="shared" si="965"/>
        <v>0.22969580839582496</v>
      </c>
      <c r="K521" s="187">
        <f t="shared" si="965"/>
        <v>0.13541260791993923</v>
      </c>
      <c r="L521" s="54">
        <f t="shared" si="965"/>
        <v>0.1709063109508081</v>
      </c>
      <c r="M521" s="76">
        <f t="shared" si="965"/>
        <v>0.15593128538434811</v>
      </c>
      <c r="N521" s="187">
        <f t="shared" si="965"/>
        <v>0.15970571818955567</v>
      </c>
      <c r="O521" s="187">
        <f t="shared" si="965"/>
        <v>0.16368405476707806</v>
      </c>
      <c r="P521" s="187">
        <f t="shared" si="965"/>
        <v>0.22337714257158553</v>
      </c>
      <c r="Q521" s="54">
        <f t="shared" si="965"/>
        <v>0.17586437808368025</v>
      </c>
      <c r="R521" s="76">
        <f t="shared" si="965"/>
        <v>0.17535692269757119</v>
      </c>
      <c r="S521" s="187">
        <f t="shared" si="965"/>
        <v>0.15940934746014457</v>
      </c>
      <c r="T521" s="187">
        <f t="shared" si="965"/>
        <v>0.16606982548561167</v>
      </c>
      <c r="U521" s="187">
        <f t="shared" si="965"/>
        <v>0.15352957053817073</v>
      </c>
      <c r="V521" s="54">
        <f t="shared" si="965"/>
        <v>0.16329041906735137</v>
      </c>
      <c r="W521" s="76">
        <f t="shared" si="965"/>
        <v>0.13529267777607126</v>
      </c>
      <c r="X521" s="187">
        <f t="shared" si="965"/>
        <v>0.16942397463374531</v>
      </c>
      <c r="Y521" s="187">
        <f t="shared" si="965"/>
        <v>0.21496573301549463</v>
      </c>
      <c r="Z521" s="187">
        <f t="shared" si="965"/>
        <v>0.17658972435133558</v>
      </c>
      <c r="AA521" s="54">
        <f t="shared" si="965"/>
        <v>0.17372740975822651</v>
      </c>
      <c r="AB521" s="76">
        <f t="shared" si="965"/>
        <v>0.22214843101444462</v>
      </c>
      <c r="AC521" s="187">
        <f t="shared" si="965"/>
        <v>0.20980586370839938</v>
      </c>
      <c r="AD521" s="187">
        <f t="shared" si="965"/>
        <v>0.16281711288341166</v>
      </c>
      <c r="AE521" s="187">
        <f t="shared" si="965"/>
        <v>0.19596188432625833</v>
      </c>
      <c r="AF521" s="54">
        <f t="shared" si="965"/>
        <v>0.19752742145380184</v>
      </c>
      <c r="AG521" s="76">
        <f t="shared" si="965"/>
        <v>0.18396226415094338</v>
      </c>
      <c r="AH521" s="187">
        <f t="shared" ref="AH521:AY521" si="966">AH506/AH455</f>
        <v>0.15887850467289719</v>
      </c>
      <c r="AI521" s="187">
        <f t="shared" si="966"/>
        <v>0.14814814814814814</v>
      </c>
      <c r="AJ521" s="187">
        <f t="shared" si="966"/>
        <v>0.21590909090909091</v>
      </c>
      <c r="AK521" s="54">
        <f t="shared" si="966"/>
        <v>0.17691415313225059</v>
      </c>
      <c r="AL521" s="76">
        <f t="shared" si="966"/>
        <v>0.14772727272727273</v>
      </c>
      <c r="AM521" s="187">
        <f t="shared" si="966"/>
        <v>0.18678815489749431</v>
      </c>
      <c r="AN521" s="187">
        <f t="shared" si="966"/>
        <v>0.16816143497757849</v>
      </c>
      <c r="AO521" s="187">
        <f t="shared" si="966"/>
        <v>9.5768374164810696E-2</v>
      </c>
      <c r="AP521" s="54">
        <f t="shared" si="966"/>
        <v>0.14937993235625704</v>
      </c>
      <c r="AQ521" s="76">
        <f t="shared" si="966"/>
        <v>0.13439635535307518</v>
      </c>
      <c r="AR521" s="187">
        <f t="shared" si="966"/>
        <v>0.13364055299539171</v>
      </c>
      <c r="AS521" s="187">
        <f t="shared" si="966"/>
        <v>0.11751152073732719</v>
      </c>
      <c r="AT521" s="187">
        <f t="shared" si="966"/>
        <v>9.3607305936073054E-2</v>
      </c>
      <c r="AU521" s="54">
        <f t="shared" si="966"/>
        <v>0.11977077363896849</v>
      </c>
      <c r="AV521" s="76">
        <f t="shared" si="966"/>
        <v>0.14150943396226415</v>
      </c>
      <c r="AW521" s="76">
        <f t="shared" si="966"/>
        <v>0.12740384615384615</v>
      </c>
      <c r="AX521" s="76">
        <f t="shared" si="966"/>
        <v>0.16995073891625614</v>
      </c>
      <c r="AY521" s="187">
        <f t="shared" si="966"/>
        <v>0.13118811881188119</v>
      </c>
      <c r="AZ521" s="54">
        <v>0.14242424242424243</v>
      </c>
      <c r="BA521" s="76">
        <v>0.16533333333333333</v>
      </c>
      <c r="BB521" s="76">
        <v>0.2</v>
      </c>
      <c r="BC521" s="76">
        <v>0.21525885558583105</v>
      </c>
      <c r="BD521" s="187">
        <v>0.2303370786516854</v>
      </c>
      <c r="BE521" s="54">
        <v>0.2023082145281738</v>
      </c>
      <c r="BF521" s="76">
        <v>0.18658892128279883</v>
      </c>
      <c r="BG521" s="76">
        <v>0.21958456973293769</v>
      </c>
      <c r="BH521" s="76">
        <v>0.20658682634730538</v>
      </c>
      <c r="BI521" s="187">
        <v>9.6676737160120846E-2</v>
      </c>
      <c r="BJ521" s="54">
        <v>0.17769516728624535</v>
      </c>
      <c r="BK521" s="76">
        <v>0.10946745562130178</v>
      </c>
    </row>
    <row r="522" spans="1:63" ht="12.75" hidden="1" customHeight="1">
      <c r="A522" s="67" t="s">
        <v>135</v>
      </c>
      <c r="B522" s="119" t="s">
        <v>40</v>
      </c>
      <c r="C522" s="78" t="s">
        <v>48</v>
      </c>
      <c r="D522" s="78" t="s">
        <v>48</v>
      </c>
      <c r="E522" s="78" t="s">
        <v>48</v>
      </c>
      <c r="F522" s="78" t="s">
        <v>48</v>
      </c>
      <c r="G522" s="119" t="s">
        <v>40</v>
      </c>
      <c r="H522" s="78" t="s">
        <v>48</v>
      </c>
      <c r="I522" s="78" t="s">
        <v>48</v>
      </c>
      <c r="J522" s="78" t="s">
        <v>48</v>
      </c>
      <c r="K522" s="78" t="s">
        <v>48</v>
      </c>
      <c r="L522" s="36">
        <v>51</v>
      </c>
      <c r="M522" s="78" t="s">
        <v>48</v>
      </c>
      <c r="N522" s="78" t="s">
        <v>48</v>
      </c>
      <c r="O522" s="78" t="s">
        <v>48</v>
      </c>
      <c r="P522" s="78" t="s">
        <v>48</v>
      </c>
      <c r="Q522" s="36">
        <v>53</v>
      </c>
      <c r="R522" s="68">
        <v>20</v>
      </c>
      <c r="S522" s="68">
        <v>18</v>
      </c>
      <c r="T522" s="68">
        <v>20</v>
      </c>
      <c r="U522" s="68">
        <f>V522-R522-S522-T522</f>
        <v>18</v>
      </c>
      <c r="V522" s="36">
        <v>76</v>
      </c>
      <c r="W522" s="68">
        <v>28</v>
      </c>
      <c r="X522" s="68">
        <v>26</v>
      </c>
      <c r="Y522" s="68">
        <v>16</v>
      </c>
      <c r="Z522" s="68">
        <f>AA522-W522-X522-Y522</f>
        <v>11</v>
      </c>
      <c r="AA522" s="36">
        <v>81</v>
      </c>
      <c r="AB522" s="68">
        <v>7</v>
      </c>
      <c r="AC522" s="68">
        <v>6</v>
      </c>
      <c r="AD522" s="68">
        <v>6</v>
      </c>
      <c r="AE522" s="68">
        <f>AF522-AB522-AC522-AD522</f>
        <v>7</v>
      </c>
      <c r="AF522" s="36">
        <v>26</v>
      </c>
      <c r="AG522" s="68">
        <v>0</v>
      </c>
      <c r="AH522" s="74">
        <v>0</v>
      </c>
      <c r="AI522" s="74">
        <v>0</v>
      </c>
      <c r="AJ522" s="74">
        <v>0</v>
      </c>
      <c r="AK522" s="61"/>
      <c r="AL522" s="74"/>
      <c r="AM522" s="74"/>
      <c r="AN522" s="74"/>
      <c r="AO522" s="74"/>
      <c r="AP522" s="61"/>
      <c r="AQ522" s="74"/>
      <c r="AR522" s="74"/>
      <c r="AS522" s="74"/>
      <c r="AT522" s="74"/>
      <c r="AU522" s="61"/>
      <c r="AV522" s="74"/>
      <c r="AW522" s="74"/>
      <c r="AX522" s="74"/>
      <c r="AY522" s="74"/>
      <c r="AZ522" s="61"/>
      <c r="BA522" s="74"/>
      <c r="BB522" s="74"/>
      <c r="BC522" s="74"/>
      <c r="BD522" s="74"/>
      <c r="BE522" s="61"/>
      <c r="BF522" s="74"/>
      <c r="BG522" s="74"/>
      <c r="BH522" s="74"/>
      <c r="BI522" s="74"/>
      <c r="BJ522" s="61"/>
      <c r="BK522" s="74"/>
    </row>
    <row r="523" spans="1:63" ht="12.75" hidden="1" customHeight="1">
      <c r="A523" s="69" t="s">
        <v>7</v>
      </c>
      <c r="B523" s="23"/>
      <c r="C523" s="70"/>
      <c r="D523" s="70"/>
      <c r="E523" s="70"/>
      <c r="F523" s="70"/>
      <c r="G523" s="23"/>
      <c r="H523" s="70"/>
      <c r="I523" s="70"/>
      <c r="J523" s="70"/>
      <c r="K523" s="70"/>
      <c r="L523" s="23"/>
      <c r="M523" s="70"/>
      <c r="N523" s="70"/>
      <c r="O523" s="70"/>
      <c r="P523" s="70"/>
      <c r="Q523" s="23"/>
      <c r="R523" s="70"/>
      <c r="S523" s="70">
        <f>S522/R522-1</f>
        <v>-9.9999999999999978E-2</v>
      </c>
      <c r="T523" s="70">
        <f>T522/S522-1</f>
        <v>0.11111111111111116</v>
      </c>
      <c r="U523" s="70">
        <f>U522/T522-1</f>
        <v>-9.9999999999999978E-2</v>
      </c>
      <c r="V523" s="23"/>
      <c r="W523" s="70">
        <f>W522/U522-1</f>
        <v>0.55555555555555558</v>
      </c>
      <c r="X523" s="70">
        <f>X522/W522-1</f>
        <v>-7.1428571428571397E-2</v>
      </c>
      <c r="Y523" s="70">
        <f>Y522/X522-1</f>
        <v>-0.38461538461538458</v>
      </c>
      <c r="Z523" s="70">
        <f>Z522/Y522-1</f>
        <v>-0.3125</v>
      </c>
      <c r="AA523" s="23"/>
      <c r="AB523" s="70">
        <f>AB522/Z522-1</f>
        <v>-0.36363636363636365</v>
      </c>
      <c r="AC523" s="70">
        <f>AC522/AB522-1</f>
        <v>-0.1428571428571429</v>
      </c>
      <c r="AD523" s="70">
        <f>AD522/AC522-1</f>
        <v>0</v>
      </c>
      <c r="AE523" s="70">
        <f>AE522/AD522-1</f>
        <v>0.16666666666666674</v>
      </c>
      <c r="AF523" s="23"/>
      <c r="AG523" s="83" t="s">
        <v>39</v>
      </c>
      <c r="AH523" s="83" t="s">
        <v>39</v>
      </c>
      <c r="AI523" s="83" t="s">
        <v>39</v>
      </c>
      <c r="AJ523" s="83" t="s">
        <v>39</v>
      </c>
      <c r="AK523" s="23"/>
      <c r="AL523" s="83"/>
      <c r="AM523" s="83"/>
      <c r="AN523" s="83"/>
      <c r="AO523" s="83"/>
      <c r="AP523" s="23"/>
      <c r="AQ523" s="83"/>
      <c r="AR523" s="83"/>
      <c r="AS523" s="83"/>
      <c r="AT523" s="83"/>
      <c r="AU523" s="23"/>
      <c r="AV523" s="83"/>
      <c r="AW523" s="83"/>
      <c r="AX523" s="83"/>
      <c r="AY523" s="83"/>
      <c r="AZ523" s="23"/>
      <c r="BA523" s="83"/>
      <c r="BB523" s="83"/>
      <c r="BC523" s="83"/>
      <c r="BD523" s="83"/>
      <c r="BE523" s="23"/>
      <c r="BF523" s="83"/>
      <c r="BG523" s="83"/>
      <c r="BH523" s="83"/>
      <c r="BI523" s="83"/>
      <c r="BJ523" s="23"/>
      <c r="BK523" s="83"/>
    </row>
    <row r="524" spans="1:63" ht="11.65" hidden="1" customHeight="1">
      <c r="A524" s="69" t="s">
        <v>8</v>
      </c>
      <c r="B524" s="23"/>
      <c r="C524" s="71"/>
      <c r="D524" s="71"/>
      <c r="E524" s="71"/>
      <c r="F524" s="71"/>
      <c r="G524" s="23"/>
      <c r="H524" s="71"/>
      <c r="I524" s="71"/>
      <c r="J524" s="71"/>
      <c r="K524" s="71"/>
      <c r="L524" s="23"/>
      <c r="M524" s="71"/>
      <c r="N524" s="71"/>
      <c r="O524" s="71"/>
      <c r="P524" s="71"/>
      <c r="Q524" s="23">
        <f>Q522/L522-1</f>
        <v>3.9215686274509887E-2</v>
      </c>
      <c r="R524" s="71"/>
      <c r="S524" s="71"/>
      <c r="T524" s="71"/>
      <c r="U524" s="71"/>
      <c r="V524" s="23">
        <f t="shared" ref="V524" si="967">V522/Q522-1</f>
        <v>0.4339622641509433</v>
      </c>
      <c r="W524" s="71">
        <f t="shared" ref="W524" si="968">W522/R522-1</f>
        <v>0.39999999999999991</v>
      </c>
      <c r="X524" s="71">
        <f t="shared" ref="X524" si="969">X522/S522-1</f>
        <v>0.44444444444444442</v>
      </c>
      <c r="Y524" s="71">
        <f t="shared" ref="Y524" si="970">Y522/T522-1</f>
        <v>-0.19999999999999996</v>
      </c>
      <c r="Z524" s="71">
        <f t="shared" ref="Z524" si="971">Z522/U522-1</f>
        <v>-0.38888888888888884</v>
      </c>
      <c r="AA524" s="23">
        <f t="shared" ref="AA524" si="972">AA522/V522-1</f>
        <v>6.578947368421062E-2</v>
      </c>
      <c r="AB524" s="71">
        <f t="shared" ref="AB524" si="973">AB522/W522-1</f>
        <v>-0.75</v>
      </c>
      <c r="AC524" s="71">
        <f t="shared" ref="AC524" si="974">AC522/X522-1</f>
        <v>-0.76923076923076916</v>
      </c>
      <c r="AD524" s="71">
        <f t="shared" ref="AD524" si="975">AD522/Y522-1</f>
        <v>-0.625</v>
      </c>
      <c r="AE524" s="71">
        <f>AE522/Z522-1</f>
        <v>-0.36363636363636365</v>
      </c>
      <c r="AF524" s="23">
        <f>AF522/AA522-1</f>
        <v>-0.67901234567901236</v>
      </c>
      <c r="AG524" s="83" t="s">
        <v>39</v>
      </c>
      <c r="AH524" s="83" t="s">
        <v>39</v>
      </c>
      <c r="AI524" s="83" t="s">
        <v>39</v>
      </c>
      <c r="AJ524" s="83" t="s">
        <v>39</v>
      </c>
      <c r="AK524" s="90"/>
      <c r="AL524" s="83"/>
      <c r="AM524" s="83"/>
      <c r="AN524" s="83"/>
      <c r="AO524" s="83"/>
      <c r="AP524" s="90"/>
      <c r="AQ524" s="83"/>
      <c r="AR524" s="83"/>
      <c r="AS524" s="83"/>
      <c r="AT524" s="83"/>
      <c r="AU524" s="90"/>
      <c r="AV524" s="83"/>
      <c r="AW524" s="83"/>
      <c r="AX524" s="83"/>
      <c r="AY524" s="83"/>
      <c r="AZ524" s="90"/>
      <c r="BA524" s="83"/>
      <c r="BB524" s="83"/>
      <c r="BC524" s="83"/>
      <c r="BD524" s="83"/>
      <c r="BE524" s="90"/>
      <c r="BF524" s="83"/>
      <c r="BG524" s="83"/>
      <c r="BH524" s="83"/>
      <c r="BI524" s="83"/>
      <c r="BJ524" s="90"/>
      <c r="BK524" s="83"/>
    </row>
    <row r="525" spans="1:63" ht="6" customHeight="1">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3"/>
      <c r="AK525" s="53"/>
      <c r="AL525" s="53"/>
      <c r="AM525" s="53"/>
      <c r="AN525" s="53"/>
      <c r="AO525" s="53"/>
      <c r="AP525" s="53"/>
      <c r="AQ525" s="53"/>
      <c r="AR525" s="53"/>
      <c r="AS525" s="53"/>
      <c r="AT525" s="53"/>
      <c r="AU525" s="53"/>
      <c r="AV525" s="53"/>
      <c r="AW525" s="53"/>
      <c r="AX525" s="53"/>
      <c r="AY525" s="53"/>
      <c r="AZ525" s="53"/>
      <c r="BA525" s="53"/>
      <c r="BB525" s="53"/>
      <c r="BC525" s="53"/>
      <c r="BD525" s="53"/>
      <c r="BE525" s="53"/>
      <c r="BF525" s="53"/>
      <c r="BG525" s="53"/>
      <c r="BH525" s="53"/>
      <c r="BI525" s="53"/>
      <c r="BJ525" s="53"/>
      <c r="BK525" s="53"/>
    </row>
    <row r="526" spans="1:63" s="35" customFormat="1" ht="20.25" customHeight="1">
      <c r="A526" s="34" t="s">
        <v>277</v>
      </c>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c r="BA526" s="34"/>
      <c r="BB526" s="34"/>
      <c r="BC526" s="34"/>
      <c r="BD526" s="34"/>
      <c r="BE526" s="34"/>
      <c r="BF526" s="34"/>
      <c r="BG526" s="34"/>
      <c r="BH526" s="34"/>
      <c r="BI526" s="34"/>
      <c r="BJ526" s="34"/>
      <c r="BK526" s="34"/>
    </row>
    <row r="527" spans="1:63">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c r="BD527" s="21"/>
      <c r="BE527" s="21"/>
      <c r="BF527" s="21"/>
      <c r="BG527" s="21"/>
      <c r="BH527" s="21"/>
      <c r="BI527" s="21"/>
      <c r="BJ527" s="21"/>
      <c r="BK527" s="21"/>
    </row>
    <row r="528" spans="1:63">
      <c r="A528" s="39" t="s">
        <v>71</v>
      </c>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c r="AJ528" s="51"/>
      <c r="AK528" s="51"/>
      <c r="AL528" s="51"/>
      <c r="AM528" s="51"/>
      <c r="AN528" s="51"/>
      <c r="AO528" s="51"/>
      <c r="AP528" s="51"/>
      <c r="AQ528" s="51"/>
      <c r="AR528" s="51"/>
      <c r="AS528" s="51"/>
      <c r="AT528" s="51"/>
      <c r="AU528" s="51"/>
      <c r="AV528" s="51"/>
      <c r="AW528" s="51"/>
      <c r="AX528" s="51"/>
      <c r="AY528" s="51"/>
      <c r="AZ528" s="51"/>
      <c r="BA528" s="51"/>
      <c r="BB528" s="51"/>
      <c r="BC528" s="51"/>
      <c r="BD528" s="51"/>
      <c r="BE528" s="51"/>
      <c r="BF528" s="51"/>
      <c r="BG528" s="51"/>
      <c r="BH528" s="51"/>
      <c r="BI528" s="51"/>
      <c r="BJ528" s="51"/>
      <c r="BK528" s="51"/>
    </row>
    <row r="529" spans="1:63">
      <c r="A529" s="67" t="s">
        <v>16</v>
      </c>
      <c r="AK529" s="90" t="s">
        <v>40</v>
      </c>
      <c r="AP529" s="90" t="s">
        <v>40</v>
      </c>
      <c r="AU529" s="90" t="s">
        <v>40</v>
      </c>
      <c r="AV529" s="81" t="s">
        <v>40</v>
      </c>
      <c r="AW529" s="81" t="s">
        <v>40</v>
      </c>
      <c r="AX529" s="81" t="s">
        <v>40</v>
      </c>
      <c r="AY529" s="81" t="s">
        <v>40</v>
      </c>
      <c r="AZ529" s="174">
        <v>1650</v>
      </c>
      <c r="BA529" s="68">
        <v>375</v>
      </c>
      <c r="BB529" s="68">
        <v>375</v>
      </c>
      <c r="BC529" s="68">
        <v>367</v>
      </c>
      <c r="BD529" s="68">
        <v>356</v>
      </c>
      <c r="BE529" s="174">
        <v>1473</v>
      </c>
      <c r="BF529" s="68">
        <v>343</v>
      </c>
      <c r="BG529" s="68">
        <v>337</v>
      </c>
      <c r="BH529" s="68">
        <v>334</v>
      </c>
      <c r="BI529" s="68">
        <v>331</v>
      </c>
      <c r="BJ529" s="174">
        <v>1345</v>
      </c>
      <c r="BK529" s="68">
        <v>338</v>
      </c>
    </row>
    <row r="530" spans="1:63">
      <c r="A530" s="69" t="s">
        <v>7</v>
      </c>
      <c r="AK530" s="23"/>
      <c r="AP530" s="23"/>
      <c r="AU530" s="23"/>
      <c r="AZ530" s="23"/>
      <c r="BE530" s="23"/>
      <c r="BF530" s="70"/>
      <c r="BG530" s="70">
        <v>-1.7492711370262426E-2</v>
      </c>
      <c r="BH530" s="70">
        <v>-8.9020771513352859E-3</v>
      </c>
      <c r="BI530" s="70">
        <v>-8.9820359281437279E-3</v>
      </c>
      <c r="BJ530" s="23"/>
      <c r="BK530" s="70">
        <v>2.114803625377637E-2</v>
      </c>
    </row>
    <row r="531" spans="1:63">
      <c r="A531" s="69" t="s">
        <v>8</v>
      </c>
      <c r="AK531" s="23"/>
      <c r="AL531" s="23"/>
      <c r="AM531" s="23"/>
      <c r="AN531" s="23"/>
      <c r="AO531" s="23"/>
      <c r="AP531" s="23"/>
      <c r="AQ531" s="23"/>
      <c r="AR531" s="23"/>
      <c r="AS531" s="23"/>
      <c r="AT531" s="23"/>
      <c r="AU531" s="23"/>
      <c r="AZ531" s="23"/>
      <c r="BE531" s="23">
        <v>-0.1072727272727273</v>
      </c>
      <c r="BF531" s="71">
        <v>-8.5333333333333372E-2</v>
      </c>
      <c r="BG531" s="71">
        <v>-0.10133333333333339</v>
      </c>
      <c r="BH531" s="71">
        <v>-8.9918256130790186E-2</v>
      </c>
      <c r="BI531" s="71">
        <v>-7.02247191011236E-2</v>
      </c>
      <c r="BJ531" s="23">
        <v>-8.6897488119484056E-2</v>
      </c>
      <c r="BK531" s="71">
        <v>-1.4577259475218707E-2</v>
      </c>
    </row>
    <row r="532" spans="1:63">
      <c r="A532" s="67" t="s">
        <v>279</v>
      </c>
      <c r="AK532" s="90" t="s">
        <v>40</v>
      </c>
      <c r="AP532" s="90" t="s">
        <v>40</v>
      </c>
      <c r="AU532" s="90" t="s">
        <v>40</v>
      </c>
      <c r="AV532" s="81" t="s">
        <v>40</v>
      </c>
      <c r="AW532" s="81" t="s">
        <v>40</v>
      </c>
      <c r="AX532" s="81" t="s">
        <v>40</v>
      </c>
      <c r="AY532" s="81" t="s">
        <v>40</v>
      </c>
      <c r="AZ532" s="174">
        <v>285</v>
      </c>
      <c r="BA532" s="68">
        <v>79</v>
      </c>
      <c r="BB532" s="68">
        <v>79</v>
      </c>
      <c r="BC532" s="68">
        <v>81</v>
      </c>
      <c r="BD532" s="68">
        <v>84</v>
      </c>
      <c r="BE532" s="174">
        <v>323</v>
      </c>
      <c r="BF532" s="68">
        <v>78</v>
      </c>
      <c r="BG532" s="68">
        <v>81</v>
      </c>
      <c r="BH532" s="68">
        <v>93</v>
      </c>
      <c r="BI532" s="68">
        <v>82</v>
      </c>
      <c r="BJ532" s="174">
        <v>334</v>
      </c>
      <c r="BK532" s="68">
        <v>76</v>
      </c>
    </row>
    <row r="533" spans="1:63">
      <c r="A533" s="80" t="s">
        <v>7</v>
      </c>
      <c r="AK533" s="23"/>
      <c r="AP533" s="23"/>
      <c r="AU533" s="23"/>
      <c r="AZ533" s="174"/>
      <c r="BE533" s="23"/>
      <c r="BF533" s="70"/>
      <c r="BG533" s="70">
        <v>3.8461538461538547E-2</v>
      </c>
      <c r="BH533" s="70">
        <v>0.14814814814814814</v>
      </c>
      <c r="BI533" s="70">
        <v>-0.11827956989247312</v>
      </c>
      <c r="BJ533" s="23"/>
      <c r="BK533" s="70">
        <v>-7.3170731707317027E-2</v>
      </c>
    </row>
    <row r="534" spans="1:63">
      <c r="A534" s="80" t="s">
        <v>8</v>
      </c>
      <c r="AK534" s="23"/>
      <c r="AP534" s="23"/>
      <c r="AU534" s="23"/>
      <c r="AZ534" s="174"/>
      <c r="BE534" s="23">
        <v>0.1333333333333333</v>
      </c>
      <c r="BF534" s="71">
        <v>-1.2658227848101222E-2</v>
      </c>
      <c r="BG534" s="71">
        <v>2.5316455696202445E-2</v>
      </c>
      <c r="BH534" s="71">
        <v>0.14814814814814814</v>
      </c>
      <c r="BI534" s="71">
        <v>-2.3809523809523836E-2</v>
      </c>
      <c r="BJ534" s="23">
        <v>3.4055727554179516E-2</v>
      </c>
      <c r="BK534" s="71">
        <v>-2.5641025641025661E-2</v>
      </c>
    </row>
    <row r="535" spans="1:63">
      <c r="A535" s="67" t="s">
        <v>91</v>
      </c>
      <c r="AK535" s="90" t="s">
        <v>40</v>
      </c>
      <c r="AL535" s="81" t="s">
        <v>40</v>
      </c>
      <c r="AM535" s="81" t="s">
        <v>40</v>
      </c>
      <c r="AN535" s="81" t="s">
        <v>40</v>
      </c>
      <c r="AO535" s="81" t="s">
        <v>40</v>
      </c>
      <c r="AP535" s="90" t="s">
        <v>40</v>
      </c>
      <c r="AQ535" s="81" t="s">
        <v>40</v>
      </c>
      <c r="AR535" s="81" t="s">
        <v>40</v>
      </c>
      <c r="AS535" s="81" t="s">
        <v>40</v>
      </c>
      <c r="AT535" s="81" t="s">
        <v>40</v>
      </c>
      <c r="AU535" s="90" t="s">
        <v>40</v>
      </c>
      <c r="AV535" s="81" t="s">
        <v>40</v>
      </c>
      <c r="AW535" s="81" t="s">
        <v>40</v>
      </c>
      <c r="AX535" s="81" t="s">
        <v>40</v>
      </c>
      <c r="AY535" s="81" t="s">
        <v>40</v>
      </c>
      <c r="AZ535" s="174">
        <v>245</v>
      </c>
      <c r="BA535" s="68">
        <v>58</v>
      </c>
      <c r="BB535" s="68">
        <v>60</v>
      </c>
      <c r="BC535" s="68">
        <v>56</v>
      </c>
      <c r="BD535" s="68">
        <v>59</v>
      </c>
      <c r="BE535" s="174">
        <v>233</v>
      </c>
      <c r="BF535" s="68">
        <v>55</v>
      </c>
      <c r="BG535" s="68">
        <v>51</v>
      </c>
      <c r="BH535" s="68">
        <v>50</v>
      </c>
      <c r="BI535" s="68">
        <v>53</v>
      </c>
      <c r="BJ535" s="174">
        <v>209</v>
      </c>
      <c r="BK535" s="68">
        <v>51</v>
      </c>
    </row>
    <row r="536" spans="1:63">
      <c r="A536" s="69" t="s">
        <v>7</v>
      </c>
      <c r="AK536" s="23"/>
      <c r="AP536" s="23"/>
      <c r="AU536" s="23"/>
      <c r="AZ536" s="174"/>
      <c r="BE536" s="23"/>
      <c r="BF536" s="70"/>
      <c r="BG536" s="70">
        <v>-7.2727272727272751E-2</v>
      </c>
      <c r="BH536" s="70">
        <v>-1.9607843137254943E-2</v>
      </c>
      <c r="BI536" s="70">
        <v>6.0000000000000053E-2</v>
      </c>
      <c r="BJ536" s="23"/>
      <c r="BK536" s="70">
        <v>-3.7735849056603765E-2</v>
      </c>
    </row>
    <row r="537" spans="1:63">
      <c r="A537" s="69" t="s">
        <v>8</v>
      </c>
      <c r="AK537" s="23"/>
      <c r="AP537" s="23"/>
      <c r="AU537" s="23"/>
      <c r="AZ537" s="174"/>
      <c r="BE537" s="23">
        <v>-4.8979591836734726E-2</v>
      </c>
      <c r="BF537" s="71">
        <v>-5.1724137931034475E-2</v>
      </c>
      <c r="BG537" s="71">
        <v>-0.15000000000000002</v>
      </c>
      <c r="BH537" s="71">
        <v>-0.1071428571428571</v>
      </c>
      <c r="BI537" s="71">
        <v>-0.10169491525423724</v>
      </c>
      <c r="BJ537" s="23">
        <v>-0.10300429184549353</v>
      </c>
      <c r="BK537" s="71">
        <v>-7.2727272727272751E-2</v>
      </c>
    </row>
    <row r="538" spans="1:63">
      <c r="A538" s="67" t="s">
        <v>81</v>
      </c>
      <c r="AK538" s="90" t="s">
        <v>40</v>
      </c>
      <c r="AP538" s="90" t="s">
        <v>40</v>
      </c>
      <c r="AU538" s="90" t="s">
        <v>40</v>
      </c>
      <c r="AV538" s="81" t="s">
        <v>40</v>
      </c>
      <c r="AW538" s="81" t="s">
        <v>40</v>
      </c>
      <c r="AX538" s="81" t="s">
        <v>40</v>
      </c>
      <c r="AY538" s="81" t="s">
        <v>40</v>
      </c>
      <c r="AZ538" s="174">
        <v>957</v>
      </c>
      <c r="BA538" s="68">
        <v>237</v>
      </c>
      <c r="BB538" s="68">
        <v>246</v>
      </c>
      <c r="BC538" s="68">
        <v>229</v>
      </c>
      <c r="BD538" s="68">
        <v>244</v>
      </c>
      <c r="BE538" s="174">
        <v>956</v>
      </c>
      <c r="BF538" s="68">
        <v>226</v>
      </c>
      <c r="BG538" s="68">
        <v>222</v>
      </c>
      <c r="BH538" s="68">
        <v>219</v>
      </c>
      <c r="BI538" s="68">
        <v>228</v>
      </c>
      <c r="BJ538" s="174">
        <v>895</v>
      </c>
      <c r="BK538" s="68">
        <v>222</v>
      </c>
    </row>
    <row r="539" spans="1:63">
      <c r="A539" s="69" t="s">
        <v>7</v>
      </c>
      <c r="AK539" s="23"/>
      <c r="AP539" s="23"/>
      <c r="AU539" s="23"/>
      <c r="AZ539" s="174"/>
      <c r="BE539" s="23"/>
      <c r="BF539" s="70"/>
      <c r="BG539" s="70">
        <v>-1.7699115044247815E-2</v>
      </c>
      <c r="BH539" s="70">
        <v>-1.3513513513513487E-2</v>
      </c>
      <c r="BI539" s="70">
        <v>4.1095890410958846E-2</v>
      </c>
      <c r="BJ539" s="23"/>
      <c r="BK539" s="70">
        <v>-2.6315789473684181E-2</v>
      </c>
    </row>
    <row r="540" spans="1:63">
      <c r="A540" s="69" t="s">
        <v>8</v>
      </c>
      <c r="AK540" s="23"/>
      <c r="AP540" s="23"/>
      <c r="AU540" s="23"/>
      <c r="AZ540" s="174"/>
      <c r="BE540" s="23">
        <v>-1.0449320794148065E-3</v>
      </c>
      <c r="BF540" s="71">
        <v>-4.641350210970463E-2</v>
      </c>
      <c r="BG540" s="71">
        <v>-9.7560975609756073E-2</v>
      </c>
      <c r="BH540" s="71">
        <v>-4.3668122270742349E-2</v>
      </c>
      <c r="BI540" s="71">
        <v>-6.557377049180324E-2</v>
      </c>
      <c r="BJ540" s="23">
        <v>-6.3807531380753124E-2</v>
      </c>
      <c r="BK540" s="71">
        <v>-1.7699115044247815E-2</v>
      </c>
    </row>
    <row r="541" spans="1:63">
      <c r="A541" s="67" t="s">
        <v>255</v>
      </c>
      <c r="AK541" s="90" t="s">
        <v>40</v>
      </c>
      <c r="AP541" s="90" t="s">
        <v>40</v>
      </c>
      <c r="AU541" s="90" t="s">
        <v>40</v>
      </c>
      <c r="AV541" s="81" t="s">
        <v>40</v>
      </c>
      <c r="AW541" s="81" t="s">
        <v>40</v>
      </c>
      <c r="AX541" s="81" t="s">
        <v>40</v>
      </c>
      <c r="AY541" s="81" t="s">
        <v>40</v>
      </c>
      <c r="AZ541" s="149" t="s">
        <v>138</v>
      </c>
      <c r="BA541" s="68">
        <v>2</v>
      </c>
      <c r="BB541" s="68">
        <v>7</v>
      </c>
      <c r="BC541" s="182" t="s">
        <v>138</v>
      </c>
      <c r="BD541" s="68">
        <v>8</v>
      </c>
      <c r="BE541" s="174">
        <v>17</v>
      </c>
      <c r="BF541" s="68">
        <v>43</v>
      </c>
      <c r="BG541" s="182">
        <v>-9</v>
      </c>
      <c r="BH541" s="182">
        <v>1</v>
      </c>
      <c r="BI541" s="68">
        <v>8</v>
      </c>
      <c r="BJ541" s="174">
        <v>42</v>
      </c>
      <c r="BK541" s="68">
        <v>0</v>
      </c>
    </row>
    <row r="542" spans="1:63">
      <c r="A542" s="69" t="s">
        <v>7</v>
      </c>
      <c r="AK542" s="23"/>
      <c r="AP542" s="23"/>
      <c r="AU542" s="23"/>
      <c r="AZ542" s="174"/>
      <c r="BE542" s="174"/>
      <c r="BF542" s="70"/>
      <c r="BH542" s="83" t="s">
        <v>39</v>
      </c>
      <c r="BI542" s="70">
        <v>7</v>
      </c>
      <c r="BJ542" s="174"/>
      <c r="BK542" s="83" t="s">
        <v>39</v>
      </c>
    </row>
    <row r="543" spans="1:63">
      <c r="A543" s="69" t="s">
        <v>8</v>
      </c>
      <c r="AK543" s="23"/>
      <c r="AP543" s="23"/>
      <c r="AU543" s="23"/>
      <c r="AZ543" s="174"/>
      <c r="BE543" s="174"/>
      <c r="BF543" s="71"/>
      <c r="BH543" s="83" t="s">
        <v>39</v>
      </c>
      <c r="BI543" s="71">
        <v>0</v>
      </c>
      <c r="BJ543" s="23">
        <v>1.4705882352941178</v>
      </c>
      <c r="BK543" s="83" t="s">
        <v>39</v>
      </c>
    </row>
    <row r="544" spans="1:63">
      <c r="A544" s="67" t="s">
        <v>251</v>
      </c>
      <c r="AK544" s="90" t="s">
        <v>40</v>
      </c>
      <c r="AP544" s="90" t="s">
        <v>40</v>
      </c>
      <c r="AU544" s="90" t="s">
        <v>40</v>
      </c>
      <c r="AV544" s="81" t="s">
        <v>40</v>
      </c>
      <c r="AW544" s="81" t="s">
        <v>40</v>
      </c>
      <c r="AX544" s="81" t="s">
        <v>40</v>
      </c>
      <c r="AY544" s="81" t="s">
        <v>40</v>
      </c>
      <c r="AZ544" s="174">
        <v>163</v>
      </c>
      <c r="BA544" s="182">
        <v>-1</v>
      </c>
      <c r="BB544" s="182">
        <v>-17</v>
      </c>
      <c r="BC544" s="68">
        <v>1</v>
      </c>
      <c r="BD544" s="182">
        <v>-39</v>
      </c>
      <c r="BE544" s="174">
        <v>-56</v>
      </c>
      <c r="BF544" s="182">
        <v>-59</v>
      </c>
      <c r="BG544" s="182">
        <v>-8</v>
      </c>
      <c r="BH544" s="182">
        <v>-29</v>
      </c>
      <c r="BI544" s="182">
        <v>-39</v>
      </c>
      <c r="BJ544" s="174">
        <v>-135</v>
      </c>
      <c r="BK544" s="182">
        <v>-11</v>
      </c>
    </row>
    <row r="545" spans="1:63">
      <c r="A545" s="69" t="s">
        <v>7</v>
      </c>
      <c r="AK545" s="23"/>
      <c r="AP545" s="23"/>
      <c r="AU545" s="23"/>
      <c r="AZ545" s="174"/>
      <c r="BD545" s="182"/>
      <c r="BE545" s="174"/>
      <c r="BG545" s="70">
        <v>-0.86440677966101698</v>
      </c>
      <c r="BH545" s="70">
        <v>2.625</v>
      </c>
      <c r="BI545" s="70">
        <v>0.34482758620689657</v>
      </c>
      <c r="BJ545" s="174"/>
      <c r="BK545" s="70">
        <v>-0.71794871794871795</v>
      </c>
    </row>
    <row r="546" spans="1:63">
      <c r="A546" s="69" t="s">
        <v>8</v>
      </c>
      <c r="AK546" s="23"/>
      <c r="AP546" s="23"/>
      <c r="AU546" s="23"/>
      <c r="AZ546" s="174"/>
      <c r="BD546" s="182"/>
      <c r="BE546" s="174"/>
      <c r="BG546" s="71">
        <v>-0.52941176470588236</v>
      </c>
      <c r="BH546" s="83" t="s">
        <v>39</v>
      </c>
      <c r="BI546" s="71">
        <v>0</v>
      </c>
      <c r="BJ546" s="23">
        <v>1.4107142857142856</v>
      </c>
      <c r="BK546" s="71">
        <v>-0.81355932203389836</v>
      </c>
    </row>
    <row r="547" spans="1:63">
      <c r="A547" s="67" t="s">
        <v>88</v>
      </c>
      <c r="AK547" s="90" t="s">
        <v>40</v>
      </c>
      <c r="AP547" s="90" t="s">
        <v>40</v>
      </c>
      <c r="AU547" s="90" t="s">
        <v>40</v>
      </c>
      <c r="AV547" s="81" t="s">
        <v>40</v>
      </c>
      <c r="AW547" s="81" t="s">
        <v>40</v>
      </c>
      <c r="AX547" s="81" t="s">
        <v>40</v>
      </c>
      <c r="AY547" s="81" t="s">
        <v>40</v>
      </c>
      <c r="AZ547" s="174">
        <v>71</v>
      </c>
      <c r="BA547" s="182">
        <v>-3</v>
      </c>
      <c r="BB547" s="182">
        <v>-7</v>
      </c>
      <c r="BC547" s="182">
        <v>3</v>
      </c>
      <c r="BD547" s="182">
        <v>-4</v>
      </c>
      <c r="BE547" s="174">
        <v>-11</v>
      </c>
      <c r="BF547" s="182">
        <v>5</v>
      </c>
      <c r="BG547" s="182">
        <v>2</v>
      </c>
      <c r="BH547" s="182">
        <v>4</v>
      </c>
      <c r="BI547" s="182">
        <v>1</v>
      </c>
      <c r="BJ547" s="174">
        <v>12</v>
      </c>
      <c r="BK547" s="182">
        <v>-5</v>
      </c>
    </row>
    <row r="548" spans="1:63">
      <c r="A548" s="69" t="s">
        <v>7</v>
      </c>
      <c r="AK548" s="23"/>
      <c r="AP548" s="23"/>
      <c r="AU548" s="23"/>
      <c r="AZ548" s="174"/>
      <c r="BD548" s="182"/>
      <c r="BE548" s="174"/>
      <c r="BH548" s="70">
        <v>1</v>
      </c>
      <c r="BI548" s="70">
        <v>-0.75</v>
      </c>
      <c r="BJ548" s="174"/>
      <c r="BK548" s="83" t="s">
        <v>39</v>
      </c>
    </row>
    <row r="549" spans="1:63">
      <c r="A549" s="69" t="s">
        <v>8</v>
      </c>
      <c r="AK549" s="23"/>
      <c r="AP549" s="23"/>
      <c r="AU549" s="23"/>
      <c r="AZ549" s="174"/>
      <c r="BD549" s="182"/>
      <c r="BE549" s="174"/>
      <c r="BH549" s="71">
        <v>0.33333333333333326</v>
      </c>
      <c r="BI549" s="83" t="s">
        <v>39</v>
      </c>
      <c r="BJ549" s="90" t="s">
        <v>39</v>
      </c>
      <c r="BK549" s="83" t="s">
        <v>39</v>
      </c>
    </row>
    <row r="550" spans="1:63">
      <c r="A550" s="67" t="s">
        <v>160</v>
      </c>
      <c r="AK550" s="90" t="s">
        <v>40</v>
      </c>
      <c r="AP550" s="90" t="s">
        <v>40</v>
      </c>
      <c r="AU550" s="90" t="s">
        <v>40</v>
      </c>
      <c r="AV550" s="81" t="s">
        <v>40</v>
      </c>
      <c r="AW550" s="81" t="s">
        <v>40</v>
      </c>
      <c r="AX550" s="81" t="s">
        <v>40</v>
      </c>
      <c r="AY550" s="81" t="s">
        <v>40</v>
      </c>
      <c r="AZ550" s="174">
        <v>-244</v>
      </c>
      <c r="BA550" s="182">
        <v>1</v>
      </c>
      <c r="BB550" s="182">
        <v>-10</v>
      </c>
      <c r="BC550" s="182">
        <v>-2</v>
      </c>
      <c r="BD550" s="182">
        <v>-37</v>
      </c>
      <c r="BE550" s="174">
        <v>-48</v>
      </c>
      <c r="BF550" s="182">
        <v>-64</v>
      </c>
      <c r="BG550" s="182">
        <v>-11</v>
      </c>
      <c r="BH550" s="182">
        <v>-34</v>
      </c>
      <c r="BI550" s="182">
        <v>-40</v>
      </c>
      <c r="BJ550" s="174">
        <v>-149</v>
      </c>
      <c r="BK550" s="182">
        <v>-6</v>
      </c>
    </row>
    <row r="551" spans="1:63">
      <c r="A551" s="69" t="s">
        <v>7</v>
      </c>
      <c r="AK551" s="23"/>
      <c r="AP551" s="23"/>
      <c r="AU551" s="23"/>
      <c r="AZ551" s="174"/>
      <c r="BE551" s="23"/>
      <c r="BG551" s="70">
        <v>-0.828125</v>
      </c>
      <c r="BH551" s="70">
        <v>2.0909090909090908</v>
      </c>
      <c r="BI551" s="70">
        <v>0.17647058823529416</v>
      </c>
      <c r="BJ551" s="23"/>
      <c r="BK551" s="70">
        <v>-0.85</v>
      </c>
    </row>
    <row r="552" spans="1:63">
      <c r="A552" s="69" t="s">
        <v>8</v>
      </c>
      <c r="AK552" s="23"/>
      <c r="AP552" s="23"/>
      <c r="AU552" s="23"/>
      <c r="AZ552" s="174"/>
      <c r="BE552" s="23">
        <v>-0.80327868852459017</v>
      </c>
      <c r="BG552" s="71">
        <v>0.10000000000000009</v>
      </c>
      <c r="BH552" s="71">
        <v>16</v>
      </c>
      <c r="BI552" s="71">
        <v>8.1081081081081141E-2</v>
      </c>
      <c r="BJ552" s="23">
        <v>2.1041666666666665</v>
      </c>
      <c r="BK552" s="71">
        <v>-0.90625</v>
      </c>
    </row>
    <row r="553" spans="1:63">
      <c r="A553" s="67" t="s">
        <v>9</v>
      </c>
      <c r="AK553" s="90" t="s">
        <v>40</v>
      </c>
      <c r="AP553" s="90" t="s">
        <v>40</v>
      </c>
      <c r="AU553" s="90" t="s">
        <v>40</v>
      </c>
      <c r="AV553" s="81" t="s">
        <v>40</v>
      </c>
      <c r="AW553" s="81" t="s">
        <v>40</v>
      </c>
      <c r="AX553" s="81" t="s">
        <v>40</v>
      </c>
      <c r="AY553" s="81" t="s">
        <v>40</v>
      </c>
      <c r="AZ553" s="174">
        <v>448</v>
      </c>
      <c r="BA553" s="182">
        <v>78</v>
      </c>
      <c r="BB553" s="182">
        <v>62</v>
      </c>
      <c r="BC553" s="182">
        <v>82</v>
      </c>
      <c r="BD553" s="68">
        <v>45</v>
      </c>
      <c r="BE553" s="174">
        <v>267</v>
      </c>
      <c r="BF553" s="182">
        <v>19</v>
      </c>
      <c r="BG553" s="182">
        <v>73</v>
      </c>
      <c r="BH553" s="182">
        <v>64</v>
      </c>
      <c r="BI553" s="68">
        <v>43</v>
      </c>
      <c r="BJ553" s="174">
        <v>199</v>
      </c>
      <c r="BK553" s="182">
        <v>65</v>
      </c>
    </row>
    <row r="554" spans="1:63">
      <c r="A554" s="69" t="s">
        <v>7</v>
      </c>
      <c r="AK554" s="23"/>
      <c r="AP554" s="23"/>
      <c r="AU554" s="23"/>
      <c r="AZ554" s="174"/>
      <c r="BE554" s="23"/>
      <c r="BF554" s="70"/>
      <c r="BG554" s="70">
        <v>2.8421052631578947</v>
      </c>
      <c r="BH554" s="70">
        <v>-0.12328767123287676</v>
      </c>
      <c r="BI554" s="70">
        <v>-0.328125</v>
      </c>
      <c r="BJ554" s="23"/>
      <c r="BK554" s="70">
        <v>0.51162790697674421</v>
      </c>
    </row>
    <row r="555" spans="1:63">
      <c r="A555" s="69" t="s">
        <v>8</v>
      </c>
      <c r="AK555" s="23"/>
      <c r="AP555" s="23"/>
      <c r="AU555" s="23"/>
      <c r="AZ555" s="174"/>
      <c r="BE555" s="23">
        <v>-0.4040178571428571</v>
      </c>
      <c r="BF555" s="71">
        <v>-0.75641025641025639</v>
      </c>
      <c r="BG555" s="71">
        <v>0.17741935483870974</v>
      </c>
      <c r="BH555" s="71">
        <v>-0.21951219512195119</v>
      </c>
      <c r="BI555" s="71">
        <v>-4.4444444444444398E-2</v>
      </c>
      <c r="BJ555" s="23">
        <v>-0.25468164794007486</v>
      </c>
      <c r="BK555" s="71">
        <v>2.4210526315789473</v>
      </c>
    </row>
    <row r="556" spans="1:63" ht="24">
      <c r="A556" s="87" t="s">
        <v>284</v>
      </c>
      <c r="AK556" s="90" t="s">
        <v>40</v>
      </c>
      <c r="AP556" s="90" t="s">
        <v>40</v>
      </c>
      <c r="AU556" s="90" t="s">
        <v>40</v>
      </c>
      <c r="AV556" s="81" t="s">
        <v>40</v>
      </c>
      <c r="AW556" s="81" t="s">
        <v>40</v>
      </c>
      <c r="AX556" s="81" t="s">
        <v>40</v>
      </c>
      <c r="AY556" s="81" t="s">
        <v>40</v>
      </c>
      <c r="AZ556" s="174">
        <v>448</v>
      </c>
      <c r="BA556" s="182">
        <v>80</v>
      </c>
      <c r="BB556" s="182">
        <v>69</v>
      </c>
      <c r="BC556" s="182">
        <v>82</v>
      </c>
      <c r="BD556" s="68">
        <v>53</v>
      </c>
      <c r="BE556" s="174">
        <v>284</v>
      </c>
      <c r="BF556" s="182">
        <v>62</v>
      </c>
      <c r="BG556" s="182">
        <v>64</v>
      </c>
      <c r="BH556" s="182">
        <v>65</v>
      </c>
      <c r="BI556" s="68">
        <v>50</v>
      </c>
      <c r="BJ556" s="174">
        <v>241</v>
      </c>
      <c r="BK556" s="182">
        <v>65</v>
      </c>
    </row>
    <row r="557" spans="1:63">
      <c r="A557" s="69" t="s">
        <v>7</v>
      </c>
      <c r="AK557" s="23"/>
      <c r="AP557" s="23"/>
      <c r="AU557" s="23"/>
      <c r="AZ557" s="174"/>
      <c r="BE557" s="23"/>
      <c r="BF557" s="70"/>
      <c r="BG557" s="70">
        <v>3.2258064516129004E-2</v>
      </c>
      <c r="BH557" s="70">
        <v>1.5625E-2</v>
      </c>
      <c r="BI557" s="70">
        <v>-0.23076923076923073</v>
      </c>
      <c r="BJ557" s="23"/>
      <c r="BK557" s="70">
        <v>0.30000000000000004</v>
      </c>
    </row>
    <row r="558" spans="1:63">
      <c r="A558" s="69" t="s">
        <v>8</v>
      </c>
      <c r="AK558" s="23"/>
      <c r="AP558" s="23"/>
      <c r="AU558" s="23"/>
      <c r="AZ558" s="174"/>
      <c r="BE558" s="23">
        <v>-0.3660714285714286</v>
      </c>
      <c r="BF558" s="71">
        <v>-0.22499999999999998</v>
      </c>
      <c r="BG558" s="71">
        <v>-7.2463768115942018E-2</v>
      </c>
      <c r="BH558" s="71">
        <v>-0.20731707317073167</v>
      </c>
      <c r="BI558" s="71">
        <v>-5.6603773584905648E-2</v>
      </c>
      <c r="BJ558" s="23">
        <v>-0.15140845070422537</v>
      </c>
      <c r="BK558" s="71">
        <v>4.8387096774193505E-2</v>
      </c>
    </row>
    <row r="559" spans="1:63" ht="7.1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c r="AA559" s="43"/>
      <c r="AB559" s="43"/>
      <c r="AC559" s="43"/>
      <c r="AD559" s="43"/>
      <c r="AE559" s="43"/>
      <c r="AF559" s="43"/>
      <c r="AG559" s="43"/>
      <c r="AH559" s="43"/>
      <c r="AI559" s="43"/>
      <c r="AJ559" s="43"/>
      <c r="AK559" s="43"/>
      <c r="AL559" s="43"/>
      <c r="AM559" s="43"/>
      <c r="AN559" s="43"/>
      <c r="AO559" s="43"/>
      <c r="AP559" s="43"/>
      <c r="AQ559" s="43"/>
      <c r="AR559" s="43"/>
      <c r="AS559" s="43"/>
      <c r="AT559" s="43"/>
      <c r="AU559" s="43"/>
      <c r="AV559" s="43"/>
      <c r="AW559" s="43"/>
      <c r="AX559" s="43"/>
      <c r="AY559" s="43"/>
      <c r="AZ559" s="43"/>
      <c r="BA559" s="43"/>
      <c r="BB559" s="43"/>
      <c r="BC559" s="43"/>
      <c r="BD559" s="43"/>
      <c r="BE559" s="43"/>
      <c r="BF559" s="43"/>
      <c r="BG559" s="43"/>
      <c r="BH559" s="43"/>
      <c r="BI559" s="43"/>
      <c r="BJ559" s="43"/>
      <c r="BK559" s="43"/>
    </row>
  </sheetData>
  <customSheetViews>
    <customSheetView guid="{C6BBAF30-1E81-42FB-BA93-01B6813E2C8C}" showPageBreaks="1" printArea="1" view="pageBreakPreview" showRuler="0">
      <pane xSplit="1" ySplit="5" topLeftCell="B6" activePane="bottomRight" state="frozenSplit"/>
      <selection pane="bottomRight"/>
      <rowBreaks count="5" manualBreakCount="5">
        <brk id="69" max="14" man="1"/>
        <brk id="118" max="14" man="1"/>
        <brk id="162" max="14" man="1"/>
        <brk id="209" max="14" man="1"/>
        <brk id="254" max="14" man="1"/>
      </rowBreaks>
      <pageMargins left="0.7" right="0.7" top="0.75" bottom="0.75" header="0.3" footer="0.3"/>
      <printOptions horizontalCentered="1"/>
      <pageSetup paperSize="9" scale="58" fitToWidth="3" fitToHeight="5" orientation="landscape"/>
      <headerFooter alignWithMargins="0">
        <oddHeader>&amp;C&amp;12Bezeq - The Israel Telecommunication Corp. Ltd.</oddHeader>
        <oddFooter>&amp;L
&amp;R&amp;P of &amp;N
Key financial metrics</oddFooter>
      </headerFooter>
    </customSheetView>
    <customSheetView guid="{F07085DA-2B2D-4BE1-891D-F25D604A092E}" showPageBreaks="1" printArea="1" showRuler="0">
      <pane xSplit="1" ySplit="5" topLeftCell="H75" activePane="bottomRight" state="frozenSplit"/>
      <selection pane="bottomRight" activeCell="A77" sqref="A77"/>
      <rowBreaks count="6" manualBreakCount="6">
        <brk id="65" max="12" man="1"/>
        <brk id="112" max="12" man="1"/>
        <brk id="156" max="12" man="1"/>
        <brk id="200" max="12" man="1"/>
        <brk id="244" max="12" man="1"/>
        <brk id="288" max="16383"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6A44E415-E6EC-4CA2-8B4C-A374F00F0261}" showPageBreaks="1" printArea="1" showRuler="0">
      <pane xSplit="1" ySplit="5" topLeftCell="B6" activePane="bottomRight" state="frozenSplit"/>
      <selection pane="bottomRight" activeCell="B6" sqref="B6"/>
      <rowBreaks count="4" manualBreakCount="4">
        <brk id="61" max="19" man="1"/>
        <brk id="98" max="19" man="1"/>
        <brk id="139" max="19" man="1"/>
        <brk id="180" max="19"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C32ED439-2914-4073-BFBF-7718D6CFE811}" showPageBreaks="1" showGridLines="0" printArea="1">
      <pane xSplit="1" ySplit="5" topLeftCell="J6" activePane="bottomRight" state="frozenSplit"/>
      <selection pane="bottomRight" activeCell="R1" sqref="R1"/>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44BC518B-F505-4956-BE42-792973965029}" showPageBreaks="1" showGridLines="0" printArea="1" showRuler="0">
      <pane xSplit="1" ySplit="5" topLeftCell="M185" activePane="bottomRight" state="frozenSplit"/>
      <selection pane="bottomRight" activeCell="T194" sqref="T194"/>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7DC6D345-C4C0-4162-8636-D495A245EBF8}" showPageBreaks="1" showGridLines="0" printArea="1" hiddenColumns="1">
      <pane xSplit="1" ySplit="4" topLeftCell="W29" activePane="bottomRight" state="frozenSplit"/>
      <selection pane="bottomRight" activeCell="AD53" sqref="AD53"/>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 guid="{67DDFA58-7FF7-4BDB-BFFF-31DB4021D095}" showGridLines="0" hiddenColumns="1">
      <pane xSplit="1" ySplit="4" topLeftCell="Y182" activePane="bottomRight" state="frozenSplit"/>
      <selection pane="bottomRight" activeCell="AD147" sqref="AD147"/>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s>
  <phoneticPr fontId="4" type="noConversion"/>
  <pageMargins left="0.19685039370078741" right="0.19685039370078741" top="0.11811023622047245" bottom="0.11811023622047245" header="0.11811023622047245" footer="3.937007874015748E-2"/>
  <pageSetup paperSize="9" scale="67" orientation="landscape" r:id="rId1"/>
  <headerFooter alignWithMargins="0">
    <oddHeader>&amp;C&amp;12Bezeq - The Israel Telecommunication Corp. Ltd.</oddHeader>
    <oddFooter>&amp;L
&amp;R&amp;P of &amp;N
Key financial metrics</oddFooter>
  </headerFooter>
  <rowBreaks count="8" manualBreakCount="8">
    <brk id="80" max="62" man="1"/>
    <brk id="143" max="62" man="1"/>
    <brk id="189" max="62" man="1"/>
    <brk id="270" max="62" man="1"/>
    <brk id="298" max="62" man="1"/>
    <brk id="374" max="62" man="1"/>
    <brk id="451" max="62" man="1"/>
    <brk id="525" max="62"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E351"/>
  <sheetViews>
    <sheetView showGridLines="0" tabSelected="1" topLeftCell="A4" zoomScale="110" zoomScaleNormal="110" workbookViewId="0">
      <pane xSplit="2" ySplit="3" topLeftCell="AC13" activePane="bottomRight" state="frozen"/>
      <selection activeCell="M32" sqref="M32"/>
      <selection pane="topRight" activeCell="M32" sqref="M32"/>
      <selection pane="bottomLeft" activeCell="M32" sqref="M32"/>
      <selection pane="bottomRight" activeCell="M32" sqref="M32"/>
    </sheetView>
  </sheetViews>
  <sheetFormatPr defaultColWidth="8.7109375" defaultRowHeight="12.75"/>
  <cols>
    <col min="1" max="1" width="46.42578125" bestFit="1" customWidth="1"/>
    <col min="2" max="22" width="0" hidden="1" customWidth="1"/>
  </cols>
  <sheetData>
    <row r="4" spans="1:57">
      <c r="A4" s="101"/>
      <c r="B4" s="101"/>
      <c r="C4" s="101"/>
      <c r="D4" s="101"/>
      <c r="E4" s="101"/>
      <c r="F4" s="101"/>
      <c r="G4" s="101"/>
      <c r="H4" s="101"/>
      <c r="I4" s="101"/>
      <c r="AD4" s="227"/>
      <c r="BD4">
        <v>2018</v>
      </c>
      <c r="BE4">
        <v>2018</v>
      </c>
    </row>
    <row r="5" spans="1:57">
      <c r="A5" s="101"/>
      <c r="B5" s="46" t="s">
        <v>2</v>
      </c>
      <c r="C5" s="46" t="s">
        <v>5</v>
      </c>
      <c r="D5" s="46" t="s">
        <v>89</v>
      </c>
      <c r="E5" s="46" t="s">
        <v>0</v>
      </c>
      <c r="F5" s="46" t="s">
        <v>1</v>
      </c>
      <c r="G5" s="46" t="s">
        <v>2</v>
      </c>
      <c r="H5" s="46" t="s">
        <v>5</v>
      </c>
      <c r="I5" s="46" t="s">
        <v>89</v>
      </c>
      <c r="J5" s="46" t="s">
        <v>0</v>
      </c>
      <c r="K5" s="46" t="s">
        <v>1</v>
      </c>
      <c r="L5" s="46" t="s">
        <v>2</v>
      </c>
      <c r="M5" s="46" t="s">
        <v>5</v>
      </c>
      <c r="N5" s="46" t="s">
        <v>89</v>
      </c>
      <c r="O5" s="46" t="s">
        <v>0</v>
      </c>
      <c r="P5" s="46" t="s">
        <v>1</v>
      </c>
      <c r="Q5" s="46" t="s">
        <v>2</v>
      </c>
      <c r="R5" s="46" t="s">
        <v>5</v>
      </c>
      <c r="S5" s="46" t="s">
        <v>89</v>
      </c>
      <c r="T5" s="46" t="s">
        <v>0</v>
      </c>
      <c r="U5" s="46" t="s">
        <v>1</v>
      </c>
      <c r="V5" s="46" t="s">
        <v>2</v>
      </c>
      <c r="W5" s="46" t="s">
        <v>5</v>
      </c>
      <c r="X5" s="46" t="s">
        <v>89</v>
      </c>
      <c r="Y5" s="46" t="s">
        <v>0</v>
      </c>
      <c r="Z5" s="46" t="s">
        <v>1</v>
      </c>
      <c r="AA5" s="46" t="s">
        <v>2</v>
      </c>
      <c r="AB5" s="46" t="s">
        <v>5</v>
      </c>
      <c r="AC5" s="46" t="s">
        <v>89</v>
      </c>
      <c r="AD5" s="46" t="s">
        <v>0</v>
      </c>
      <c r="AE5" s="46" t="s">
        <v>1</v>
      </c>
      <c r="AF5" s="46" t="s">
        <v>2</v>
      </c>
      <c r="AG5" s="46" t="s">
        <v>5</v>
      </c>
      <c r="AH5" s="46" t="s">
        <v>89</v>
      </c>
    </row>
    <row r="6" spans="1:57">
      <c r="A6" s="56" t="s">
        <v>169</v>
      </c>
      <c r="B6" s="46">
        <v>2013</v>
      </c>
      <c r="C6" s="46">
        <v>2013</v>
      </c>
      <c r="D6" s="46">
        <v>2014</v>
      </c>
      <c r="E6" s="46">
        <v>2014</v>
      </c>
      <c r="F6" s="46">
        <v>2014</v>
      </c>
      <c r="G6" s="46">
        <v>2014</v>
      </c>
      <c r="H6" s="46">
        <v>2014</v>
      </c>
      <c r="I6" s="46">
        <v>2015</v>
      </c>
      <c r="J6" s="46">
        <v>2015</v>
      </c>
      <c r="K6" s="46">
        <v>2015</v>
      </c>
      <c r="L6" s="46">
        <v>2015</v>
      </c>
      <c r="M6" s="46">
        <v>2015</v>
      </c>
      <c r="N6" s="46">
        <v>2016</v>
      </c>
      <c r="O6" s="46">
        <v>2016</v>
      </c>
      <c r="P6" s="46">
        <v>2016</v>
      </c>
      <c r="Q6" s="46">
        <v>2016</v>
      </c>
      <c r="R6" s="46">
        <v>2016</v>
      </c>
      <c r="S6" s="46">
        <v>2017</v>
      </c>
      <c r="T6" s="46">
        <v>2017</v>
      </c>
      <c r="U6" s="46">
        <v>2017</v>
      </c>
      <c r="V6" s="46">
        <v>2017</v>
      </c>
      <c r="W6" s="46">
        <v>2017</v>
      </c>
      <c r="X6" s="46">
        <v>2018</v>
      </c>
      <c r="Y6" s="46">
        <v>2018</v>
      </c>
      <c r="Z6" s="46">
        <v>2018</v>
      </c>
      <c r="AA6" s="46">
        <v>2018</v>
      </c>
      <c r="AB6" s="46">
        <v>2018</v>
      </c>
      <c r="AC6" s="46">
        <v>2019</v>
      </c>
      <c r="AD6" s="46">
        <v>2019</v>
      </c>
      <c r="AE6" s="46">
        <v>2019</v>
      </c>
      <c r="AF6" s="46">
        <v>2019</v>
      </c>
      <c r="AG6" s="46">
        <v>2019</v>
      </c>
      <c r="AH6" s="46">
        <v>2020</v>
      </c>
    </row>
    <row r="7" spans="1:57" ht="6" customHeight="1">
      <c r="A7" s="43"/>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57" ht="20.25">
      <c r="A8" s="34" t="s">
        <v>170</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row>
    <row r="9" spans="1:57">
      <c r="A9" s="59"/>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row>
    <row r="10" spans="1:57">
      <c r="A10" s="39" t="s">
        <v>171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row>
    <row r="11" spans="1:57">
      <c r="C11" s="36"/>
      <c r="H11" s="36"/>
      <c r="M11" s="36"/>
      <c r="N11" s="33"/>
      <c r="R11" s="36"/>
      <c r="S11" s="33"/>
      <c r="T11" s="33"/>
      <c r="U11" s="33"/>
      <c r="W11" s="36"/>
      <c r="X11" s="33"/>
      <c r="Y11" s="33"/>
      <c r="Z11" s="33"/>
      <c r="AB11" s="36"/>
      <c r="AC11" s="33"/>
      <c r="AD11" s="33"/>
      <c r="AE11" s="33"/>
      <c r="AG11" s="36"/>
      <c r="AH11" s="33"/>
    </row>
    <row r="12" spans="1:57" ht="13.15" customHeight="1">
      <c r="A12" s="173" t="s">
        <v>172</v>
      </c>
      <c r="B12" s="147" t="s">
        <v>138</v>
      </c>
      <c r="C12" s="149" t="s">
        <v>138</v>
      </c>
      <c r="D12" s="147" t="s">
        <v>138</v>
      </c>
      <c r="E12" s="147" t="s">
        <v>138</v>
      </c>
      <c r="F12" s="147" t="s">
        <v>138</v>
      </c>
      <c r="G12" s="147" t="s">
        <v>138</v>
      </c>
      <c r="H12" s="61" t="s">
        <v>138</v>
      </c>
      <c r="I12" s="147">
        <v>-12</v>
      </c>
      <c r="J12" s="147" t="s">
        <v>138</v>
      </c>
      <c r="K12" s="147" t="s">
        <v>138</v>
      </c>
      <c r="L12" s="147" t="s">
        <v>138</v>
      </c>
      <c r="M12" s="174">
        <v>-12</v>
      </c>
      <c r="N12" s="182" t="s">
        <v>138</v>
      </c>
      <c r="O12" s="182" t="s">
        <v>138</v>
      </c>
      <c r="P12" s="182" t="s">
        <v>138</v>
      </c>
      <c r="Q12" s="147" t="s">
        <v>138</v>
      </c>
      <c r="R12" s="61" t="s">
        <v>138</v>
      </c>
      <c r="S12" s="182" t="s">
        <v>138</v>
      </c>
      <c r="T12" s="182" t="s">
        <v>138</v>
      </c>
      <c r="U12" s="182" t="s">
        <v>138</v>
      </c>
      <c r="V12" s="147" t="s">
        <v>138</v>
      </c>
      <c r="W12" s="61" t="s">
        <v>138</v>
      </c>
      <c r="X12" s="182" t="s">
        <v>138</v>
      </c>
      <c r="Y12" s="182" t="s">
        <v>138</v>
      </c>
      <c r="Z12" s="182" t="s">
        <v>138</v>
      </c>
      <c r="AA12" s="147" t="s">
        <v>138</v>
      </c>
      <c r="AB12" s="61" t="s">
        <v>138</v>
      </c>
      <c r="AC12" s="182" t="s">
        <v>138</v>
      </c>
      <c r="AD12" s="182" t="s">
        <v>138</v>
      </c>
      <c r="AE12" s="182" t="s">
        <v>138</v>
      </c>
      <c r="AF12" s="147" t="s">
        <v>138</v>
      </c>
      <c r="AG12" s="61" t="s">
        <v>138</v>
      </c>
      <c r="AH12" s="182" t="s">
        <v>138</v>
      </c>
    </row>
    <row r="13" spans="1:57" ht="13.15" customHeight="1">
      <c r="C13" s="149"/>
      <c r="H13" s="36"/>
      <c r="M13" s="36"/>
      <c r="N13" s="33"/>
      <c r="O13" s="33"/>
      <c r="P13" s="33"/>
      <c r="R13" s="36"/>
      <c r="S13" s="33"/>
      <c r="T13" s="33"/>
      <c r="U13" s="33"/>
      <c r="W13" s="36"/>
      <c r="X13" s="33"/>
      <c r="Y13" s="33"/>
      <c r="Z13" s="33"/>
      <c r="AB13" s="36"/>
      <c r="AC13" s="33"/>
      <c r="AD13" s="33"/>
      <c r="AE13" s="33"/>
      <c r="AG13" s="36"/>
      <c r="AH13" s="33"/>
    </row>
    <row r="14" spans="1:57" ht="13.15" customHeight="1">
      <c r="A14" s="2" t="s">
        <v>173</v>
      </c>
      <c r="B14" s="147" t="s">
        <v>138</v>
      </c>
      <c r="C14" s="149" t="s">
        <v>138</v>
      </c>
      <c r="D14" s="147" t="s">
        <v>138</v>
      </c>
      <c r="E14" s="148">
        <v>-582</v>
      </c>
      <c r="F14" s="147" t="s">
        <v>138</v>
      </c>
      <c r="G14" s="147" t="s">
        <v>138</v>
      </c>
      <c r="H14" s="174">
        <v>-582</v>
      </c>
      <c r="I14" s="147" t="s">
        <v>138</v>
      </c>
      <c r="J14" s="147" t="s">
        <v>138</v>
      </c>
      <c r="K14" s="147" t="s">
        <v>138</v>
      </c>
      <c r="L14" s="147" t="s">
        <v>138</v>
      </c>
      <c r="M14" s="61" t="s">
        <v>138</v>
      </c>
      <c r="N14" s="182" t="s">
        <v>138</v>
      </c>
      <c r="O14" s="182" t="s">
        <v>138</v>
      </c>
      <c r="P14" s="182" t="s">
        <v>138</v>
      </c>
      <c r="Q14" s="147" t="s">
        <v>138</v>
      </c>
      <c r="R14" s="61" t="s">
        <v>138</v>
      </c>
      <c r="S14" s="182" t="s">
        <v>138</v>
      </c>
      <c r="T14" s="182" t="s">
        <v>138</v>
      </c>
      <c r="U14" s="182" t="s">
        <v>138</v>
      </c>
      <c r="V14" s="147" t="s">
        <v>138</v>
      </c>
      <c r="W14" s="61" t="s">
        <v>138</v>
      </c>
      <c r="X14" s="182" t="s">
        <v>138</v>
      </c>
      <c r="Y14" s="182" t="s">
        <v>138</v>
      </c>
      <c r="Z14" s="182" t="s">
        <v>138</v>
      </c>
      <c r="AA14" s="147" t="s">
        <v>138</v>
      </c>
      <c r="AB14" s="61" t="s">
        <v>138</v>
      </c>
      <c r="AC14" s="182" t="s">
        <v>138</v>
      </c>
      <c r="AD14" s="182" t="s">
        <v>138</v>
      </c>
      <c r="AE14" s="182" t="s">
        <v>138</v>
      </c>
      <c r="AF14" s="147" t="s">
        <v>138</v>
      </c>
      <c r="AG14" s="61" t="s">
        <v>138</v>
      </c>
      <c r="AH14" s="182" t="s">
        <v>138</v>
      </c>
    </row>
    <row r="15" spans="1:57" ht="13.15" customHeight="1">
      <c r="A15" s="69"/>
      <c r="B15" s="148"/>
      <c r="C15" s="174"/>
      <c r="D15" s="148"/>
      <c r="E15" s="148"/>
      <c r="F15" s="148"/>
      <c r="G15" s="148"/>
      <c r="H15" s="36"/>
      <c r="I15" s="147"/>
      <c r="J15" s="147"/>
      <c r="K15" s="147"/>
      <c r="L15" s="148"/>
      <c r="M15" s="36"/>
      <c r="N15" s="182"/>
      <c r="O15" s="182"/>
      <c r="P15" s="182"/>
      <c r="Q15" s="148"/>
      <c r="R15" s="36"/>
      <c r="S15" s="182"/>
      <c r="T15" s="182"/>
      <c r="U15" s="182"/>
      <c r="V15" s="148"/>
      <c r="W15" s="36"/>
      <c r="X15" s="182"/>
      <c r="Y15" s="182"/>
      <c r="Z15" s="182"/>
      <c r="AA15" s="148"/>
      <c r="AB15" s="36"/>
      <c r="AC15" s="182"/>
      <c r="AD15" s="182"/>
      <c r="AE15" s="182"/>
      <c r="AF15" s="148"/>
      <c r="AG15" s="36"/>
      <c r="AH15" s="182"/>
    </row>
    <row r="16" spans="1:57" ht="13.15" customHeight="1">
      <c r="A16" s="2" t="s">
        <v>254</v>
      </c>
      <c r="B16" s="148"/>
      <c r="C16" s="149" t="s">
        <v>138</v>
      </c>
      <c r="D16" s="148"/>
      <c r="E16" s="148"/>
      <c r="F16" s="148"/>
      <c r="G16" s="148"/>
      <c r="H16" s="149" t="s">
        <v>138</v>
      </c>
      <c r="I16" s="147"/>
      <c r="J16" s="147"/>
      <c r="K16" s="147"/>
      <c r="L16" s="148"/>
      <c r="M16" s="149" t="s">
        <v>138</v>
      </c>
      <c r="N16" s="182" t="s">
        <v>138</v>
      </c>
      <c r="O16" s="182" t="s">
        <v>138</v>
      </c>
      <c r="P16" s="182" t="s">
        <v>138</v>
      </c>
      <c r="Q16" s="147" t="s">
        <v>138</v>
      </c>
      <c r="R16" s="149" t="s">
        <v>138</v>
      </c>
      <c r="S16" s="182" t="s">
        <v>138</v>
      </c>
      <c r="T16" s="182" t="s">
        <v>138</v>
      </c>
      <c r="U16" s="182" t="s">
        <v>138</v>
      </c>
      <c r="V16" s="147" t="s">
        <v>138</v>
      </c>
      <c r="W16" s="149" t="s">
        <v>138</v>
      </c>
      <c r="X16" s="182" t="s">
        <v>138</v>
      </c>
      <c r="Y16" s="182" t="s">
        <v>138</v>
      </c>
      <c r="Z16" s="182" t="s">
        <v>138</v>
      </c>
      <c r="AA16" s="147">
        <v>-14</v>
      </c>
      <c r="AB16" s="174">
        <v>-14</v>
      </c>
      <c r="AC16" s="182" t="s">
        <v>138</v>
      </c>
      <c r="AD16" s="182" t="s">
        <v>138</v>
      </c>
      <c r="AE16" s="182" t="s">
        <v>138</v>
      </c>
      <c r="AF16" s="147" t="s">
        <v>138</v>
      </c>
      <c r="AG16" s="61" t="s">
        <v>138</v>
      </c>
      <c r="AH16" s="182" t="s">
        <v>138</v>
      </c>
    </row>
    <row r="17" spans="1:34" ht="13.15" customHeight="1">
      <c r="A17" s="69"/>
      <c r="B17" s="148"/>
      <c r="C17" s="174"/>
      <c r="D17" s="148"/>
      <c r="E17" s="148"/>
      <c r="F17" s="148"/>
      <c r="G17" s="148"/>
      <c r="H17" s="36"/>
      <c r="I17" s="147"/>
      <c r="J17" s="147"/>
      <c r="K17" s="147"/>
      <c r="L17" s="148"/>
      <c r="M17" s="36"/>
      <c r="N17" s="182"/>
      <c r="O17" s="182"/>
      <c r="P17" s="182"/>
      <c r="Q17" s="148"/>
      <c r="R17" s="36"/>
      <c r="S17" s="182"/>
      <c r="T17" s="182"/>
      <c r="U17" s="182"/>
      <c r="V17" s="148"/>
      <c r="W17" s="36"/>
      <c r="X17" s="182"/>
      <c r="Y17" s="182"/>
      <c r="Z17" s="182"/>
      <c r="AA17" s="148"/>
      <c r="AB17" s="36"/>
      <c r="AC17" s="182"/>
      <c r="AD17" s="182"/>
      <c r="AE17" s="182"/>
      <c r="AF17" s="148"/>
      <c r="AG17" s="36"/>
      <c r="AH17" s="182"/>
    </row>
    <row r="18" spans="1:34" ht="27" customHeight="1">
      <c r="A18" s="175" t="s">
        <v>174</v>
      </c>
      <c r="B18" s="148">
        <v>-29</v>
      </c>
      <c r="C18" s="174">
        <v>-120</v>
      </c>
      <c r="D18" s="148">
        <v>-12</v>
      </c>
      <c r="E18" s="148">
        <v>-102</v>
      </c>
      <c r="F18" s="147">
        <v>-27</v>
      </c>
      <c r="G18" s="148">
        <v>-26</v>
      </c>
      <c r="H18" s="174">
        <v>-167</v>
      </c>
      <c r="I18" s="147">
        <v>-11</v>
      </c>
      <c r="J18" s="147">
        <v>-148</v>
      </c>
      <c r="K18" s="147">
        <v>-13</v>
      </c>
      <c r="L18" s="148">
        <f>M18-SUM(I18:K18)</f>
        <v>-62</v>
      </c>
      <c r="M18" s="174">
        <v>-234</v>
      </c>
      <c r="N18" s="182">
        <v>-11</v>
      </c>
      <c r="O18" s="182">
        <v>-29</v>
      </c>
      <c r="P18" s="182">
        <v>-22</v>
      </c>
      <c r="Q18" s="148">
        <f>R18-P18-O18-N18</f>
        <v>-45</v>
      </c>
      <c r="R18" s="174">
        <v>-107</v>
      </c>
      <c r="S18" s="182">
        <v>-6</v>
      </c>
      <c r="T18" s="182">
        <v>-14</v>
      </c>
      <c r="U18" s="182">
        <v>-45</v>
      </c>
      <c r="V18" s="148">
        <f>W18-U18-T18-S18</f>
        <v>-1</v>
      </c>
      <c r="W18" s="174">
        <v>-66</v>
      </c>
      <c r="X18" s="182">
        <v>-1</v>
      </c>
      <c r="Y18" s="182">
        <v>-5</v>
      </c>
      <c r="Z18" s="182">
        <v>-1</v>
      </c>
      <c r="AA18" s="148">
        <f>AB18-Z18-Y18-X18</f>
        <v>6</v>
      </c>
      <c r="AB18" s="174">
        <v>-1</v>
      </c>
      <c r="AC18" s="182">
        <v>-44</v>
      </c>
      <c r="AD18" s="182">
        <v>-417</v>
      </c>
      <c r="AE18" s="182">
        <v>-11</v>
      </c>
      <c r="AF18" s="148">
        <f>AG18-AE18-AD18-AC18</f>
        <v>-36</v>
      </c>
      <c r="AG18" s="174">
        <v>-508</v>
      </c>
      <c r="AH18" s="182">
        <v>-9</v>
      </c>
    </row>
    <row r="19" spans="1:34" ht="13.15" customHeight="1">
      <c r="A19" s="69"/>
      <c r="B19" s="148"/>
      <c r="C19" s="174"/>
      <c r="D19" s="148"/>
      <c r="E19" s="148"/>
      <c r="F19" s="148"/>
      <c r="G19" s="148"/>
      <c r="H19" s="174"/>
      <c r="I19" s="147"/>
      <c r="J19" s="147"/>
      <c r="K19" s="147"/>
      <c r="L19" s="148"/>
      <c r="M19" s="174"/>
      <c r="N19" s="182"/>
      <c r="O19" s="182"/>
      <c r="P19" s="182"/>
      <c r="Q19" s="148"/>
      <c r="R19" s="174"/>
      <c r="S19" s="182"/>
      <c r="T19" s="182"/>
      <c r="U19" s="182"/>
      <c r="V19" s="148"/>
      <c r="W19" s="174"/>
      <c r="X19" s="182"/>
      <c r="Y19" s="182"/>
      <c r="Z19" s="182"/>
      <c r="AA19" s="148"/>
      <c r="AB19" s="174"/>
      <c r="AC19" s="182"/>
      <c r="AD19" s="182"/>
      <c r="AE19" s="182"/>
      <c r="AF19" s="148"/>
      <c r="AG19" s="174"/>
      <c r="AH19" s="182"/>
    </row>
    <row r="20" spans="1:34" ht="13.15" customHeight="1">
      <c r="A20" s="2" t="s">
        <v>175</v>
      </c>
      <c r="B20" s="148">
        <v>-7</v>
      </c>
      <c r="C20" s="174">
        <v>-47</v>
      </c>
      <c r="D20" s="148">
        <v>-5</v>
      </c>
      <c r="E20" s="147">
        <v>-2</v>
      </c>
      <c r="F20" s="147">
        <v>-1</v>
      </c>
      <c r="G20" s="147" t="s">
        <v>138</v>
      </c>
      <c r="H20" s="174">
        <v>-8</v>
      </c>
      <c r="I20" s="147" t="s">
        <v>138</v>
      </c>
      <c r="J20" s="147" t="s">
        <v>138</v>
      </c>
      <c r="K20" s="147" t="s">
        <v>138</v>
      </c>
      <c r="L20" s="147" t="s">
        <v>138</v>
      </c>
      <c r="M20" s="61" t="s">
        <v>138</v>
      </c>
      <c r="N20" s="182" t="s">
        <v>138</v>
      </c>
      <c r="O20" s="182" t="s">
        <v>138</v>
      </c>
      <c r="P20" s="182" t="s">
        <v>138</v>
      </c>
      <c r="Q20" s="147" t="s">
        <v>138</v>
      </c>
      <c r="R20" s="61" t="s">
        <v>138</v>
      </c>
      <c r="S20" s="182" t="s">
        <v>138</v>
      </c>
      <c r="T20" s="182" t="s">
        <v>138</v>
      </c>
      <c r="U20" s="182" t="s">
        <v>138</v>
      </c>
      <c r="V20" s="147" t="s">
        <v>138</v>
      </c>
      <c r="W20" s="61" t="s">
        <v>138</v>
      </c>
      <c r="X20" s="182" t="s">
        <v>138</v>
      </c>
      <c r="Y20" s="182" t="s">
        <v>138</v>
      </c>
      <c r="Z20" s="182" t="s">
        <v>138</v>
      </c>
      <c r="AA20" s="147" t="s">
        <v>138</v>
      </c>
      <c r="AB20" s="61" t="s">
        <v>138</v>
      </c>
      <c r="AC20" s="182" t="s">
        <v>138</v>
      </c>
      <c r="AD20" s="182" t="s">
        <v>138</v>
      </c>
      <c r="AE20" s="182" t="s">
        <v>138</v>
      </c>
      <c r="AF20" s="147" t="s">
        <v>138</v>
      </c>
      <c r="AG20" s="61" t="s">
        <v>138</v>
      </c>
      <c r="AH20" s="182" t="s">
        <v>138</v>
      </c>
    </row>
    <row r="21" spans="1:34" ht="13.15" customHeight="1">
      <c r="A21" s="69"/>
      <c r="B21" s="148"/>
      <c r="C21" s="174"/>
      <c r="D21" s="148"/>
      <c r="E21" s="148"/>
      <c r="F21" s="148"/>
      <c r="G21" s="148"/>
      <c r="H21" s="174"/>
      <c r="I21" s="148"/>
      <c r="J21" s="148"/>
      <c r="K21" s="148"/>
      <c r="L21" s="148"/>
      <c r="M21" s="174"/>
      <c r="N21" s="183"/>
      <c r="O21" s="183"/>
      <c r="P21" s="183"/>
      <c r="Q21" s="148"/>
      <c r="R21" s="174"/>
      <c r="S21" s="183"/>
      <c r="T21" s="183"/>
      <c r="U21" s="183"/>
      <c r="V21" s="148"/>
      <c r="W21" s="174"/>
      <c r="X21" s="183"/>
      <c r="Y21" s="183"/>
      <c r="Z21" s="183"/>
      <c r="AA21" s="148"/>
      <c r="AB21" s="174"/>
      <c r="AC21" s="183"/>
      <c r="AD21" s="183"/>
      <c r="AE21" s="183"/>
      <c r="AF21" s="148"/>
      <c r="AG21" s="174"/>
      <c r="AH21" s="183"/>
    </row>
    <row r="22" spans="1:34" ht="13.15" customHeight="1">
      <c r="A22" s="2" t="s">
        <v>176</v>
      </c>
      <c r="B22" s="148">
        <v>2</v>
      </c>
      <c r="C22" s="149" t="s">
        <v>138</v>
      </c>
      <c r="D22" s="147" t="s">
        <v>138</v>
      </c>
      <c r="E22" s="147" t="s">
        <v>138</v>
      </c>
      <c r="F22" s="147">
        <v>-5</v>
      </c>
      <c r="G22" s="148">
        <f>H22-F22</f>
        <v>-18</v>
      </c>
      <c r="H22" s="174">
        <v>-23</v>
      </c>
      <c r="I22" s="148">
        <v>6</v>
      </c>
      <c r="J22" s="148">
        <v>6</v>
      </c>
      <c r="K22" s="147" t="s">
        <v>138</v>
      </c>
      <c r="L22" s="148">
        <f>M22-SUM(I22:K22)</f>
        <v>22</v>
      </c>
      <c r="M22" s="174">
        <v>34</v>
      </c>
      <c r="N22" s="182" t="s">
        <v>138</v>
      </c>
      <c r="O22" s="182" t="s">
        <v>138</v>
      </c>
      <c r="P22" s="182" t="s">
        <v>138</v>
      </c>
      <c r="Q22" s="148"/>
      <c r="R22" s="174"/>
      <c r="S22" s="182" t="s">
        <v>138</v>
      </c>
      <c r="T22" s="182" t="s">
        <v>138</v>
      </c>
      <c r="U22" s="182" t="s">
        <v>138</v>
      </c>
      <c r="V22" s="147" t="s">
        <v>138</v>
      </c>
      <c r="W22" s="174"/>
      <c r="X22" s="182" t="s">
        <v>138</v>
      </c>
      <c r="Y22" s="182" t="s">
        <v>138</v>
      </c>
      <c r="Z22" s="182" t="s">
        <v>138</v>
      </c>
      <c r="AA22" s="147" t="s">
        <v>138</v>
      </c>
      <c r="AB22" s="61" t="s">
        <v>138</v>
      </c>
      <c r="AC22" s="182" t="s">
        <v>138</v>
      </c>
      <c r="AD22" s="182" t="s">
        <v>138</v>
      </c>
      <c r="AE22" s="182" t="s">
        <v>138</v>
      </c>
      <c r="AF22" s="147" t="s">
        <v>138</v>
      </c>
      <c r="AG22" s="61" t="s">
        <v>138</v>
      </c>
      <c r="AH22" s="182" t="s">
        <v>138</v>
      </c>
    </row>
    <row r="23" spans="1:34" ht="13.15" customHeight="1">
      <c r="A23" s="69"/>
      <c r="B23" s="148"/>
      <c r="C23" s="174"/>
      <c r="D23" s="148"/>
      <c r="E23" s="148"/>
      <c r="F23" s="148"/>
      <c r="G23" s="148"/>
      <c r="H23" s="36"/>
      <c r="I23" s="148"/>
      <c r="J23" s="148"/>
      <c r="K23" s="148"/>
      <c r="L23" s="148"/>
      <c r="M23" s="36"/>
      <c r="N23" s="183"/>
      <c r="O23" s="183"/>
      <c r="P23" s="183"/>
      <c r="Q23" s="148"/>
      <c r="R23" s="36"/>
      <c r="S23" s="183"/>
      <c r="T23" s="183"/>
      <c r="U23" s="183"/>
      <c r="V23" s="148"/>
      <c r="W23" s="36"/>
      <c r="X23" s="183"/>
      <c r="Y23" s="183"/>
      <c r="Z23" s="183"/>
      <c r="AA23" s="148"/>
      <c r="AB23" s="36"/>
      <c r="AC23" s="183"/>
      <c r="AD23" s="183"/>
      <c r="AE23" s="183"/>
      <c r="AF23" s="148"/>
      <c r="AG23" s="36"/>
      <c r="AH23" s="183"/>
    </row>
    <row r="24" spans="1:34" ht="25.5" customHeight="1">
      <c r="A24" s="175" t="s">
        <v>337</v>
      </c>
      <c r="B24" s="148">
        <v>53</v>
      </c>
      <c r="C24" s="174">
        <v>90</v>
      </c>
      <c r="D24" s="148">
        <v>8</v>
      </c>
      <c r="E24" s="148">
        <v>117</v>
      </c>
      <c r="F24" s="148">
        <v>8</v>
      </c>
      <c r="G24" s="148">
        <v>43</v>
      </c>
      <c r="H24" s="61">
        <v>176</v>
      </c>
      <c r="I24" s="147" t="s">
        <v>138</v>
      </c>
      <c r="J24" s="147">
        <v>1</v>
      </c>
      <c r="K24" s="147" t="s">
        <v>138</v>
      </c>
      <c r="L24" s="148">
        <f>M24-SUM(I24:K24)</f>
        <v>116</v>
      </c>
      <c r="M24" s="174">
        <v>117</v>
      </c>
      <c r="N24" s="182">
        <v>1</v>
      </c>
      <c r="O24" s="182">
        <v>14</v>
      </c>
      <c r="P24" s="182">
        <v>3</v>
      </c>
      <c r="Q24" s="148">
        <f>R24-P24-O24-N24</f>
        <v>78</v>
      </c>
      <c r="R24" s="174">
        <v>96</v>
      </c>
      <c r="S24" s="182" t="s">
        <v>138</v>
      </c>
      <c r="T24" s="182">
        <v>12</v>
      </c>
      <c r="U24" s="182">
        <v>3</v>
      </c>
      <c r="V24" s="148">
        <f>W24-U24-T24</f>
        <v>8</v>
      </c>
      <c r="W24" s="174">
        <v>23</v>
      </c>
      <c r="X24" s="182">
        <v>12</v>
      </c>
      <c r="Y24" s="182">
        <v>81</v>
      </c>
      <c r="Z24" s="182">
        <v>6</v>
      </c>
      <c r="AA24" s="148">
        <f>AB24-X24-Y24-Z24</f>
        <v>448</v>
      </c>
      <c r="AB24" s="174">
        <v>547</v>
      </c>
      <c r="AC24" s="182">
        <v>-25</v>
      </c>
      <c r="AD24" s="182">
        <v>1</v>
      </c>
      <c r="AE24" s="182">
        <v>3</v>
      </c>
      <c r="AF24" s="148">
        <f>AG24-AC24-AD24-AE24</f>
        <v>130</v>
      </c>
      <c r="AG24" s="174">
        <v>109</v>
      </c>
      <c r="AH24" s="182">
        <v>5</v>
      </c>
    </row>
    <row r="25" spans="1:34" ht="13.15" customHeight="1">
      <c r="A25" s="69"/>
      <c r="B25" s="148"/>
      <c r="C25" s="174"/>
      <c r="D25" s="148"/>
      <c r="E25" s="148"/>
      <c r="F25" s="148"/>
      <c r="G25" s="148"/>
      <c r="H25" s="36"/>
      <c r="I25" s="148"/>
      <c r="J25" s="148"/>
      <c r="K25" s="148"/>
      <c r="L25" s="148"/>
      <c r="M25" s="36"/>
      <c r="N25" s="183"/>
      <c r="O25" s="183"/>
      <c r="P25" s="183"/>
      <c r="Q25" s="148"/>
      <c r="R25" s="36"/>
      <c r="S25" s="183"/>
      <c r="T25" s="183"/>
      <c r="U25" s="183"/>
      <c r="V25" s="148"/>
      <c r="W25" s="36"/>
      <c r="X25" s="183"/>
      <c r="Y25" s="183"/>
      <c r="Z25" s="183"/>
      <c r="AA25" s="148"/>
      <c r="AB25" s="36"/>
      <c r="AC25" s="183"/>
      <c r="AD25" s="183"/>
      <c r="AE25" s="183"/>
      <c r="AF25" s="148"/>
      <c r="AG25" s="36"/>
      <c r="AH25" s="183"/>
    </row>
    <row r="26" spans="1:34" ht="27" customHeight="1">
      <c r="A26" s="175" t="s">
        <v>347</v>
      </c>
      <c r="B26" s="148">
        <v>61</v>
      </c>
      <c r="C26" s="174">
        <v>61</v>
      </c>
      <c r="D26" s="147" t="s">
        <v>138</v>
      </c>
      <c r="E26" s="147" t="s">
        <v>138</v>
      </c>
      <c r="F26" s="147" t="s">
        <v>138</v>
      </c>
      <c r="G26" s="148">
        <v>18</v>
      </c>
      <c r="H26" s="174">
        <v>18</v>
      </c>
      <c r="I26" s="147" t="s">
        <v>138</v>
      </c>
      <c r="J26" s="147" t="s">
        <v>138</v>
      </c>
      <c r="K26" s="147" t="s">
        <v>138</v>
      </c>
      <c r="L26" s="147" t="s">
        <v>138</v>
      </c>
      <c r="M26" s="61" t="s">
        <v>138</v>
      </c>
      <c r="N26" s="182" t="s">
        <v>138</v>
      </c>
      <c r="O26" s="182" t="s">
        <v>138</v>
      </c>
      <c r="P26" s="182" t="s">
        <v>138</v>
      </c>
      <c r="Q26" s="147" t="s">
        <v>138</v>
      </c>
      <c r="R26" s="61" t="s">
        <v>138</v>
      </c>
      <c r="S26" s="182" t="s">
        <v>138</v>
      </c>
      <c r="T26" s="182" t="s">
        <v>138</v>
      </c>
      <c r="U26" s="182" t="s">
        <v>138</v>
      </c>
      <c r="V26" s="147" t="s">
        <v>138</v>
      </c>
      <c r="W26" s="61">
        <v>3</v>
      </c>
      <c r="X26" s="182" t="s">
        <v>138</v>
      </c>
      <c r="Y26" s="182">
        <v>2</v>
      </c>
      <c r="Z26" s="182">
        <v>6</v>
      </c>
      <c r="AA26" s="182">
        <v>4</v>
      </c>
      <c r="AB26" s="61">
        <v>12</v>
      </c>
      <c r="AC26" s="182">
        <v>45</v>
      </c>
      <c r="AD26" s="182" t="s">
        <v>138</v>
      </c>
      <c r="AE26" s="182">
        <v>45</v>
      </c>
      <c r="AF26" s="147">
        <v>77</v>
      </c>
      <c r="AG26" s="174">
        <f>AF26+AE26+AC26</f>
        <v>167</v>
      </c>
      <c r="AH26" s="182" t="s">
        <v>138</v>
      </c>
    </row>
    <row r="27" spans="1:34" ht="12" customHeight="1">
      <c r="A27" s="69"/>
      <c r="B27" s="148"/>
      <c r="C27" s="174"/>
      <c r="D27" s="148"/>
      <c r="E27" s="148"/>
      <c r="F27" s="148"/>
      <c r="G27" s="148"/>
      <c r="H27" s="36"/>
      <c r="I27" s="148"/>
      <c r="J27" s="148"/>
      <c r="K27" s="148"/>
      <c r="L27" s="148"/>
      <c r="M27" s="36"/>
      <c r="N27" s="183"/>
      <c r="O27" s="183"/>
      <c r="P27" s="183"/>
      <c r="Q27" s="148"/>
      <c r="R27" s="36"/>
      <c r="S27" s="183"/>
      <c r="T27" s="183"/>
      <c r="U27" s="183"/>
      <c r="V27" s="148"/>
      <c r="W27" s="36"/>
      <c r="X27" s="183"/>
      <c r="Y27" s="183"/>
      <c r="Z27" s="183"/>
      <c r="AA27" s="148"/>
      <c r="AB27" s="36"/>
      <c r="AC27" s="183"/>
      <c r="AD27" s="183"/>
      <c r="AE27" s="183"/>
      <c r="AF27" s="148"/>
      <c r="AG27" s="36"/>
      <c r="AH27" s="183"/>
    </row>
    <row r="28" spans="1:34" ht="27" customHeight="1">
      <c r="A28" s="175" t="s">
        <v>177</v>
      </c>
      <c r="B28" s="147">
        <v>1</v>
      </c>
      <c r="C28" s="174">
        <v>1</v>
      </c>
      <c r="D28" s="147" t="s">
        <v>138</v>
      </c>
      <c r="E28" s="147" t="s">
        <v>138</v>
      </c>
      <c r="F28" s="147" t="s">
        <v>138</v>
      </c>
      <c r="G28" s="147" t="s">
        <v>138</v>
      </c>
      <c r="H28" s="61" t="s">
        <v>138</v>
      </c>
      <c r="I28" s="147" t="s">
        <v>138</v>
      </c>
      <c r="J28" s="147" t="s">
        <v>138</v>
      </c>
      <c r="K28" s="147" t="s">
        <v>138</v>
      </c>
      <c r="L28" s="147" t="s">
        <v>138</v>
      </c>
      <c r="M28" s="61" t="s">
        <v>138</v>
      </c>
      <c r="N28" s="182" t="s">
        <v>138</v>
      </c>
      <c r="O28" s="182" t="s">
        <v>138</v>
      </c>
      <c r="P28" s="182" t="s">
        <v>138</v>
      </c>
      <c r="Q28" s="147" t="s">
        <v>138</v>
      </c>
      <c r="R28" s="61" t="s">
        <v>138</v>
      </c>
      <c r="S28" s="182" t="s">
        <v>138</v>
      </c>
      <c r="T28" s="182" t="s">
        <v>138</v>
      </c>
      <c r="U28" s="182" t="s">
        <v>138</v>
      </c>
      <c r="V28" s="147" t="s">
        <v>138</v>
      </c>
      <c r="W28" s="61" t="s">
        <v>138</v>
      </c>
      <c r="X28" s="182" t="s">
        <v>138</v>
      </c>
      <c r="Y28" s="182" t="s">
        <v>138</v>
      </c>
      <c r="Z28" s="182" t="s">
        <v>138</v>
      </c>
      <c r="AA28" s="147" t="s">
        <v>138</v>
      </c>
      <c r="AB28" s="61" t="s">
        <v>138</v>
      </c>
      <c r="AC28" s="182" t="s">
        <v>138</v>
      </c>
      <c r="AD28" s="182" t="s">
        <v>138</v>
      </c>
      <c r="AE28" s="182" t="s">
        <v>138</v>
      </c>
      <c r="AF28" s="147" t="s">
        <v>138</v>
      </c>
      <c r="AG28" s="61" t="s">
        <v>138</v>
      </c>
      <c r="AH28" s="182" t="s">
        <v>138</v>
      </c>
    </row>
    <row r="29" spans="1:34" ht="13.15" customHeight="1">
      <c r="A29" s="69"/>
      <c r="B29" s="147"/>
      <c r="C29" s="174"/>
      <c r="D29" s="147"/>
      <c r="E29" s="147"/>
      <c r="F29" s="147"/>
      <c r="G29" s="147"/>
      <c r="H29" s="61"/>
      <c r="I29" s="147"/>
      <c r="J29" s="147"/>
      <c r="K29" s="147"/>
      <c r="L29" s="147"/>
      <c r="M29" s="61"/>
      <c r="N29" s="182"/>
      <c r="O29" s="182"/>
      <c r="P29" s="182"/>
      <c r="Q29" s="147"/>
      <c r="R29" s="61"/>
      <c r="S29" s="182"/>
      <c r="T29" s="182"/>
      <c r="U29" s="182"/>
      <c r="V29" s="147"/>
      <c r="W29" s="61"/>
      <c r="X29" s="182"/>
      <c r="Y29" s="182"/>
      <c r="Z29" s="182"/>
      <c r="AA29" s="147"/>
      <c r="AB29" s="61"/>
      <c r="AC29" s="182"/>
      <c r="AD29" s="182"/>
      <c r="AE29" s="182"/>
      <c r="AF29" s="147"/>
      <c r="AG29" s="61"/>
      <c r="AH29" s="182"/>
    </row>
    <row r="30" spans="1:34" ht="13.15" customHeight="1">
      <c r="A30" s="175" t="s">
        <v>258</v>
      </c>
      <c r="B30" s="147" t="s">
        <v>138</v>
      </c>
      <c r="C30" s="149" t="s">
        <v>138</v>
      </c>
      <c r="D30" s="148">
        <v>1</v>
      </c>
      <c r="E30" s="148">
        <v>1</v>
      </c>
      <c r="F30" s="147" t="s">
        <v>138</v>
      </c>
      <c r="G30" s="147">
        <v>-2</v>
      </c>
      <c r="H30" s="61" t="s">
        <v>138</v>
      </c>
      <c r="I30" s="147" t="s">
        <v>138</v>
      </c>
      <c r="J30" s="147" t="s">
        <v>138</v>
      </c>
      <c r="K30" s="147" t="s">
        <v>138</v>
      </c>
      <c r="L30" s="147" t="s">
        <v>138</v>
      </c>
      <c r="M30" s="61" t="s">
        <v>138</v>
      </c>
      <c r="N30" s="182">
        <v>15</v>
      </c>
      <c r="O30" s="182">
        <v>3</v>
      </c>
      <c r="P30" s="182">
        <v>-7</v>
      </c>
      <c r="Q30" s="147" t="s">
        <v>138</v>
      </c>
      <c r="R30" s="61">
        <v>11</v>
      </c>
      <c r="S30" s="182">
        <v>2</v>
      </c>
      <c r="T30" s="182">
        <v>1</v>
      </c>
      <c r="U30" s="182">
        <v>19</v>
      </c>
      <c r="V30" s="148">
        <f>W30-U30-T30-S30</f>
        <v>-1</v>
      </c>
      <c r="W30" s="61">
        <v>21</v>
      </c>
      <c r="X30" s="182">
        <v>12</v>
      </c>
      <c r="Y30" s="182">
        <v>8</v>
      </c>
      <c r="Z30" s="182">
        <v>1</v>
      </c>
      <c r="AA30" s="148">
        <f>AB30-Z30-Y30-X30</f>
        <v>69</v>
      </c>
      <c r="AB30" s="174">
        <v>90</v>
      </c>
      <c r="AC30" s="182">
        <v>-1</v>
      </c>
      <c r="AD30" s="182">
        <v>2</v>
      </c>
      <c r="AE30" s="182">
        <v>2</v>
      </c>
      <c r="AF30" s="148">
        <f>AG30-AE30-AD30-AC30</f>
        <v>8</v>
      </c>
      <c r="AG30" s="174">
        <v>11</v>
      </c>
      <c r="AH30" s="182">
        <v>1</v>
      </c>
    </row>
    <row r="31" spans="1:34" ht="13.15" customHeight="1">
      <c r="A31" s="176"/>
      <c r="B31" s="148"/>
      <c r="C31" s="174"/>
      <c r="D31" s="148"/>
      <c r="E31" s="148"/>
      <c r="F31" s="148"/>
      <c r="G31" s="148"/>
      <c r="H31" s="174"/>
      <c r="I31" s="148"/>
      <c r="J31" s="148"/>
      <c r="K31" s="148"/>
      <c r="L31" s="148"/>
      <c r="M31" s="174"/>
      <c r="N31" s="183"/>
      <c r="O31" s="183"/>
      <c r="P31" s="183"/>
      <c r="Q31" s="148"/>
      <c r="R31" s="174"/>
      <c r="S31" s="183"/>
      <c r="T31" s="183"/>
      <c r="U31" s="183"/>
      <c r="V31" s="148"/>
      <c r="W31" s="174"/>
      <c r="X31" s="183"/>
      <c r="Y31" s="183"/>
      <c r="Z31" s="183"/>
      <c r="AA31" s="148"/>
      <c r="AB31" s="174"/>
      <c r="AC31" s="183"/>
      <c r="AD31" s="183"/>
      <c r="AE31" s="183"/>
      <c r="AF31" s="148"/>
      <c r="AG31" s="174"/>
      <c r="AH31" s="183"/>
    </row>
    <row r="32" spans="1:34" ht="13.15" customHeight="1">
      <c r="A32" s="177" t="s">
        <v>178</v>
      </c>
      <c r="B32" s="178">
        <f t="shared" ref="B32:S32" si="0">SUM(B12:B30)</f>
        <v>81</v>
      </c>
      <c r="C32" s="179">
        <f t="shared" si="0"/>
        <v>-15</v>
      </c>
      <c r="D32" s="178">
        <f t="shared" si="0"/>
        <v>-8</v>
      </c>
      <c r="E32" s="178">
        <f t="shared" si="0"/>
        <v>-568</v>
      </c>
      <c r="F32" s="178">
        <f t="shared" si="0"/>
        <v>-25</v>
      </c>
      <c r="G32" s="178">
        <f t="shared" si="0"/>
        <v>15</v>
      </c>
      <c r="H32" s="179">
        <f t="shared" si="0"/>
        <v>-586</v>
      </c>
      <c r="I32" s="178">
        <f t="shared" si="0"/>
        <v>-17</v>
      </c>
      <c r="J32" s="178">
        <f t="shared" si="0"/>
        <v>-141</v>
      </c>
      <c r="K32" s="178">
        <f t="shared" si="0"/>
        <v>-13</v>
      </c>
      <c r="L32" s="178">
        <f t="shared" si="0"/>
        <v>76</v>
      </c>
      <c r="M32" s="179">
        <f t="shared" si="0"/>
        <v>-95</v>
      </c>
      <c r="N32" s="184">
        <f t="shared" si="0"/>
        <v>5</v>
      </c>
      <c r="O32" s="184">
        <f t="shared" si="0"/>
        <v>-12</v>
      </c>
      <c r="P32" s="184">
        <f t="shared" si="0"/>
        <v>-26</v>
      </c>
      <c r="Q32" s="178">
        <f t="shared" si="0"/>
        <v>33</v>
      </c>
      <c r="R32" s="179">
        <f t="shared" si="0"/>
        <v>0</v>
      </c>
      <c r="S32" s="184">
        <f t="shared" si="0"/>
        <v>-4</v>
      </c>
      <c r="T32" s="184">
        <f t="shared" ref="T32:U32" si="1">SUM(T12:T30)</f>
        <v>-1</v>
      </c>
      <c r="U32" s="184">
        <f t="shared" si="1"/>
        <v>-23</v>
      </c>
      <c r="V32" s="178">
        <f>SUM(V12:V30)</f>
        <v>6</v>
      </c>
      <c r="W32" s="179">
        <f>SUM(W12:W31)</f>
        <v>-19</v>
      </c>
      <c r="X32" s="184">
        <f>SUM(X12:X30)</f>
        <v>23</v>
      </c>
      <c r="Y32" s="184">
        <f>SUM(Y12:Y30)</f>
        <v>86</v>
      </c>
      <c r="Z32" s="184">
        <f>SUM(Z12:Z30)</f>
        <v>12</v>
      </c>
      <c r="AA32" s="178">
        <f>SUM(AA12:AA30)</f>
        <v>513</v>
      </c>
      <c r="AB32" s="179">
        <f>SUM(AB12:AB31)</f>
        <v>634</v>
      </c>
      <c r="AC32" s="184">
        <f>SUM(AC12:AC30)</f>
        <v>-25</v>
      </c>
      <c r="AD32" s="184">
        <f>SUM(AD12:AD30)</f>
        <v>-414</v>
      </c>
      <c r="AE32" s="184">
        <f>SUM(AE12:AE30)</f>
        <v>39</v>
      </c>
      <c r="AF32" s="178">
        <f>AG32-AE32-AD32-AC32</f>
        <v>179</v>
      </c>
      <c r="AG32" s="179">
        <f>SUM(AG12:AG31)</f>
        <v>-221</v>
      </c>
      <c r="AH32" s="184">
        <f>SUM(AH12:AH30)</f>
        <v>-3</v>
      </c>
    </row>
    <row r="33" spans="1:56" ht="6"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row>
    <row r="34" spans="1:56">
      <c r="A34" s="180" t="s">
        <v>179</v>
      </c>
      <c r="H34" s="181"/>
      <c r="M34" s="181"/>
      <c r="N34" s="33"/>
      <c r="R34" s="181"/>
      <c r="S34" s="33"/>
      <c r="T34" s="33"/>
      <c r="U34" s="33"/>
      <c r="W34" s="181"/>
    </row>
    <row r="35" spans="1:56">
      <c r="A35" s="33"/>
      <c r="N35" s="33"/>
      <c r="X35" s="218"/>
      <c r="Y35" s="218"/>
      <c r="AC35" s="218"/>
      <c r="AD35" s="218"/>
    </row>
    <row r="43" spans="1:56">
      <c r="BD43">
        <v>-0.11</v>
      </c>
    </row>
    <row r="187" spans="44:44">
      <c r="AR187">
        <v>59</v>
      </c>
    </row>
    <row r="220" spans="1:1">
      <c r="A220" s="33"/>
    </row>
    <row r="330" spans="57:57">
      <c r="BE330">
        <f>BE327-260</f>
        <v>-260</v>
      </c>
    </row>
    <row r="351" spans="55:55">
      <c r="BC351" s="66">
        <v>0.26400000000000001</v>
      </c>
    </row>
  </sheetData>
  <pageMargins left="0.39370078740157483" right="0.39370078740157483" top="0.74803149606299213" bottom="0.74803149606299213" header="0.31496062992125984" footer="0.19685039370078741"/>
  <pageSetup paperSize="9" scale="68" orientation="landscape" r:id="rId1"/>
  <headerFooter>
    <oddFooter xml:space="preserve">&amp;R&amp;P of &amp;N
Other  expenses (income), net
</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T428"/>
  <sheetViews>
    <sheetView showGridLines="0" tabSelected="1" zoomScale="110" zoomScaleNormal="110" zoomScalePageLayoutView="90" workbookViewId="0">
      <pane xSplit="1" ySplit="4" topLeftCell="BF27" activePane="bottomRight" state="frozen"/>
      <selection activeCell="M32" sqref="M32"/>
      <selection pane="topRight" activeCell="M32" sqref="M32"/>
      <selection pane="bottomLeft" activeCell="M32" sqref="M32"/>
      <selection pane="bottomRight" activeCell="M32" sqref="M32"/>
    </sheetView>
  </sheetViews>
  <sheetFormatPr defaultColWidth="8.7109375" defaultRowHeight="12.75"/>
  <cols>
    <col min="1" max="1" width="43" customWidth="1"/>
    <col min="2" max="2" width="10.42578125" hidden="1" customWidth="1"/>
    <col min="3" max="7" width="10.42578125" style="1" hidden="1" customWidth="1"/>
    <col min="8" max="10" width="9.42578125" style="1" hidden="1" customWidth="1"/>
    <col min="11" max="11" width="8.7109375" style="1" hidden="1" customWidth="1"/>
    <col min="12" max="12" width="8.28515625" style="1" customWidth="1"/>
    <col min="13" max="15" width="8.7109375" style="1" hidden="1" customWidth="1"/>
    <col min="16" max="16" width="8.28515625" style="1" hidden="1" customWidth="1"/>
    <col min="17" max="17" width="8.7109375" style="1" customWidth="1"/>
    <col min="18" max="18" width="8.7109375" style="1" hidden="1" customWidth="1"/>
    <col min="19" max="21" width="8.42578125" style="1" hidden="1" customWidth="1"/>
    <col min="22" max="22" width="8.7109375" style="1" customWidth="1"/>
    <col min="23" max="23" width="8.42578125" style="1" hidden="1" customWidth="1"/>
    <col min="24" max="24" width="8.7109375" style="1" hidden="1" customWidth="1"/>
    <col min="25" max="26" width="9.28515625" style="1" hidden="1" customWidth="1"/>
    <col min="27" max="27" width="9.28515625" style="1" customWidth="1"/>
    <col min="28" max="31" width="9.28515625" style="1" hidden="1" customWidth="1"/>
    <col min="32" max="32" width="9.28515625" style="1" customWidth="1"/>
    <col min="33" max="36" width="9.28515625" style="1" hidden="1" customWidth="1"/>
    <col min="37" max="37" width="9.28515625" style="1" customWidth="1"/>
    <col min="38" max="41" width="8.7109375" style="1" hidden="1" customWidth="1"/>
    <col min="42" max="42" width="8.7109375" style="1"/>
    <col min="43" max="46" width="0" style="1" hidden="1" customWidth="1"/>
    <col min="47" max="47" width="8.7109375" style="1"/>
    <col min="48" max="51" width="0" style="1" hidden="1" customWidth="1"/>
    <col min="52" max="60" width="8.7109375" style="1"/>
    <col min="61" max="16384" width="8.7109375" style="3"/>
  </cols>
  <sheetData>
    <row r="1" spans="1:202" ht="15.75">
      <c r="A1" s="29"/>
      <c r="B1" s="29"/>
      <c r="C1" s="65"/>
      <c r="D1" s="65"/>
      <c r="E1" s="65"/>
      <c r="F1" s="65"/>
      <c r="G1" s="65"/>
      <c r="H1" s="65"/>
      <c r="I1" s="65"/>
      <c r="J1" s="65"/>
      <c r="K1" s="65"/>
      <c r="L1" s="65"/>
      <c r="M1" s="65"/>
      <c r="N1" s="31"/>
      <c r="O1" s="31"/>
    </row>
    <row r="2" spans="1:202">
      <c r="A2" s="29"/>
      <c r="B2" s="29"/>
      <c r="C2" s="29"/>
      <c r="D2" s="29"/>
      <c r="E2" s="29"/>
      <c r="F2" s="29"/>
      <c r="G2" s="29"/>
      <c r="H2" s="29"/>
      <c r="I2" s="29"/>
      <c r="J2" s="29"/>
      <c r="K2" s="29"/>
      <c r="L2" s="29"/>
      <c r="M2" s="29"/>
      <c r="N2" s="31"/>
      <c r="O2" s="31"/>
    </row>
    <row r="3" spans="1:202">
      <c r="A3" s="30"/>
      <c r="B3" s="46" t="s">
        <v>5</v>
      </c>
      <c r="C3" s="46" t="s">
        <v>6</v>
      </c>
      <c r="D3" s="46" t="s">
        <v>0</v>
      </c>
      <c r="E3" s="46" t="s">
        <v>1</v>
      </c>
      <c r="F3" s="46" t="s">
        <v>2</v>
      </c>
      <c r="G3" s="46" t="s">
        <v>5</v>
      </c>
      <c r="H3" s="46" t="s">
        <v>6</v>
      </c>
      <c r="I3" s="46" t="s">
        <v>0</v>
      </c>
      <c r="J3" s="46" t="s">
        <v>1</v>
      </c>
      <c r="K3" s="46" t="s">
        <v>2</v>
      </c>
      <c r="L3" s="46" t="s">
        <v>5</v>
      </c>
      <c r="M3" s="46" t="s">
        <v>6</v>
      </c>
      <c r="N3" s="46" t="s">
        <v>52</v>
      </c>
      <c r="O3" s="46" t="s">
        <v>1</v>
      </c>
      <c r="P3" s="46" t="s">
        <v>2</v>
      </c>
      <c r="Q3" s="46" t="s">
        <v>5</v>
      </c>
      <c r="R3" s="46" t="s">
        <v>6</v>
      </c>
      <c r="S3" s="46" t="s">
        <v>0</v>
      </c>
      <c r="T3" s="46" t="s">
        <v>1</v>
      </c>
      <c r="U3" s="46" t="s">
        <v>2</v>
      </c>
      <c r="V3" s="46" t="s">
        <v>5</v>
      </c>
      <c r="W3" s="46" t="s">
        <v>6</v>
      </c>
      <c r="X3" s="46" t="s">
        <v>0</v>
      </c>
      <c r="Y3" s="46" t="s">
        <v>1</v>
      </c>
      <c r="Z3" s="46" t="s">
        <v>2</v>
      </c>
      <c r="AA3" s="46" t="s">
        <v>5</v>
      </c>
      <c r="AB3" s="46" t="s">
        <v>6</v>
      </c>
      <c r="AC3" s="46" t="s">
        <v>0</v>
      </c>
      <c r="AD3" s="46" t="s">
        <v>1</v>
      </c>
      <c r="AE3" s="46" t="s">
        <v>2</v>
      </c>
      <c r="AF3" s="46" t="s">
        <v>5</v>
      </c>
      <c r="AG3" s="46" t="s">
        <v>6</v>
      </c>
      <c r="AH3" s="46" t="s">
        <v>0</v>
      </c>
      <c r="AI3" s="46" t="s">
        <v>1</v>
      </c>
      <c r="AJ3" s="46" t="s">
        <v>2</v>
      </c>
      <c r="AK3" s="46" t="s">
        <v>5</v>
      </c>
      <c r="AL3" s="46" t="s">
        <v>6</v>
      </c>
      <c r="AM3" s="46" t="s">
        <v>0</v>
      </c>
      <c r="AN3" s="46" t="s">
        <v>1</v>
      </c>
      <c r="AO3" s="46" t="s">
        <v>2</v>
      </c>
      <c r="AP3" s="46" t="s">
        <v>5</v>
      </c>
      <c r="AQ3" s="46" t="s">
        <v>6</v>
      </c>
      <c r="AR3" s="46" t="s">
        <v>0</v>
      </c>
      <c r="AS3" s="46" t="s">
        <v>1</v>
      </c>
      <c r="AT3" s="46" t="s">
        <v>2</v>
      </c>
      <c r="AU3" s="46" t="s">
        <v>5</v>
      </c>
      <c r="AV3" s="46" t="s">
        <v>6</v>
      </c>
      <c r="AW3" s="46" t="s">
        <v>0</v>
      </c>
      <c r="AX3" s="46" t="s">
        <v>1</v>
      </c>
      <c r="AY3" s="46" t="s">
        <v>2</v>
      </c>
      <c r="AZ3" s="46" t="s">
        <v>5</v>
      </c>
      <c r="BA3" s="46" t="s">
        <v>6</v>
      </c>
      <c r="BB3" s="46" t="s">
        <v>0</v>
      </c>
      <c r="BC3" s="46" t="s">
        <v>1</v>
      </c>
      <c r="BD3" s="46" t="s">
        <v>2</v>
      </c>
      <c r="BE3" s="46" t="s">
        <v>5</v>
      </c>
      <c r="BF3" s="46" t="s">
        <v>6</v>
      </c>
      <c r="BG3" s="46" t="s">
        <v>0</v>
      </c>
      <c r="BH3" s="46" t="s">
        <v>1</v>
      </c>
      <c r="BI3" s="46" t="s">
        <v>2</v>
      </c>
      <c r="BJ3" s="46" t="s">
        <v>5</v>
      </c>
      <c r="BK3" s="46" t="s">
        <v>6</v>
      </c>
    </row>
    <row r="4" spans="1:202">
      <c r="A4" s="47"/>
      <c r="B4" s="30">
        <v>2007</v>
      </c>
      <c r="C4" s="30">
        <v>2008</v>
      </c>
      <c r="D4" s="30">
        <v>2008</v>
      </c>
      <c r="E4" s="30">
        <v>2008</v>
      </c>
      <c r="F4" s="30">
        <v>2008</v>
      </c>
      <c r="G4" s="30">
        <v>2008</v>
      </c>
      <c r="H4" s="30">
        <v>2009</v>
      </c>
      <c r="I4" s="30">
        <v>2009</v>
      </c>
      <c r="J4" s="30">
        <v>2009</v>
      </c>
      <c r="K4" s="46">
        <v>2009</v>
      </c>
      <c r="L4" s="46">
        <v>2009</v>
      </c>
      <c r="M4" s="30">
        <v>2010</v>
      </c>
      <c r="N4" s="30">
        <v>2010</v>
      </c>
      <c r="O4" s="30">
        <v>2010</v>
      </c>
      <c r="P4" s="46">
        <v>2010</v>
      </c>
      <c r="Q4" s="46">
        <v>2010</v>
      </c>
      <c r="R4" s="30">
        <v>2011</v>
      </c>
      <c r="S4" s="30">
        <v>2011</v>
      </c>
      <c r="T4" s="30">
        <v>2011</v>
      </c>
      <c r="U4" s="46">
        <v>2011</v>
      </c>
      <c r="V4" s="46">
        <v>2011</v>
      </c>
      <c r="W4" s="30">
        <v>2012</v>
      </c>
      <c r="X4" s="30">
        <v>2012</v>
      </c>
      <c r="Y4" s="30">
        <v>2012</v>
      </c>
      <c r="Z4" s="46">
        <v>2012</v>
      </c>
      <c r="AA4" s="46">
        <v>2012</v>
      </c>
      <c r="AB4" s="30">
        <v>2013</v>
      </c>
      <c r="AC4" s="30">
        <v>2013</v>
      </c>
      <c r="AD4" s="30">
        <v>2013</v>
      </c>
      <c r="AE4" s="46">
        <v>2013</v>
      </c>
      <c r="AF4" s="46">
        <v>2013</v>
      </c>
      <c r="AG4" s="30">
        <v>2014</v>
      </c>
      <c r="AH4" s="30">
        <v>2014</v>
      </c>
      <c r="AI4" s="30">
        <v>2014</v>
      </c>
      <c r="AJ4" s="46">
        <v>2014</v>
      </c>
      <c r="AK4" s="46">
        <v>2014</v>
      </c>
      <c r="AL4" s="30">
        <v>2015</v>
      </c>
      <c r="AM4" s="30">
        <v>2015</v>
      </c>
      <c r="AN4" s="30">
        <v>2015</v>
      </c>
      <c r="AO4" s="46">
        <v>2015</v>
      </c>
      <c r="AP4" s="46">
        <v>2015</v>
      </c>
      <c r="AQ4" s="30">
        <v>2016</v>
      </c>
      <c r="AR4" s="30">
        <v>2016</v>
      </c>
      <c r="AS4" s="30">
        <v>2016</v>
      </c>
      <c r="AT4" s="46">
        <v>2016</v>
      </c>
      <c r="AU4" s="46">
        <v>2016</v>
      </c>
      <c r="AV4" s="30">
        <v>2017</v>
      </c>
      <c r="AW4" s="30">
        <v>2017</v>
      </c>
      <c r="AX4" s="30">
        <v>2017</v>
      </c>
      <c r="AY4" s="46">
        <v>2017</v>
      </c>
      <c r="AZ4" s="46">
        <v>2017</v>
      </c>
      <c r="BA4" s="30">
        <v>2018</v>
      </c>
      <c r="BB4" s="30">
        <v>2018</v>
      </c>
      <c r="BC4" s="30">
        <v>2018</v>
      </c>
      <c r="BD4" s="46">
        <v>2018</v>
      </c>
      <c r="BE4" s="46">
        <v>2018</v>
      </c>
      <c r="BF4" s="30">
        <v>2019</v>
      </c>
      <c r="BG4" s="30">
        <v>2019</v>
      </c>
      <c r="BH4" s="30">
        <v>2019</v>
      </c>
      <c r="BI4" s="46">
        <v>2019</v>
      </c>
      <c r="BJ4" s="46">
        <v>2019</v>
      </c>
      <c r="BK4" s="30">
        <v>2020</v>
      </c>
    </row>
    <row r="5" spans="1:202" s="45" customFormat="1" ht="6.75" customHeight="1">
      <c r="A5" s="43"/>
      <c r="B5" s="43"/>
      <c r="K5" s="44"/>
      <c r="L5" s="44"/>
      <c r="P5" s="44"/>
      <c r="Q5" s="44"/>
      <c r="U5" s="44"/>
      <c r="V5" s="44"/>
      <c r="Z5" s="44"/>
      <c r="AA5" s="44"/>
      <c r="AE5" s="44"/>
      <c r="AF5" s="44"/>
      <c r="AJ5" s="44"/>
      <c r="AK5" s="44"/>
      <c r="AO5" s="44"/>
      <c r="AP5" s="44"/>
      <c r="AT5" s="44"/>
      <c r="AU5" s="44"/>
      <c r="AY5" s="44"/>
      <c r="AZ5" s="44"/>
      <c r="BD5" s="44"/>
      <c r="BE5" s="44"/>
      <c r="BI5" s="44"/>
      <c r="BJ5" s="4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row>
    <row r="6" spans="1:202" s="25" customFormat="1" ht="6" customHeight="1">
      <c r="A6" s="57"/>
      <c r="B6" s="57"/>
      <c r="C6" s="57"/>
      <c r="D6" s="57"/>
      <c r="E6" s="57"/>
      <c r="F6" s="57"/>
      <c r="G6" s="57"/>
      <c r="H6" s="57"/>
      <c r="I6" s="57"/>
      <c r="J6" s="57"/>
      <c r="K6" s="58"/>
      <c r="L6" s="58"/>
      <c r="M6" s="57"/>
      <c r="N6" s="57"/>
      <c r="O6" s="57"/>
      <c r="P6" s="58"/>
      <c r="Q6" s="58"/>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row>
    <row r="7" spans="1:202" ht="18.600000000000001" customHeight="1">
      <c r="A7" s="34" t="s">
        <v>51</v>
      </c>
      <c r="B7" s="34"/>
      <c r="C7" s="20"/>
      <c r="D7" s="20"/>
      <c r="E7" s="20"/>
      <c r="F7" s="20"/>
      <c r="G7" s="20"/>
      <c r="H7" s="20"/>
      <c r="I7" s="20"/>
      <c r="J7" s="20"/>
      <c r="K7" s="26"/>
      <c r="L7" s="26"/>
      <c r="M7" s="20"/>
      <c r="N7" s="20"/>
      <c r="O7" s="20"/>
      <c r="P7" s="26"/>
      <c r="Q7" s="26"/>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row>
    <row r="8" spans="1:202" ht="5.0999999999999996" customHeight="1">
      <c r="A8" s="59"/>
      <c r="B8" s="59"/>
      <c r="C8" s="59"/>
      <c r="D8" s="59"/>
      <c r="E8" s="59"/>
      <c r="F8" s="59"/>
      <c r="G8" s="59"/>
      <c r="H8" s="59"/>
      <c r="I8" s="59"/>
      <c r="J8" s="59"/>
      <c r="K8" s="60"/>
      <c r="L8" s="60"/>
      <c r="M8" s="59"/>
      <c r="N8" s="59"/>
      <c r="O8" s="59"/>
      <c r="P8" s="60"/>
      <c r="Q8" s="60"/>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row>
    <row r="9" spans="1:202" s="42" customFormat="1">
      <c r="A9" s="39" t="s">
        <v>25</v>
      </c>
      <c r="B9" s="39"/>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row>
    <row r="10" spans="1:202">
      <c r="A10" s="84"/>
      <c r="B10" s="23"/>
      <c r="C10" s="85"/>
      <c r="D10" s="85"/>
      <c r="E10" s="85"/>
      <c r="F10" s="85"/>
      <c r="G10" s="21"/>
      <c r="H10" s="85"/>
      <c r="I10" s="85"/>
      <c r="J10" s="85"/>
      <c r="L10" s="23"/>
      <c r="M10" s="85"/>
      <c r="N10" s="85"/>
      <c r="O10" s="85"/>
      <c r="Q10" s="23"/>
      <c r="R10" s="85"/>
      <c r="S10" s="85"/>
      <c r="T10" s="85"/>
      <c r="V10" s="26"/>
      <c r="W10" s="85"/>
      <c r="X10" s="85"/>
      <c r="Y10" s="85"/>
      <c r="AA10" s="26"/>
      <c r="AB10" s="85"/>
      <c r="AC10" s="85"/>
      <c r="AD10" s="85"/>
      <c r="AF10" s="26"/>
      <c r="AG10" s="85"/>
      <c r="AH10" s="85"/>
      <c r="AI10" s="85"/>
      <c r="AK10" s="26"/>
      <c r="AL10" s="85"/>
      <c r="AM10" s="85"/>
      <c r="AN10" s="85"/>
      <c r="AP10" s="26"/>
      <c r="AQ10" s="85"/>
      <c r="AR10" s="85"/>
      <c r="AS10" s="85"/>
      <c r="AU10" s="26"/>
      <c r="AV10" s="85"/>
      <c r="AW10" s="85"/>
      <c r="AX10" s="85"/>
      <c r="AZ10" s="26"/>
      <c r="BA10" s="85"/>
      <c r="BB10" s="85"/>
      <c r="BC10" s="85"/>
      <c r="BE10" s="26"/>
      <c r="BF10" s="85"/>
      <c r="BG10" s="85"/>
      <c r="BH10" s="85"/>
      <c r="BI10" s="1"/>
      <c r="BJ10" s="26"/>
      <c r="BK10" s="85"/>
    </row>
    <row r="11" spans="1:202">
      <c r="A11" s="67" t="s">
        <v>73</v>
      </c>
      <c r="B11" s="36">
        <v>14711</v>
      </c>
      <c r="C11" s="68">
        <v>3473</v>
      </c>
      <c r="D11" s="68">
        <v>3306</v>
      </c>
      <c r="E11" s="68">
        <v>3379</v>
      </c>
      <c r="F11" s="68">
        <v>3103</v>
      </c>
      <c r="G11" s="36">
        <v>13260</v>
      </c>
      <c r="H11" s="68">
        <v>3077</v>
      </c>
      <c r="I11" s="68">
        <v>2972</v>
      </c>
      <c r="J11" s="68">
        <v>3051</v>
      </c>
      <c r="K11" s="68">
        <v>2917</v>
      </c>
      <c r="L11" s="36">
        <v>12017</v>
      </c>
      <c r="M11" s="68">
        <v>2732</v>
      </c>
      <c r="N11" s="68">
        <v>2717</v>
      </c>
      <c r="O11" s="68">
        <v>2629</v>
      </c>
      <c r="P11" s="68">
        <v>2621</v>
      </c>
      <c r="Q11" s="36">
        <v>10699</v>
      </c>
      <c r="R11" s="68">
        <v>2521</v>
      </c>
      <c r="S11" s="68">
        <v>2415</v>
      </c>
      <c r="T11" s="68">
        <v>2482</v>
      </c>
      <c r="U11" s="68">
        <v>2339</v>
      </c>
      <c r="V11" s="36">
        <v>9758</v>
      </c>
      <c r="W11" s="68">
        <v>2360</v>
      </c>
      <c r="X11" s="68">
        <v>2228</v>
      </c>
      <c r="Y11" s="68">
        <v>2127</v>
      </c>
      <c r="Z11" s="68">
        <v>1979</v>
      </c>
      <c r="AA11" s="36">
        <v>8694</v>
      </c>
      <c r="AB11" s="68">
        <v>1788</v>
      </c>
      <c r="AC11" s="68">
        <v>1805</v>
      </c>
      <c r="AD11" s="68">
        <v>1712</v>
      </c>
      <c r="AE11" s="68">
        <f>AF11-AD11-AC11-AB11</f>
        <v>1742</v>
      </c>
      <c r="AF11" s="36">
        <v>7047</v>
      </c>
      <c r="AG11" s="68">
        <v>1608</v>
      </c>
      <c r="AH11" s="68">
        <v>1522</v>
      </c>
      <c r="AI11" s="68">
        <v>1588</v>
      </c>
      <c r="AJ11" s="68">
        <f>AK11-AI11-AH11-AG11</f>
        <v>1482</v>
      </c>
      <c r="AK11" s="36">
        <v>6200</v>
      </c>
      <c r="AL11" s="68">
        <v>1459</v>
      </c>
      <c r="AM11" s="68">
        <v>1396</v>
      </c>
      <c r="AN11" s="68">
        <v>1373</v>
      </c>
      <c r="AO11" s="68">
        <f>AP11-AN11-AM11-AL11</f>
        <v>1379</v>
      </c>
      <c r="AP11" s="36">
        <v>5607</v>
      </c>
      <c r="AQ11" s="68">
        <v>1316</v>
      </c>
      <c r="AR11" s="68">
        <v>1257</v>
      </c>
      <c r="AS11" s="68">
        <v>1297</v>
      </c>
      <c r="AT11" s="68">
        <f>AU11-AS11-AR11-AQ11</f>
        <v>1136</v>
      </c>
      <c r="AU11" s="36">
        <v>5006</v>
      </c>
      <c r="AV11" s="68">
        <v>1177</v>
      </c>
      <c r="AW11" s="68">
        <v>1098</v>
      </c>
      <c r="AX11" s="68">
        <v>1132</v>
      </c>
      <c r="AY11" s="68">
        <f>AZ11-AX11-AW11-AV11</f>
        <v>1068</v>
      </c>
      <c r="AZ11" s="36">
        <v>4475</v>
      </c>
      <c r="BA11" s="68">
        <v>1055</v>
      </c>
      <c r="BB11" s="68">
        <v>1010</v>
      </c>
      <c r="BC11" s="68">
        <v>960</v>
      </c>
      <c r="BD11" s="68">
        <f>BE11-BC11-BB11-BA11</f>
        <v>989</v>
      </c>
      <c r="BE11" s="36">
        <v>4014</v>
      </c>
      <c r="BF11" s="68">
        <v>926</v>
      </c>
      <c r="BG11" s="68">
        <v>865</v>
      </c>
      <c r="BH11" s="68">
        <v>888</v>
      </c>
      <c r="BI11" s="68">
        <f>BJ11-BH11-BG11-BF11</f>
        <v>820</v>
      </c>
      <c r="BJ11" s="36">
        <v>3499</v>
      </c>
      <c r="BK11" s="68">
        <v>883</v>
      </c>
    </row>
    <row r="12" spans="1:202">
      <c r="A12" s="69" t="s">
        <v>7</v>
      </c>
      <c r="B12" s="23"/>
      <c r="C12" s="70"/>
      <c r="D12" s="70">
        <f>D11/C11-1</f>
        <v>-4.8085228908724464E-2</v>
      </c>
      <c r="E12" s="70">
        <f>E11/D11-1</f>
        <v>2.2081064730792521E-2</v>
      </c>
      <c r="F12" s="70">
        <f>F11/E11-1</f>
        <v>-8.1680970701390909E-2</v>
      </c>
      <c r="G12" s="23"/>
      <c r="H12" s="70">
        <f>H11/F11-1</f>
        <v>-8.3789880760554158E-3</v>
      </c>
      <c r="I12" s="70">
        <f>I11/H11-1</f>
        <v>-3.412414689632759E-2</v>
      </c>
      <c r="J12" s="70">
        <f>J11/I11-1</f>
        <v>2.6581426648721429E-2</v>
      </c>
      <c r="K12" s="70">
        <f>K11/J11-1</f>
        <v>-4.3920026220911179E-2</v>
      </c>
      <c r="L12" s="26"/>
      <c r="M12" s="70">
        <f>M11/K11-1</f>
        <v>-6.3421323277339736E-2</v>
      </c>
      <c r="N12" s="70">
        <f>N11/M11-1</f>
        <v>-5.4904831625183226E-3</v>
      </c>
      <c r="O12" s="70">
        <f>O11/N11-1</f>
        <v>-3.2388663967611309E-2</v>
      </c>
      <c r="P12" s="70">
        <f>P11/O11-1</f>
        <v>-3.042982122479998E-3</v>
      </c>
      <c r="Q12" s="26"/>
      <c r="R12" s="70">
        <f>R11/P11-1</f>
        <v>-3.815337657382678E-2</v>
      </c>
      <c r="S12" s="70">
        <f>S11/R11-1</f>
        <v>-4.2046806822689464E-2</v>
      </c>
      <c r="T12" s="70">
        <f>T11/S11-1</f>
        <v>2.7743271221532195E-2</v>
      </c>
      <c r="U12" s="70">
        <f>U11/T11-1</f>
        <v>-5.7614826752618864E-2</v>
      </c>
      <c r="V12" s="26"/>
      <c r="W12" s="70">
        <f>W11/U11-1</f>
        <v>8.9781958101753379E-3</v>
      </c>
      <c r="X12" s="70">
        <f>X11/W11-1</f>
        <v>-5.5932203389830515E-2</v>
      </c>
      <c r="Y12" s="70">
        <f>Y11/X11-1</f>
        <v>-4.5332136445242366E-2</v>
      </c>
      <c r="Z12" s="70">
        <f>Z11/Y11-1</f>
        <v>-6.9581570286788907E-2</v>
      </c>
      <c r="AA12" s="26"/>
      <c r="AB12" s="70">
        <f>AB11/Z11-1</f>
        <v>-9.6513390601313809E-2</v>
      </c>
      <c r="AC12" s="70">
        <f>AC11/AB11-1</f>
        <v>9.5078299776285569E-3</v>
      </c>
      <c r="AD12" s="70">
        <f>AD11/AC11-1</f>
        <v>-5.1523545706371188E-2</v>
      </c>
      <c r="AE12" s="70">
        <f>AE11/AD11-1</f>
        <v>1.7523364485981352E-2</v>
      </c>
      <c r="AF12" s="26"/>
      <c r="AG12" s="70">
        <f>AG11/AE11-1</f>
        <v>-7.6923076923076872E-2</v>
      </c>
      <c r="AH12" s="70">
        <f>AH11/AG11-1</f>
        <v>-5.3482587064676568E-2</v>
      </c>
      <c r="AI12" s="70">
        <f>AI11/AH11-1</f>
        <v>4.3363994743758294E-2</v>
      </c>
      <c r="AJ12" s="70">
        <f>AJ11/AI11-1</f>
        <v>-6.6750629722921895E-2</v>
      </c>
      <c r="AK12" s="26"/>
      <c r="AL12" s="70">
        <f>AL11/AJ11-1</f>
        <v>-1.5519568151147078E-2</v>
      </c>
      <c r="AM12" s="70">
        <f>AM11/AL11-1</f>
        <v>-4.3180260452364672E-2</v>
      </c>
      <c r="AN12" s="70">
        <f>AN11/AM11-1</f>
        <v>-1.6475644699140424E-2</v>
      </c>
      <c r="AO12" s="70">
        <f>AO11/AN11-1</f>
        <v>4.3699927166787056E-3</v>
      </c>
      <c r="AP12" s="26"/>
      <c r="AQ12" s="70">
        <f>AQ11/AO11-1</f>
        <v>-4.5685279187817285E-2</v>
      </c>
      <c r="AR12" s="70">
        <f>AR11/AQ11-1</f>
        <v>-4.4832826747720378E-2</v>
      </c>
      <c r="AS12" s="70">
        <f>AS11/AR11-1</f>
        <v>3.1821797931583129E-2</v>
      </c>
      <c r="AT12" s="70">
        <f>AT11/AS11-1</f>
        <v>-0.12413261372397844</v>
      </c>
      <c r="AU12" s="26"/>
      <c r="AV12" s="70">
        <f>AV11/AT11-1</f>
        <v>3.6091549295774739E-2</v>
      </c>
      <c r="AW12" s="70">
        <f>AW11/AV11-1</f>
        <v>-6.7119796091758666E-2</v>
      </c>
      <c r="AX12" s="70">
        <f>AX11/AW11-1</f>
        <v>3.0965391621129434E-2</v>
      </c>
      <c r="AY12" s="70">
        <f>AY11/AX11-1</f>
        <v>-5.6537102473498191E-2</v>
      </c>
      <c r="AZ12" s="26"/>
      <c r="BA12" s="70">
        <f>BA11/AY11-1</f>
        <v>-1.2172284644194731E-2</v>
      </c>
      <c r="BB12" s="70">
        <f>BB11/BA11-1</f>
        <v>-4.2654028436018954E-2</v>
      </c>
      <c r="BC12" s="70">
        <f>BC11/BB11-1</f>
        <v>-4.9504950495049549E-2</v>
      </c>
      <c r="BD12" s="70">
        <f>BD11/BC11-1</f>
        <v>3.0208333333333393E-2</v>
      </c>
      <c r="BE12" s="26"/>
      <c r="BF12" s="70">
        <f>BF11/BD11-1</f>
        <v>-6.3700707785642074E-2</v>
      </c>
      <c r="BG12" s="70">
        <f>BG11/BF11-1</f>
        <v>-6.5874730021598271E-2</v>
      </c>
      <c r="BH12" s="70">
        <f>BH11/BG11-1</f>
        <v>2.6589595375722475E-2</v>
      </c>
      <c r="BI12" s="70">
        <f>BI11/BH11-1</f>
        <v>-7.6576576576576572E-2</v>
      </c>
      <c r="BJ12" s="26"/>
      <c r="BK12" s="70">
        <f>BK11/BI11-1</f>
        <v>7.6829268292682995E-2</v>
      </c>
    </row>
    <row r="13" spans="1:202">
      <c r="A13" s="69" t="s">
        <v>8</v>
      </c>
      <c r="B13" s="23"/>
      <c r="C13" s="71"/>
      <c r="D13" s="71"/>
      <c r="E13" s="71"/>
      <c r="F13" s="71"/>
      <c r="G13" s="23">
        <f t="shared" ref="G13:N13" si="0">G11/B11-1</f>
        <v>-9.8633675480932603E-2</v>
      </c>
      <c r="H13" s="71">
        <f t="shared" si="0"/>
        <v>-0.11402245896919094</v>
      </c>
      <c r="I13" s="71">
        <f t="shared" si="0"/>
        <v>-0.10102843315184518</v>
      </c>
      <c r="J13" s="71">
        <f t="shared" si="0"/>
        <v>-9.7070139094406649E-2</v>
      </c>
      <c r="K13" s="70">
        <f t="shared" si="0"/>
        <v>-5.9941991621011881E-2</v>
      </c>
      <c r="L13" s="23">
        <f t="shared" si="0"/>
        <v>-9.3740573152337858E-2</v>
      </c>
      <c r="M13" s="71">
        <f t="shared" si="0"/>
        <v>-0.11212219694507641</v>
      </c>
      <c r="N13" s="71">
        <f t="shared" si="0"/>
        <v>-8.5800807537012136E-2</v>
      </c>
      <c r="O13" s="71">
        <f t="shared" ref="O13:Y13" si="1">O11/J11-1</f>
        <v>-0.13831530645689938</v>
      </c>
      <c r="P13" s="70">
        <f t="shared" si="1"/>
        <v>-0.10147411724374356</v>
      </c>
      <c r="Q13" s="23">
        <f t="shared" si="1"/>
        <v>-0.10967795622867604</v>
      </c>
      <c r="R13" s="71">
        <f t="shared" si="1"/>
        <v>-7.7232796486090827E-2</v>
      </c>
      <c r="S13" s="71">
        <f t="shared" si="1"/>
        <v>-0.11115200588884799</v>
      </c>
      <c r="T13" s="71">
        <f t="shared" si="1"/>
        <v>-5.5914796500570518E-2</v>
      </c>
      <c r="U13" s="70">
        <f t="shared" si="1"/>
        <v>-0.10759252193819158</v>
      </c>
      <c r="V13" s="23">
        <f t="shared" si="1"/>
        <v>-8.7952145060286036E-2</v>
      </c>
      <c r="W13" s="71">
        <f t="shared" si="1"/>
        <v>-6.3863546211820665E-2</v>
      </c>
      <c r="X13" s="71">
        <f t="shared" si="1"/>
        <v>-7.7432712215320887E-2</v>
      </c>
      <c r="Y13" s="71">
        <f t="shared" si="1"/>
        <v>-0.14302981466559228</v>
      </c>
      <c r="Z13" s="70">
        <f t="shared" ref="Z13:AI13" si="2">Z11/U11-1</f>
        <v>-0.15391192817443355</v>
      </c>
      <c r="AA13" s="23">
        <f t="shared" si="2"/>
        <v>-0.10903873744619796</v>
      </c>
      <c r="AB13" s="71">
        <f t="shared" si="2"/>
        <v>-0.24237288135593216</v>
      </c>
      <c r="AC13" s="71">
        <f t="shared" si="2"/>
        <v>-0.18985637342908435</v>
      </c>
      <c r="AD13" s="71">
        <f t="shared" si="2"/>
        <v>-0.19511048425011757</v>
      </c>
      <c r="AE13" s="70">
        <f t="shared" si="2"/>
        <v>-0.11975745325922182</v>
      </c>
      <c r="AF13" s="23">
        <f t="shared" si="2"/>
        <v>-0.18944099378881984</v>
      </c>
      <c r="AG13" s="71">
        <f t="shared" si="2"/>
        <v>-0.10067114093959728</v>
      </c>
      <c r="AH13" s="71">
        <f t="shared" si="2"/>
        <v>-0.15678670360110802</v>
      </c>
      <c r="AI13" s="71">
        <f t="shared" si="2"/>
        <v>-7.2429906542056055E-2</v>
      </c>
      <c r="AJ13" s="70">
        <f t="shared" ref="AJ13:AS13" si="3">AJ11/AE11-1</f>
        <v>-0.14925373134328357</v>
      </c>
      <c r="AK13" s="23">
        <f t="shared" si="3"/>
        <v>-0.12019298992479066</v>
      </c>
      <c r="AL13" s="71">
        <f t="shared" si="3"/>
        <v>-9.2661691542288538E-2</v>
      </c>
      <c r="AM13" s="71">
        <f t="shared" si="3"/>
        <v>-8.2785808147174733E-2</v>
      </c>
      <c r="AN13" s="71">
        <f t="shared" si="3"/>
        <v>-0.13539042821158687</v>
      </c>
      <c r="AO13" s="70">
        <f t="shared" si="3"/>
        <v>-6.9500674763832704E-2</v>
      </c>
      <c r="AP13" s="23">
        <f t="shared" si="3"/>
        <v>-9.5645161290322633E-2</v>
      </c>
      <c r="AQ13" s="71">
        <f t="shared" si="3"/>
        <v>-9.8012337217272094E-2</v>
      </c>
      <c r="AR13" s="71">
        <f t="shared" si="3"/>
        <v>-9.957020057306587E-2</v>
      </c>
      <c r="AS13" s="71">
        <f t="shared" si="3"/>
        <v>-5.5353241077931492E-2</v>
      </c>
      <c r="AT13" s="70">
        <f t="shared" ref="AT13" si="4">AT11/AO11-1</f>
        <v>-0.17621464829586653</v>
      </c>
      <c r="AU13" s="23">
        <f t="shared" ref="AU13:AX13" si="5">AU11/AP11-1</f>
        <v>-0.10718744426609594</v>
      </c>
      <c r="AV13" s="71">
        <f t="shared" si="5"/>
        <v>-0.10562310030395139</v>
      </c>
      <c r="AW13" s="71">
        <f t="shared" si="5"/>
        <v>-0.12649164677804292</v>
      </c>
      <c r="AX13" s="71">
        <f t="shared" si="5"/>
        <v>-0.1272166538164996</v>
      </c>
      <c r="AY13" s="70">
        <f t="shared" ref="AY13" si="6">AY11/AT11-1</f>
        <v>-5.9859154929577496E-2</v>
      </c>
      <c r="AZ13" s="23">
        <f t="shared" ref="AZ13:BC13" si="7">AZ11/AU11-1</f>
        <v>-0.10607271274470631</v>
      </c>
      <c r="BA13" s="71">
        <f t="shared" si="7"/>
        <v>-0.10365335598980463</v>
      </c>
      <c r="BB13" s="71">
        <f t="shared" si="7"/>
        <v>-8.0145719489981837E-2</v>
      </c>
      <c r="BC13" s="71">
        <f t="shared" si="7"/>
        <v>-0.15194346289752647</v>
      </c>
      <c r="BD13" s="70">
        <f t="shared" ref="BD13" si="8">BD11/AY11-1</f>
        <v>-7.3970037453183535E-2</v>
      </c>
      <c r="BE13" s="23">
        <f t="shared" ref="BE13:BH13" si="9">BE11/AZ11-1</f>
        <v>-0.10301675977653635</v>
      </c>
      <c r="BF13" s="71">
        <f t="shared" si="9"/>
        <v>-0.12227488151658772</v>
      </c>
      <c r="BG13" s="71">
        <f t="shared" si="9"/>
        <v>-0.14356435643564358</v>
      </c>
      <c r="BH13" s="71">
        <f t="shared" si="9"/>
        <v>-7.4999999999999956E-2</v>
      </c>
      <c r="BI13" s="70">
        <f t="shared" ref="BI13" si="10">BI11/BD11-1</f>
        <v>-0.17087967644084934</v>
      </c>
      <c r="BJ13" s="23">
        <f t="shared" ref="BJ13:BK13" si="11">BJ11/BE11-1</f>
        <v>-0.12830094668659686</v>
      </c>
      <c r="BK13" s="71">
        <f t="shared" si="11"/>
        <v>-4.643628509719222E-2</v>
      </c>
    </row>
    <row r="14" spans="1:202">
      <c r="A14" s="69"/>
      <c r="B14" s="23"/>
      <c r="C14" s="71"/>
      <c r="D14" s="71"/>
      <c r="E14" s="71"/>
      <c r="F14" s="71"/>
      <c r="G14" s="23"/>
      <c r="H14" s="71"/>
      <c r="I14" s="71"/>
      <c r="J14" s="71"/>
      <c r="K14" s="70"/>
      <c r="L14" s="23"/>
      <c r="M14" s="71"/>
      <c r="N14" s="71"/>
      <c r="O14" s="71"/>
      <c r="P14" s="70"/>
      <c r="Q14" s="23"/>
      <c r="R14" s="71"/>
      <c r="S14" s="71"/>
      <c r="T14" s="71"/>
      <c r="U14" s="70"/>
      <c r="V14" s="23"/>
      <c r="W14" s="71"/>
      <c r="X14" s="71"/>
      <c r="Y14" s="71"/>
      <c r="Z14" s="70"/>
      <c r="AA14" s="23"/>
      <c r="AB14" s="71"/>
      <c r="AC14" s="71"/>
      <c r="AD14" s="71"/>
      <c r="AE14" s="70"/>
      <c r="AF14" s="23"/>
      <c r="AG14" s="71"/>
      <c r="AH14" s="71"/>
      <c r="AI14" s="71"/>
      <c r="AJ14" s="70"/>
      <c r="AK14" s="23"/>
      <c r="AL14" s="71"/>
      <c r="AM14" s="71"/>
      <c r="AN14" s="71"/>
      <c r="AO14" s="70"/>
      <c r="AP14" s="23"/>
      <c r="AQ14" s="71"/>
      <c r="AR14" s="71"/>
      <c r="AS14" s="71"/>
      <c r="AT14" s="70"/>
      <c r="AU14" s="23"/>
      <c r="AV14" s="71"/>
      <c r="AW14" s="71"/>
      <c r="AX14" s="71"/>
      <c r="AY14" s="70"/>
      <c r="AZ14" s="23"/>
      <c r="BA14" s="71"/>
      <c r="BB14" s="71"/>
      <c r="BC14" s="71"/>
      <c r="BD14" s="70"/>
      <c r="BE14" s="23"/>
      <c r="BF14" s="71"/>
      <c r="BG14" s="71"/>
      <c r="BH14" s="71"/>
      <c r="BI14" s="70"/>
      <c r="BJ14" s="23"/>
      <c r="BK14" s="71"/>
    </row>
    <row r="15" spans="1:202">
      <c r="A15" s="67" t="s">
        <v>43</v>
      </c>
      <c r="B15" s="37">
        <v>6411</v>
      </c>
      <c r="C15" s="86">
        <v>1673</v>
      </c>
      <c r="D15" s="86">
        <v>1651</v>
      </c>
      <c r="E15" s="86">
        <v>1719</v>
      </c>
      <c r="F15" s="68">
        <f>G15-E15-D15-C15</f>
        <v>1648</v>
      </c>
      <c r="G15" s="37">
        <v>6691</v>
      </c>
      <c r="H15" s="86">
        <v>1654</v>
      </c>
      <c r="I15" s="86">
        <v>1659</v>
      </c>
      <c r="J15" s="86">
        <v>1731</v>
      </c>
      <c r="K15" s="68">
        <f>L15-J15-I15-H15</f>
        <v>1674</v>
      </c>
      <c r="L15" s="36">
        <v>6718</v>
      </c>
      <c r="M15" s="86">
        <v>1623</v>
      </c>
      <c r="N15" s="86">
        <v>1634</v>
      </c>
      <c r="O15" s="86">
        <v>1646</v>
      </c>
      <c r="P15" s="68">
        <f>Q15-O15-N15-M15</f>
        <v>1644</v>
      </c>
      <c r="Q15" s="36">
        <v>6547</v>
      </c>
      <c r="R15" s="86">
        <v>1577</v>
      </c>
      <c r="S15" s="86">
        <v>1535</v>
      </c>
      <c r="T15" s="86">
        <v>1602</v>
      </c>
      <c r="U15" s="68">
        <f>V15-T15-S15-R15</f>
        <v>1526</v>
      </c>
      <c r="V15" s="36">
        <v>6240</v>
      </c>
      <c r="W15" s="86">
        <v>1543</v>
      </c>
      <c r="X15" s="86">
        <v>1516</v>
      </c>
      <c r="Y15" s="86">
        <v>1595</v>
      </c>
      <c r="Z15" s="68">
        <f>AA15-Y15-X15-W15</f>
        <v>1571</v>
      </c>
      <c r="AA15" s="36">
        <v>6225</v>
      </c>
      <c r="AB15" s="86">
        <v>1503</v>
      </c>
      <c r="AC15" s="86">
        <v>1550</v>
      </c>
      <c r="AD15" s="86">
        <v>1521</v>
      </c>
      <c r="AE15" s="68">
        <f>AF15-AD15-AC15-AB15</f>
        <v>1541</v>
      </c>
      <c r="AF15" s="36">
        <v>6115</v>
      </c>
      <c r="AG15" s="86">
        <v>1467</v>
      </c>
      <c r="AH15" s="86">
        <v>1424</v>
      </c>
      <c r="AI15" s="86">
        <v>1498</v>
      </c>
      <c r="AJ15" s="68">
        <f>AK15-AI15-AH15-AG15</f>
        <v>1440</v>
      </c>
      <c r="AK15" s="36">
        <v>5829</v>
      </c>
      <c r="AL15" s="86">
        <v>1429</v>
      </c>
      <c r="AM15" s="86">
        <v>1386</v>
      </c>
      <c r="AN15" s="86">
        <v>1410</v>
      </c>
      <c r="AO15" s="68">
        <f>AP15-AN15-AM15-AL15</f>
        <v>1403</v>
      </c>
      <c r="AP15" s="36">
        <v>5628</v>
      </c>
      <c r="AQ15" s="86">
        <v>1348</v>
      </c>
      <c r="AR15" s="86">
        <v>1314</v>
      </c>
      <c r="AS15" s="86">
        <v>1383</v>
      </c>
      <c r="AT15" s="68">
        <f>AU15-AS15-AR15-AQ15</f>
        <v>1252</v>
      </c>
      <c r="AU15" s="36">
        <v>5297</v>
      </c>
      <c r="AV15" s="86">
        <v>1281</v>
      </c>
      <c r="AW15" s="86">
        <v>1220</v>
      </c>
      <c r="AX15" s="86">
        <v>1266</v>
      </c>
      <c r="AY15" s="68">
        <f>AZ15-AX15-AW15-AV15</f>
        <v>1205</v>
      </c>
      <c r="AZ15" s="36">
        <v>4972</v>
      </c>
      <c r="BA15" s="86">
        <v>1191</v>
      </c>
      <c r="BB15" s="86">
        <v>1151</v>
      </c>
      <c r="BC15" s="86">
        <v>1125</v>
      </c>
      <c r="BD15" s="68">
        <f>BE15-BC15-BB15-BA15</f>
        <v>1160</v>
      </c>
      <c r="BE15" s="36">
        <v>4627</v>
      </c>
      <c r="BF15" s="86">
        <v>1090</v>
      </c>
      <c r="BG15" s="86">
        <v>1056</v>
      </c>
      <c r="BH15" s="86">
        <v>1099</v>
      </c>
      <c r="BI15" s="68">
        <f>BJ15-BH15-BG15-BF15</f>
        <v>1046</v>
      </c>
      <c r="BJ15" s="36">
        <v>4291</v>
      </c>
      <c r="BK15" s="86">
        <v>1120</v>
      </c>
    </row>
    <row r="16" spans="1:202">
      <c r="A16" s="69" t="s">
        <v>7</v>
      </c>
      <c r="B16" s="23"/>
      <c r="C16" s="70"/>
      <c r="D16" s="70">
        <f>D15/C15-1</f>
        <v>-1.3150029886431547E-2</v>
      </c>
      <c r="E16" s="70">
        <f>E15/D15-1</f>
        <v>4.1187159297395581E-2</v>
      </c>
      <c r="F16" s="70">
        <f>F15/E15-1</f>
        <v>-4.1303083187899992E-2</v>
      </c>
      <c r="G16" s="23"/>
      <c r="H16" s="70">
        <f>H15/F15-1</f>
        <v>3.6407766990291801E-3</v>
      </c>
      <c r="I16" s="70">
        <f>I15/H15-1</f>
        <v>3.0229746070133956E-3</v>
      </c>
      <c r="J16" s="70">
        <f>J15/I15-1</f>
        <v>4.3399638336347302E-2</v>
      </c>
      <c r="K16" s="70">
        <f>K15/J15-1</f>
        <v>-3.2928942807625705E-2</v>
      </c>
      <c r="L16" s="26"/>
      <c r="M16" s="70">
        <f>M15/K15-1</f>
        <v>-3.046594982078854E-2</v>
      </c>
      <c r="N16" s="70">
        <f>N15/M15-1</f>
        <v>6.7775723967959944E-3</v>
      </c>
      <c r="O16" s="70">
        <f>O15/N15-1</f>
        <v>7.3439412484699318E-3</v>
      </c>
      <c r="P16" s="70">
        <f>P15/O15-1</f>
        <v>-1.2150668286755595E-3</v>
      </c>
      <c r="Q16" s="26"/>
      <c r="R16" s="70">
        <f>R15/P15-1</f>
        <v>-4.0754257907542613E-2</v>
      </c>
      <c r="S16" s="70">
        <f>S15/R15-1</f>
        <v>-2.6632847178186481E-2</v>
      </c>
      <c r="T16" s="70">
        <f>T15/S15-1</f>
        <v>4.3648208469055483E-2</v>
      </c>
      <c r="U16" s="70">
        <f>U15/T15-1</f>
        <v>-4.7440699126092389E-2</v>
      </c>
      <c r="V16" s="26"/>
      <c r="W16" s="70">
        <f>W15/U15-1</f>
        <v>1.1140235910878094E-2</v>
      </c>
      <c r="X16" s="70">
        <f>X15/W15-1</f>
        <v>-1.7498379779650075E-2</v>
      </c>
      <c r="Y16" s="70">
        <f>Y15/X15-1</f>
        <v>5.2110817941952492E-2</v>
      </c>
      <c r="Z16" s="70">
        <f>Z15/Y15-1</f>
        <v>-1.5047021943573657E-2</v>
      </c>
      <c r="AA16" s="26"/>
      <c r="AB16" s="70">
        <f>AB15/Z15-1</f>
        <v>-4.3284532145130505E-2</v>
      </c>
      <c r="AC16" s="70">
        <f>AC15/AB15-1</f>
        <v>3.1270791749833604E-2</v>
      </c>
      <c r="AD16" s="70">
        <f>AD15/AC15-1</f>
        <v>-1.8709677419354809E-2</v>
      </c>
      <c r="AE16" s="70">
        <f>AE15/AD15-1</f>
        <v>1.3149243918474607E-2</v>
      </c>
      <c r="AF16" s="26"/>
      <c r="AG16" s="70">
        <f>AG15/AE15-1</f>
        <v>-4.8020765736534687E-2</v>
      </c>
      <c r="AH16" s="70">
        <f>AH15/AG15-1</f>
        <v>-2.9311520109066125E-2</v>
      </c>
      <c r="AI16" s="70">
        <f>AI15/AH15-1</f>
        <v>5.1966292134831393E-2</v>
      </c>
      <c r="AJ16" s="70">
        <f>AJ15/AI15-1</f>
        <v>-3.8718291054739673E-2</v>
      </c>
      <c r="AK16" s="26"/>
      <c r="AL16" s="70">
        <f>AL15/AJ15-1</f>
        <v>-7.6388888888888618E-3</v>
      </c>
      <c r="AM16" s="70">
        <f>AM15/AL15-1</f>
        <v>-3.0090972708187502E-2</v>
      </c>
      <c r="AN16" s="70">
        <f>AN15/AM15-1</f>
        <v>1.7316017316017396E-2</v>
      </c>
      <c r="AO16" s="70">
        <f>AO15/AN15-1</f>
        <v>-4.9645390070921502E-3</v>
      </c>
      <c r="AP16" s="26"/>
      <c r="AQ16" s="70">
        <f>AQ15/AO15-1</f>
        <v>-3.9201710620099806E-2</v>
      </c>
      <c r="AR16" s="70">
        <f>AR15/AQ15-1</f>
        <v>-2.5222551928783421E-2</v>
      </c>
      <c r="AS16" s="70">
        <f>AS15/AR15-1</f>
        <v>5.2511415525114069E-2</v>
      </c>
      <c r="AT16" s="70">
        <f>AT15/AS15-1</f>
        <v>-9.4721619667389678E-2</v>
      </c>
      <c r="AU16" s="26"/>
      <c r="AV16" s="70">
        <f>AV15/AT15-1</f>
        <v>2.3162939297124652E-2</v>
      </c>
      <c r="AW16" s="70">
        <f>AW15/AV15-1</f>
        <v>-4.7619047619047672E-2</v>
      </c>
      <c r="AX16" s="70">
        <f>AX15/AW15-1</f>
        <v>3.770491803278686E-2</v>
      </c>
      <c r="AY16" s="70">
        <f>AY15/AX15-1</f>
        <v>-4.8183254344391746E-2</v>
      </c>
      <c r="AZ16" s="26"/>
      <c r="BA16" s="70">
        <f>BA15/AY15-1</f>
        <v>-1.1618257261410747E-2</v>
      </c>
      <c r="BB16" s="70">
        <f>BB15/BA15-1</f>
        <v>-3.3585222502099055E-2</v>
      </c>
      <c r="BC16" s="70">
        <f>BC15/BB15-1</f>
        <v>-2.2589052997393555E-2</v>
      </c>
      <c r="BD16" s="70">
        <f>BD15/BC15-1</f>
        <v>3.1111111111111089E-2</v>
      </c>
      <c r="BE16" s="26"/>
      <c r="BF16" s="70">
        <f>BF15/BD15-1</f>
        <v>-6.0344827586206851E-2</v>
      </c>
      <c r="BG16" s="70">
        <f>BG15/BF15-1</f>
        <v>-3.1192660550458662E-2</v>
      </c>
      <c r="BH16" s="70">
        <f>BH15/BG15-1</f>
        <v>4.0719696969697017E-2</v>
      </c>
      <c r="BI16" s="70">
        <f>BI15/BH15-1</f>
        <v>-4.8225659690627865E-2</v>
      </c>
      <c r="BJ16" s="26"/>
      <c r="BK16" s="70">
        <f>BK15/BI15-1</f>
        <v>7.074569789674956E-2</v>
      </c>
    </row>
    <row r="17" spans="1:63">
      <c r="A17" s="69" t="s">
        <v>8</v>
      </c>
      <c r="B17" s="23"/>
      <c r="C17" s="71"/>
      <c r="D17" s="71"/>
      <c r="E17" s="71"/>
      <c r="F17" s="71"/>
      <c r="G17" s="23">
        <f t="shared" ref="G17:N17" si="12">G15/B15-1</f>
        <v>4.3674933707689823E-2</v>
      </c>
      <c r="H17" s="71">
        <f t="shared" si="12"/>
        <v>-1.1356843992827215E-2</v>
      </c>
      <c r="I17" s="71">
        <f t="shared" si="12"/>
        <v>4.8455481526348265E-3</v>
      </c>
      <c r="J17" s="71">
        <f t="shared" si="12"/>
        <v>6.9808027923210503E-3</v>
      </c>
      <c r="K17" s="70">
        <f t="shared" si="12"/>
        <v>1.5776699029126151E-2</v>
      </c>
      <c r="L17" s="23">
        <f t="shared" si="12"/>
        <v>4.0352712599014406E-3</v>
      </c>
      <c r="M17" s="71">
        <f t="shared" si="12"/>
        <v>-1.8742442563482453E-2</v>
      </c>
      <c r="N17" s="71">
        <f t="shared" si="12"/>
        <v>-1.5069318866787196E-2</v>
      </c>
      <c r="O17" s="71">
        <f t="shared" ref="O17:Y17" si="13">O15/J15-1</f>
        <v>-4.9104563835932979E-2</v>
      </c>
      <c r="P17" s="70">
        <f t="shared" si="13"/>
        <v>-1.7921146953404965E-2</v>
      </c>
      <c r="Q17" s="23">
        <f t="shared" si="13"/>
        <v>-2.5454004167907107E-2</v>
      </c>
      <c r="R17" s="71">
        <f t="shared" si="13"/>
        <v>-2.8342575477510734E-2</v>
      </c>
      <c r="S17" s="71">
        <f t="shared" si="13"/>
        <v>-6.0587515299877603E-2</v>
      </c>
      <c r="T17" s="71">
        <f t="shared" si="13"/>
        <v>-2.6731470230862753E-2</v>
      </c>
      <c r="U17" s="70">
        <f t="shared" si="13"/>
        <v>-7.1776155717761525E-2</v>
      </c>
      <c r="V17" s="23">
        <f t="shared" si="13"/>
        <v>-4.6891706124942756E-2</v>
      </c>
      <c r="W17" s="71">
        <f t="shared" si="13"/>
        <v>-2.1559923906150913E-2</v>
      </c>
      <c r="X17" s="71">
        <f t="shared" si="13"/>
        <v>-1.2377850162866411E-2</v>
      </c>
      <c r="Y17" s="71">
        <f t="shared" si="13"/>
        <v>-4.3695380774032566E-3</v>
      </c>
      <c r="Z17" s="70">
        <f t="shared" ref="Z17:AI17" si="14">Z15/U15-1</f>
        <v>2.9488859764089215E-2</v>
      </c>
      <c r="AA17" s="23">
        <f t="shared" si="14"/>
        <v>-2.4038461538461453E-3</v>
      </c>
      <c r="AB17" s="71">
        <f t="shared" si="14"/>
        <v>-2.5923525599481523E-2</v>
      </c>
      <c r="AC17" s="71">
        <f t="shared" si="14"/>
        <v>2.2427440633245421E-2</v>
      </c>
      <c r="AD17" s="71">
        <f t="shared" si="14"/>
        <v>-4.6394984326018851E-2</v>
      </c>
      <c r="AE17" s="70">
        <f t="shared" si="14"/>
        <v>-1.9096117122851641E-2</v>
      </c>
      <c r="AF17" s="23">
        <f t="shared" si="14"/>
        <v>-1.7670682730923648E-2</v>
      </c>
      <c r="AG17" s="71">
        <f t="shared" si="14"/>
        <v>-2.39520958083832E-2</v>
      </c>
      <c r="AH17" s="71">
        <f t="shared" si="14"/>
        <v>-8.1290322580645169E-2</v>
      </c>
      <c r="AI17" s="71">
        <f t="shared" si="14"/>
        <v>-1.5121630506245931E-2</v>
      </c>
      <c r="AJ17" s="70">
        <f t="shared" ref="AJ17:AS17" si="15">AJ15/AE15-1</f>
        <v>-6.5541855937702787E-2</v>
      </c>
      <c r="AK17" s="23">
        <f t="shared" si="15"/>
        <v>-4.6770237121831593E-2</v>
      </c>
      <c r="AL17" s="71">
        <f t="shared" si="15"/>
        <v>-2.5903203817314258E-2</v>
      </c>
      <c r="AM17" s="71">
        <f t="shared" si="15"/>
        <v>-2.6685393258427004E-2</v>
      </c>
      <c r="AN17" s="71">
        <f t="shared" si="15"/>
        <v>-5.8744993324432615E-2</v>
      </c>
      <c r="AO17" s="70">
        <f t="shared" si="15"/>
        <v>-2.5694444444444464E-2</v>
      </c>
      <c r="AP17" s="23">
        <f t="shared" si="15"/>
        <v>-3.4482758620689613E-2</v>
      </c>
      <c r="AQ17" s="71">
        <f t="shared" si="15"/>
        <v>-5.6682995101469569E-2</v>
      </c>
      <c r="AR17" s="71">
        <f t="shared" si="15"/>
        <v>-5.1948051948051965E-2</v>
      </c>
      <c r="AS17" s="71">
        <f t="shared" si="15"/>
        <v>-1.9148936170212738E-2</v>
      </c>
      <c r="AT17" s="70">
        <f t="shared" ref="AT17" si="16">AT15/AO15-1</f>
        <v>-0.10762651461154671</v>
      </c>
      <c r="AU17" s="23">
        <f t="shared" ref="AU17:AX17" si="17">AU15/AP15-1</f>
        <v>-5.8813077469793917E-2</v>
      </c>
      <c r="AV17" s="71">
        <f t="shared" si="17"/>
        <v>-4.9703264094955513E-2</v>
      </c>
      <c r="AW17" s="71">
        <f t="shared" si="17"/>
        <v>-7.1537290715372959E-2</v>
      </c>
      <c r="AX17" s="71">
        <f t="shared" si="17"/>
        <v>-8.4598698481561874E-2</v>
      </c>
      <c r="AY17" s="70">
        <f t="shared" ref="AY17" si="18">AY15/AT15-1</f>
        <v>-3.7539936102236382E-2</v>
      </c>
      <c r="AZ17" s="23">
        <f t="shared" ref="AZ17:BC17" si="19">AZ15/AU15-1</f>
        <v>-6.1355484236360169E-2</v>
      </c>
      <c r="BA17" s="71">
        <f t="shared" si="19"/>
        <v>-7.0257611241217766E-2</v>
      </c>
      <c r="BB17" s="71">
        <f t="shared" si="19"/>
        <v>-5.6557377049180291E-2</v>
      </c>
      <c r="BC17" s="71">
        <f t="shared" si="19"/>
        <v>-0.11137440758293837</v>
      </c>
      <c r="BD17" s="70">
        <f t="shared" ref="BD17" si="20">BD15/AY15-1</f>
        <v>-3.7344398340248941E-2</v>
      </c>
      <c r="BE17" s="23">
        <f t="shared" ref="BE17:BH17" si="21">BE15/AZ15-1</f>
        <v>-6.938857602574422E-2</v>
      </c>
      <c r="BF17" s="71">
        <f t="shared" si="21"/>
        <v>-8.4802686817800121E-2</v>
      </c>
      <c r="BG17" s="71">
        <f t="shared" si="21"/>
        <v>-8.2536924413553425E-2</v>
      </c>
      <c r="BH17" s="71">
        <f t="shared" si="21"/>
        <v>-2.3111111111111082E-2</v>
      </c>
      <c r="BI17" s="70">
        <f t="shared" ref="BI17" si="22">BI15/BD15-1</f>
        <v>-9.8275862068965547E-2</v>
      </c>
      <c r="BJ17" s="23">
        <f t="shared" ref="BJ17:BK17" si="23">BJ15/BE15-1</f>
        <v>-7.2617246596066609E-2</v>
      </c>
      <c r="BK17" s="71">
        <f t="shared" si="23"/>
        <v>2.7522935779816571E-2</v>
      </c>
    </row>
    <row r="18" spans="1:63">
      <c r="A18" s="69"/>
      <c r="B18" s="23"/>
      <c r="C18" s="71"/>
      <c r="D18" s="71"/>
      <c r="E18" s="71"/>
      <c r="F18" s="71"/>
      <c r="G18" s="23"/>
      <c r="H18" s="71"/>
      <c r="I18" s="71"/>
      <c r="J18" s="71"/>
      <c r="K18" s="70"/>
      <c r="L18" s="23"/>
      <c r="M18" s="71"/>
      <c r="N18" s="71"/>
      <c r="O18" s="71"/>
      <c r="P18" s="70"/>
      <c r="Q18" s="23"/>
      <c r="R18" s="71"/>
      <c r="S18" s="71"/>
      <c r="T18" s="71"/>
      <c r="U18" s="70"/>
      <c r="V18" s="23"/>
      <c r="W18" s="71"/>
      <c r="X18" s="71"/>
      <c r="Y18" s="71"/>
      <c r="Z18" s="70"/>
      <c r="AA18" s="23">
        <v>-14</v>
      </c>
      <c r="AB18" s="71"/>
      <c r="AC18" s="71"/>
      <c r="AD18" s="71"/>
      <c r="AE18" s="70"/>
      <c r="AF18" s="23"/>
      <c r="AG18" s="71"/>
      <c r="AH18" s="71"/>
      <c r="AI18" s="71"/>
      <c r="AJ18" s="70"/>
      <c r="AK18" s="23"/>
      <c r="AL18" s="71"/>
      <c r="AM18" s="71"/>
      <c r="AN18" s="71"/>
      <c r="AO18" s="70"/>
      <c r="AP18" s="23"/>
      <c r="AQ18" s="71"/>
      <c r="AR18" s="71"/>
      <c r="AS18" s="71"/>
      <c r="AT18" s="70"/>
      <c r="AU18" s="23"/>
      <c r="AV18" s="71"/>
      <c r="AW18" s="71"/>
      <c r="AX18" s="71"/>
      <c r="AY18" s="70"/>
      <c r="AZ18" s="23"/>
      <c r="BA18" s="71"/>
      <c r="BB18" s="71"/>
      <c r="BC18" s="71"/>
      <c r="BD18" s="70"/>
      <c r="BE18" s="23"/>
      <c r="BF18" s="71"/>
      <c r="BG18" s="71"/>
      <c r="BH18" s="71"/>
      <c r="BI18" s="70"/>
      <c r="BJ18" s="23"/>
      <c r="BK18" s="71"/>
    </row>
    <row r="19" spans="1:63">
      <c r="A19" s="87" t="s">
        <v>74</v>
      </c>
      <c r="B19" s="37">
        <v>2749</v>
      </c>
      <c r="C19" s="74">
        <v>2701</v>
      </c>
      <c r="D19" s="74">
        <v>2670</v>
      </c>
      <c r="E19" s="74">
        <v>2634</v>
      </c>
      <c r="F19" s="74">
        <v>2604</v>
      </c>
      <c r="G19" s="37">
        <v>2604</v>
      </c>
      <c r="H19" s="74">
        <v>2571</v>
      </c>
      <c r="I19" s="74">
        <v>2540</v>
      </c>
      <c r="J19" s="74">
        <v>2513</v>
      </c>
      <c r="K19" s="68">
        <v>2483</v>
      </c>
      <c r="L19" s="36">
        <v>2483</v>
      </c>
      <c r="M19" s="74">
        <v>2454</v>
      </c>
      <c r="N19" s="74">
        <v>2422</v>
      </c>
      <c r="O19" s="74">
        <v>2394</v>
      </c>
      <c r="P19" s="68">
        <v>2366</v>
      </c>
      <c r="Q19" s="36">
        <v>2366</v>
      </c>
      <c r="R19" s="74">
        <v>2358</v>
      </c>
      <c r="S19" s="74">
        <v>2356</v>
      </c>
      <c r="T19" s="74">
        <v>2363</v>
      </c>
      <c r="U19" s="68">
        <v>2367</v>
      </c>
      <c r="V19" s="36">
        <v>2367</v>
      </c>
      <c r="W19" s="74">
        <v>2368</v>
      </c>
      <c r="X19" s="74">
        <v>2335</v>
      </c>
      <c r="Y19" s="74">
        <v>2299</v>
      </c>
      <c r="Z19" s="68">
        <v>2268</v>
      </c>
      <c r="AA19" s="36">
        <v>2268</v>
      </c>
      <c r="AB19" s="74">
        <v>2242</v>
      </c>
      <c r="AC19" s="74">
        <v>2224</v>
      </c>
      <c r="AD19" s="74">
        <v>2223</v>
      </c>
      <c r="AE19" s="68">
        <v>2216</v>
      </c>
      <c r="AF19" s="36">
        <v>2216</v>
      </c>
      <c r="AG19" s="74">
        <v>2214</v>
      </c>
      <c r="AH19" s="74">
        <v>2205</v>
      </c>
      <c r="AI19" s="74">
        <v>2205</v>
      </c>
      <c r="AJ19" s="68">
        <v>2205</v>
      </c>
      <c r="AK19" s="36">
        <v>2205</v>
      </c>
      <c r="AL19" s="74">
        <v>2125</v>
      </c>
      <c r="AM19" s="74">
        <v>2117</v>
      </c>
      <c r="AN19" s="74">
        <v>2103</v>
      </c>
      <c r="AO19" s="68">
        <v>2087</v>
      </c>
      <c r="AP19" s="36">
        <v>2087</v>
      </c>
      <c r="AQ19" s="74">
        <v>2068</v>
      </c>
      <c r="AR19" s="74">
        <v>2050</v>
      </c>
      <c r="AS19" s="74">
        <v>2031</v>
      </c>
      <c r="AT19" s="68">
        <v>2010</v>
      </c>
      <c r="AU19" s="36">
        <v>2010</v>
      </c>
      <c r="AV19" s="74">
        <v>1986</v>
      </c>
      <c r="AW19" s="74">
        <v>1961</v>
      </c>
      <c r="AX19" s="74">
        <v>1942</v>
      </c>
      <c r="AY19" s="68">
        <v>1916</v>
      </c>
      <c r="AZ19" s="36">
        <v>1916</v>
      </c>
      <c r="BA19" s="74">
        <v>1889</v>
      </c>
      <c r="BB19" s="74">
        <v>1865</v>
      </c>
      <c r="BC19" s="74">
        <v>1843</v>
      </c>
      <c r="BD19" s="68">
        <f>BE19</f>
        <v>1818</v>
      </c>
      <c r="BE19" s="36">
        <v>1818</v>
      </c>
      <c r="BF19" s="74">
        <v>1792</v>
      </c>
      <c r="BG19" s="74">
        <v>1768</v>
      </c>
      <c r="BH19" s="74">
        <v>1743</v>
      </c>
      <c r="BI19" s="68">
        <f>BJ19</f>
        <v>1718</v>
      </c>
      <c r="BJ19" s="36">
        <v>1718</v>
      </c>
      <c r="BK19" s="74">
        <v>1693</v>
      </c>
    </row>
    <row r="20" spans="1:63">
      <c r="A20" s="69" t="s">
        <v>7</v>
      </c>
      <c r="B20" s="23"/>
      <c r="C20" s="70"/>
      <c r="D20" s="70">
        <f>D19/C19-1</f>
        <v>-1.1477230655312809E-2</v>
      </c>
      <c r="E20" s="70">
        <f>E19/D19-1</f>
        <v>-1.3483146067415741E-2</v>
      </c>
      <c r="F20" s="70">
        <f>F19/E19-1</f>
        <v>-1.1389521640091105E-2</v>
      </c>
      <c r="G20" s="23"/>
      <c r="H20" s="70">
        <f>H19/F19-1</f>
        <v>-1.2672811059907807E-2</v>
      </c>
      <c r="I20" s="70">
        <f>I19/H19-1</f>
        <v>-1.2057565149747207E-2</v>
      </c>
      <c r="J20" s="70">
        <f>J19/I19-1</f>
        <v>-1.0629921259842523E-2</v>
      </c>
      <c r="K20" s="70">
        <f>K19/J19-1</f>
        <v>-1.1937922801432577E-2</v>
      </c>
      <c r="L20" s="26"/>
      <c r="M20" s="70">
        <f>M19/K19-1</f>
        <v>-1.1679420056383449E-2</v>
      </c>
      <c r="N20" s="70">
        <f>N19/M19-1</f>
        <v>-1.3039934800325947E-2</v>
      </c>
      <c r="O20" s="70">
        <f>O19/N19-1</f>
        <v>-1.1560693641618491E-2</v>
      </c>
      <c r="P20" s="70">
        <f>P19/O19-1</f>
        <v>-1.1695906432748537E-2</v>
      </c>
      <c r="Q20" s="26"/>
      <c r="R20" s="70">
        <f>R19/P19-1</f>
        <v>-3.3812341504648735E-3</v>
      </c>
      <c r="S20" s="70">
        <f>S19/R19-1</f>
        <v>-8.4817642069545673E-4</v>
      </c>
      <c r="T20" s="70">
        <f>T19/S19-1</f>
        <v>2.9711375212224667E-3</v>
      </c>
      <c r="U20" s="70">
        <f>U19/T19-1</f>
        <v>1.6927634363097521E-3</v>
      </c>
      <c r="V20" s="26"/>
      <c r="W20" s="70">
        <f>W19/U19-1</f>
        <v>4.2247570764675224E-4</v>
      </c>
      <c r="X20" s="70">
        <f>X19/W19-1</f>
        <v>-1.3935810810810856E-2</v>
      </c>
      <c r="Y20" s="70">
        <f>Y19/X19-1</f>
        <v>-1.5417558886509641E-2</v>
      </c>
      <c r="Z20" s="70">
        <f>Z19/Y19-1</f>
        <v>-1.3484123531970371E-2</v>
      </c>
      <c r="AA20" s="26"/>
      <c r="AB20" s="70">
        <f>AB19/Z19-1</f>
        <v>-1.1463844797178102E-2</v>
      </c>
      <c r="AC20" s="70">
        <f>AC19/AB19-1</f>
        <v>-8.0285459411240101E-3</v>
      </c>
      <c r="AD20" s="70">
        <f>AD19/AC19-1</f>
        <v>-4.4964028776983689E-4</v>
      </c>
      <c r="AE20" s="70">
        <f>AE19/AD19-1</f>
        <v>-3.1488978857400207E-3</v>
      </c>
      <c r="AF20" s="26"/>
      <c r="AG20" s="70">
        <f>AG19/AE19-1</f>
        <v>-9.0252707581228719E-4</v>
      </c>
      <c r="AH20" s="70">
        <f>AH19/AG19-1</f>
        <v>-4.0650406504064707E-3</v>
      </c>
      <c r="AI20" s="70">
        <f>AI19/AH19-1</f>
        <v>0</v>
      </c>
      <c r="AJ20" s="70">
        <f>AJ19/AI19-1</f>
        <v>0</v>
      </c>
      <c r="AK20" s="26"/>
      <c r="AL20" s="70">
        <f>AL19/AJ19-1</f>
        <v>-3.6281179138321962E-2</v>
      </c>
      <c r="AM20" s="70">
        <f>AM19/AL19-1</f>
        <v>-3.7647058823528923E-3</v>
      </c>
      <c r="AN20" s="70">
        <f>AN19/AM19-1</f>
        <v>-6.6131317902692333E-3</v>
      </c>
      <c r="AO20" s="70">
        <f>AO19/AN19-1</f>
        <v>-7.6081787922016586E-3</v>
      </c>
      <c r="AP20" s="26"/>
      <c r="AQ20" s="70">
        <f>AQ19/AO19-1</f>
        <v>-9.1039770004791576E-3</v>
      </c>
      <c r="AR20" s="70">
        <f>AR19/AQ19-1</f>
        <v>-8.704061895551285E-3</v>
      </c>
      <c r="AS20" s="70">
        <f>AS19/AR19-1</f>
        <v>-9.2682926829268375E-3</v>
      </c>
      <c r="AT20" s="70">
        <f>AT19/AS19-1</f>
        <v>-1.0339734121122546E-2</v>
      </c>
      <c r="AU20" s="26"/>
      <c r="AV20" s="70">
        <f>AV19/AT19-1</f>
        <v>-1.1940298507462699E-2</v>
      </c>
      <c r="AW20" s="70">
        <f>AW19/AV19-1</f>
        <v>-1.2588116817724093E-2</v>
      </c>
      <c r="AX20" s="70">
        <f>AX19/AW19-1</f>
        <v>-9.6889342172361559E-3</v>
      </c>
      <c r="AY20" s="70">
        <f>AY19/AX19-1</f>
        <v>-1.3388259526261548E-2</v>
      </c>
      <c r="AZ20" s="26"/>
      <c r="BA20" s="70">
        <f>BA19/AY19-1</f>
        <v>-1.4091858037578286E-2</v>
      </c>
      <c r="BB20" s="70">
        <f>BB19/BA19-1</f>
        <v>-1.2705134992059275E-2</v>
      </c>
      <c r="BC20" s="70">
        <f>BC19/BB19-1</f>
        <v>-1.1796246648793529E-2</v>
      </c>
      <c r="BD20" s="70">
        <f>BD19/BC19-1</f>
        <v>-1.3564839934888773E-2</v>
      </c>
      <c r="BE20" s="26"/>
      <c r="BF20" s="70">
        <f>BF19/BD19-1</f>
        <v>-1.4301430143014326E-2</v>
      </c>
      <c r="BG20" s="70">
        <f>BG19/BF19-1</f>
        <v>-1.3392857142857095E-2</v>
      </c>
      <c r="BH20" s="70">
        <f>BH19/BG19-1</f>
        <v>-1.4140271493212619E-2</v>
      </c>
      <c r="BI20" s="70">
        <f>BI19/BH19-1</f>
        <v>-1.4343086632243263E-2</v>
      </c>
      <c r="BJ20" s="26"/>
      <c r="BK20" s="70">
        <f>BK19/BI19-1</f>
        <v>-1.4551804423748593E-2</v>
      </c>
    </row>
    <row r="21" spans="1:63">
      <c r="A21" s="69" t="s">
        <v>8</v>
      </c>
      <c r="B21" s="23"/>
      <c r="C21" s="71"/>
      <c r="D21" s="71"/>
      <c r="E21" s="71"/>
      <c r="F21" s="71"/>
      <c r="G21" s="23">
        <f t="shared" ref="G21:O21" si="24">G19/B19-1</f>
        <v>-5.2746453255729353E-2</v>
      </c>
      <c r="H21" s="71">
        <f t="shared" si="24"/>
        <v>-4.8130322102924894E-2</v>
      </c>
      <c r="I21" s="71">
        <f t="shared" si="24"/>
        <v>-4.8689138576779034E-2</v>
      </c>
      <c r="J21" s="71">
        <f t="shared" si="24"/>
        <v>-4.5937737281700808E-2</v>
      </c>
      <c r="K21" s="70">
        <f t="shared" si="24"/>
        <v>-4.64669738863287E-2</v>
      </c>
      <c r="L21" s="23">
        <f t="shared" si="24"/>
        <v>-4.64669738863287E-2</v>
      </c>
      <c r="M21" s="71">
        <f t="shared" si="24"/>
        <v>-4.5507584597432871E-2</v>
      </c>
      <c r="N21" s="71">
        <f t="shared" si="24"/>
        <v>-4.6456692913385833E-2</v>
      </c>
      <c r="O21" s="71">
        <f t="shared" si="24"/>
        <v>-4.7353760445682402E-2</v>
      </c>
      <c r="P21" s="70">
        <f t="shared" ref="P21:Y21" si="25">P19/K19-1</f>
        <v>-4.7120418848167533E-2</v>
      </c>
      <c r="Q21" s="23">
        <f t="shared" si="25"/>
        <v>-4.7120418848167533E-2</v>
      </c>
      <c r="R21" s="71">
        <v>0.15</v>
      </c>
      <c r="S21" s="71">
        <f t="shared" si="25"/>
        <v>-2.725020644095788E-2</v>
      </c>
      <c r="T21" s="71">
        <f t="shared" si="25"/>
        <v>-1.294903926482871E-2</v>
      </c>
      <c r="U21" s="70">
        <f t="shared" si="25"/>
        <v>4.226542688081647E-4</v>
      </c>
      <c r="V21" s="23">
        <f t="shared" si="25"/>
        <v>4.226542688081647E-4</v>
      </c>
      <c r="W21" s="71">
        <f t="shared" si="25"/>
        <v>4.2408821034776167E-3</v>
      </c>
      <c r="X21" s="71">
        <f t="shared" si="25"/>
        <v>-8.9134125636671779E-3</v>
      </c>
      <c r="Y21" s="71">
        <f t="shared" si="25"/>
        <v>-2.7084214980956367E-2</v>
      </c>
      <c r="Z21" s="70">
        <f t="shared" ref="Z21:AI21" si="26">Z19/U19-1</f>
        <v>-4.1825095057034245E-2</v>
      </c>
      <c r="AA21" s="23">
        <f t="shared" si="26"/>
        <v>-4.1825095057034245E-2</v>
      </c>
      <c r="AB21" s="71">
        <f t="shared" si="26"/>
        <v>-5.3209459459459429E-2</v>
      </c>
      <c r="AC21" s="71">
        <f t="shared" si="26"/>
        <v>-4.7537473233404737E-2</v>
      </c>
      <c r="AD21" s="71">
        <f t="shared" si="26"/>
        <v>-3.3057851239669422E-2</v>
      </c>
      <c r="AE21" s="70">
        <f t="shared" si="26"/>
        <v>-2.2927689594356315E-2</v>
      </c>
      <c r="AF21" s="23">
        <f t="shared" si="26"/>
        <v>-2.2927689594356315E-2</v>
      </c>
      <c r="AG21" s="71">
        <f t="shared" si="26"/>
        <v>-1.2488849241748423E-2</v>
      </c>
      <c r="AH21" s="71">
        <f t="shared" si="26"/>
        <v>-8.5431654676259017E-3</v>
      </c>
      <c r="AI21" s="71">
        <f t="shared" si="26"/>
        <v>-8.0971659919027994E-3</v>
      </c>
      <c r="AJ21" s="70">
        <f t="shared" ref="AJ21:AS21" si="27">AJ19/AE19-1</f>
        <v>-4.9638989169674685E-3</v>
      </c>
      <c r="AK21" s="23">
        <f t="shared" si="27"/>
        <v>-4.9638989169674685E-3</v>
      </c>
      <c r="AL21" s="71">
        <f t="shared" si="27"/>
        <v>-4.0198735320686518E-2</v>
      </c>
      <c r="AM21" s="71">
        <f t="shared" si="27"/>
        <v>-3.990929705215418E-2</v>
      </c>
      <c r="AN21" s="71">
        <f t="shared" si="27"/>
        <v>-4.6258503401360507E-2</v>
      </c>
      <c r="AO21" s="70">
        <f t="shared" si="27"/>
        <v>-5.3514739229024944E-2</v>
      </c>
      <c r="AP21" s="23">
        <f t="shared" si="27"/>
        <v>-5.3514739229024944E-2</v>
      </c>
      <c r="AQ21" s="71">
        <f t="shared" si="27"/>
        <v>-2.6823529411764691E-2</v>
      </c>
      <c r="AR21" s="71">
        <f t="shared" si="27"/>
        <v>-3.1648559282002831E-2</v>
      </c>
      <c r="AS21" s="71">
        <f t="shared" si="27"/>
        <v>-3.4236804564907297E-2</v>
      </c>
      <c r="AT21" s="70">
        <f t="shared" ref="AT21" si="28">AT19/AO19-1</f>
        <v>-3.6895064686152335E-2</v>
      </c>
      <c r="AU21" s="23">
        <f t="shared" ref="AU21:AX21" si="29">AU19/AP19-1</f>
        <v>-3.6895064686152335E-2</v>
      </c>
      <c r="AV21" s="71">
        <f t="shared" si="29"/>
        <v>-3.9651837524178002E-2</v>
      </c>
      <c r="AW21" s="71">
        <f t="shared" si="29"/>
        <v>-4.3414634146341502E-2</v>
      </c>
      <c r="AX21" s="71">
        <f t="shared" si="29"/>
        <v>-4.3820777941900535E-2</v>
      </c>
      <c r="AY21" s="70">
        <f t="shared" ref="AY21" si="30">AY19/AT19-1</f>
        <v>-4.676616915422882E-2</v>
      </c>
      <c r="AZ21" s="23">
        <f t="shared" ref="AZ21:BC21" si="31">AZ19/AU19-1</f>
        <v>-4.676616915422882E-2</v>
      </c>
      <c r="BA21" s="71">
        <f t="shared" si="31"/>
        <v>-4.8841893252769331E-2</v>
      </c>
      <c r="BB21" s="71">
        <f t="shared" si="31"/>
        <v>-4.8954614992350876E-2</v>
      </c>
      <c r="BC21" s="71">
        <f t="shared" si="31"/>
        <v>-5.09783728115345E-2</v>
      </c>
      <c r="BD21" s="70">
        <f t="shared" ref="BD21" si="32">BD19/AY19-1</f>
        <v>-5.1148225469728636E-2</v>
      </c>
      <c r="BE21" s="23">
        <f t="shared" ref="BE21:BH21" si="33">BE19/AZ19-1</f>
        <v>-5.1148225469728636E-2</v>
      </c>
      <c r="BF21" s="71">
        <f t="shared" si="33"/>
        <v>-5.1349920592906328E-2</v>
      </c>
      <c r="BG21" s="71">
        <f t="shared" si="33"/>
        <v>-5.2010723860589803E-2</v>
      </c>
      <c r="BH21" s="71">
        <f t="shared" si="33"/>
        <v>-5.4259359739555091E-2</v>
      </c>
      <c r="BI21" s="70">
        <f t="shared" ref="BI21" si="34">BI19/BD19-1</f>
        <v>-5.5005500550055042E-2</v>
      </c>
      <c r="BJ21" s="23">
        <f t="shared" ref="BJ21:BK21" si="35">BJ19/BE19-1</f>
        <v>-5.5005500550055042E-2</v>
      </c>
      <c r="BK21" s="71">
        <f t="shared" si="35"/>
        <v>-5.5245535714285698E-2</v>
      </c>
    </row>
    <row r="22" spans="1:63">
      <c r="A22" s="69" t="s">
        <v>194</v>
      </c>
      <c r="B22" s="23"/>
      <c r="C22" s="71"/>
      <c r="D22" s="71"/>
      <c r="E22" s="71"/>
      <c r="F22" s="71"/>
      <c r="G22" s="196">
        <f>G19-B19</f>
        <v>-145</v>
      </c>
      <c r="H22" s="71"/>
      <c r="I22" s="71"/>
      <c r="J22" s="71"/>
      <c r="K22" s="70"/>
      <c r="L22" s="196">
        <f>L19-G19</f>
        <v>-121</v>
      </c>
      <c r="M22" s="71"/>
      <c r="N22" s="71"/>
      <c r="O22" s="71"/>
      <c r="P22" s="70"/>
      <c r="Q22" s="196">
        <f>Q19-L19</f>
        <v>-117</v>
      </c>
      <c r="R22" s="71"/>
      <c r="S22" s="71"/>
      <c r="T22" s="71"/>
      <c r="U22" s="70"/>
      <c r="V22" s="196">
        <f>V19-Q19</f>
        <v>1</v>
      </c>
      <c r="W22" s="71"/>
      <c r="X22" s="71"/>
      <c r="Y22" s="71"/>
      <c r="Z22" s="70"/>
      <c r="AA22" s="196">
        <f>AA19-V19</f>
        <v>-99</v>
      </c>
      <c r="AB22" s="71"/>
      <c r="AC22" s="71"/>
      <c r="AD22" s="71"/>
      <c r="AE22" s="70"/>
      <c r="AF22" s="196">
        <f>AF19-AA19</f>
        <v>-52</v>
      </c>
      <c r="AG22" s="71"/>
      <c r="AH22" s="71"/>
      <c r="AI22" s="71"/>
      <c r="AJ22" s="70"/>
      <c r="AK22" s="196">
        <f>AK19-AF19</f>
        <v>-11</v>
      </c>
      <c r="AL22" s="193"/>
      <c r="AM22" s="193">
        <f>AM19-AL19</f>
        <v>-8</v>
      </c>
      <c r="AN22" s="193">
        <f t="shared" ref="AN22:AO22" si="36">AN19-AM19</f>
        <v>-14</v>
      </c>
      <c r="AO22" s="193">
        <f t="shared" si="36"/>
        <v>-16</v>
      </c>
      <c r="AP22" s="196">
        <f>AP19-AK19</f>
        <v>-118</v>
      </c>
      <c r="AQ22" s="195">
        <f>AQ19-AO19</f>
        <v>-19</v>
      </c>
      <c r="AR22" s="195">
        <f>AR19-AQ19</f>
        <v>-18</v>
      </c>
      <c r="AS22" s="195">
        <f t="shared" ref="AS22:AT22" si="37">AS19-AR19</f>
        <v>-19</v>
      </c>
      <c r="AT22" s="195">
        <f t="shared" si="37"/>
        <v>-21</v>
      </c>
      <c r="AU22" s="196">
        <f>AU19-AP19</f>
        <v>-77</v>
      </c>
      <c r="AV22" s="195">
        <f>AV19-AT19</f>
        <v>-24</v>
      </c>
      <c r="AW22" s="195">
        <f>AW19-AV19</f>
        <v>-25</v>
      </c>
      <c r="AX22" s="195">
        <f>AX19-AW19</f>
        <v>-19</v>
      </c>
      <c r="AY22" s="195">
        <f t="shared" ref="AY22" si="38">AY19-AX19</f>
        <v>-26</v>
      </c>
      <c r="AZ22" s="196">
        <f>AZ19-AU19</f>
        <v>-94</v>
      </c>
      <c r="BA22" s="195">
        <f>BA19-AY19</f>
        <v>-27</v>
      </c>
      <c r="BB22" s="195">
        <f>BB19-BA19</f>
        <v>-24</v>
      </c>
      <c r="BC22" s="195">
        <f>BC19-BB19</f>
        <v>-22</v>
      </c>
      <c r="BD22" s="195">
        <f t="shared" ref="BD22" si="39">BD19-BC19</f>
        <v>-25</v>
      </c>
      <c r="BE22" s="196">
        <f>BE19-AZ19</f>
        <v>-98</v>
      </c>
      <c r="BF22" s="195">
        <f>BF19-BD19</f>
        <v>-26</v>
      </c>
      <c r="BG22" s="195">
        <f>BG19-BF19</f>
        <v>-24</v>
      </c>
      <c r="BH22" s="195">
        <f>BH19-BG19</f>
        <v>-25</v>
      </c>
      <c r="BI22" s="195">
        <f t="shared" ref="BI22" si="40">BI19-BH19</f>
        <v>-25</v>
      </c>
      <c r="BJ22" s="196">
        <f>BJ19-BE19</f>
        <v>-100</v>
      </c>
      <c r="BK22" s="195">
        <f>BK19-BI19</f>
        <v>-25</v>
      </c>
    </row>
    <row r="23" spans="1:63">
      <c r="A23" s="69"/>
      <c r="B23" s="23"/>
      <c r="C23" s="71"/>
      <c r="D23" s="71"/>
      <c r="E23" s="71"/>
      <c r="F23" s="71"/>
      <c r="G23" s="23"/>
      <c r="H23" s="71"/>
      <c r="I23" s="71"/>
      <c r="J23" s="71"/>
      <c r="K23" s="70"/>
      <c r="L23" s="23"/>
      <c r="M23" s="71"/>
      <c r="N23" s="71"/>
      <c r="O23" s="71"/>
      <c r="P23" s="70"/>
      <c r="Q23" s="23"/>
      <c r="R23" s="71"/>
      <c r="S23" s="71"/>
      <c r="T23" s="71"/>
      <c r="U23" s="70"/>
      <c r="V23" s="23"/>
      <c r="W23" s="71"/>
      <c r="X23" s="71"/>
      <c r="Y23" s="71"/>
      <c r="Z23" s="70"/>
      <c r="AA23" s="23"/>
      <c r="AB23" s="71"/>
      <c r="AC23" s="71"/>
      <c r="AD23" s="71"/>
      <c r="AE23" s="70"/>
      <c r="AF23" s="23"/>
      <c r="AG23" s="71"/>
      <c r="AH23" s="71"/>
      <c r="AI23" s="71"/>
      <c r="AJ23" s="70"/>
      <c r="AK23" s="23"/>
      <c r="AL23" s="71"/>
      <c r="AM23" s="71"/>
      <c r="AN23" s="71"/>
      <c r="AO23" s="70"/>
      <c r="AP23" s="23"/>
      <c r="AQ23" s="71"/>
      <c r="AR23" s="71"/>
      <c r="AS23" s="71"/>
      <c r="AT23" s="70"/>
      <c r="AU23" s="23"/>
      <c r="AV23" s="71"/>
      <c r="AW23" s="71"/>
      <c r="AX23" s="71"/>
      <c r="AY23" s="70"/>
      <c r="AZ23" s="23"/>
      <c r="BA23" s="71"/>
      <c r="BB23" s="71"/>
      <c r="BC23" s="71"/>
      <c r="BD23" s="70"/>
      <c r="BE23" s="23"/>
      <c r="BF23" s="71"/>
      <c r="BG23" s="71"/>
      <c r="BH23" s="71"/>
      <c r="BI23" s="70"/>
      <c r="BJ23" s="23"/>
      <c r="BK23" s="71"/>
    </row>
    <row r="24" spans="1:63">
      <c r="A24" s="190" t="s">
        <v>193</v>
      </c>
      <c r="B24" s="98" t="s">
        <v>48</v>
      </c>
      <c r="C24" s="74">
        <v>114</v>
      </c>
      <c r="D24" s="74">
        <v>109</v>
      </c>
      <c r="E24" s="74">
        <v>113</v>
      </c>
      <c r="F24" s="74">
        <v>109</v>
      </c>
      <c r="G24" s="61">
        <v>111</v>
      </c>
      <c r="H24" s="74">
        <v>108</v>
      </c>
      <c r="I24" s="74">
        <v>108</v>
      </c>
      <c r="J24" s="74">
        <v>111</v>
      </c>
      <c r="K24" s="68">
        <v>110</v>
      </c>
      <c r="L24" s="27">
        <v>109</v>
      </c>
      <c r="M24" s="74">
        <v>106</v>
      </c>
      <c r="N24" s="74">
        <v>109</v>
      </c>
      <c r="O24" s="74">
        <v>109</v>
      </c>
      <c r="P24" s="68">
        <v>111</v>
      </c>
      <c r="Q24" s="27">
        <v>109</v>
      </c>
      <c r="R24" s="74">
        <v>87</v>
      </c>
      <c r="S24" s="74">
        <v>86</v>
      </c>
      <c r="T24" s="74">
        <v>87</v>
      </c>
      <c r="U24" s="68">
        <v>78</v>
      </c>
      <c r="V24" s="27">
        <v>85</v>
      </c>
      <c r="W24" s="74">
        <v>83</v>
      </c>
      <c r="X24" s="74">
        <v>81</v>
      </c>
      <c r="Y24" s="74">
        <v>80</v>
      </c>
      <c r="Z24" s="68">
        <v>78</v>
      </c>
      <c r="AA24" s="27">
        <v>81</v>
      </c>
      <c r="AB24" s="74">
        <v>75</v>
      </c>
      <c r="AC24" s="74">
        <v>75</v>
      </c>
      <c r="AD24" s="74">
        <v>73</v>
      </c>
      <c r="AE24" s="68">
        <v>70</v>
      </c>
      <c r="AF24" s="27">
        <v>74</v>
      </c>
      <c r="AG24" s="74">
        <v>64</v>
      </c>
      <c r="AH24" s="74">
        <v>63</v>
      </c>
      <c r="AI24" s="74">
        <v>63</v>
      </c>
      <c r="AJ24" s="68">
        <v>62</v>
      </c>
      <c r="AK24" s="27">
        <v>63</v>
      </c>
      <c r="AL24" s="74">
        <v>60</v>
      </c>
      <c r="AM24" s="74">
        <v>59</v>
      </c>
      <c r="AN24" s="74">
        <v>59</v>
      </c>
      <c r="AO24" s="68">
        <v>59</v>
      </c>
      <c r="AP24" s="27">
        <v>59</v>
      </c>
      <c r="AQ24" s="74">
        <v>58</v>
      </c>
      <c r="AR24" s="74">
        <v>57</v>
      </c>
      <c r="AS24" s="74">
        <v>57</v>
      </c>
      <c r="AT24" s="68">
        <v>55</v>
      </c>
      <c r="AU24" s="27">
        <v>57</v>
      </c>
      <c r="AV24" s="74">
        <v>56</v>
      </c>
      <c r="AW24" s="74">
        <v>54</v>
      </c>
      <c r="AX24" s="74">
        <v>54</v>
      </c>
      <c r="AY24" s="68">
        <v>53</v>
      </c>
      <c r="AZ24" s="27">
        <v>54</v>
      </c>
      <c r="BA24" s="74">
        <v>53</v>
      </c>
      <c r="BB24" s="74">
        <v>52</v>
      </c>
      <c r="BC24" s="74">
        <v>51</v>
      </c>
      <c r="BD24" s="68">
        <v>51</v>
      </c>
      <c r="BE24" s="27">
        <v>52</v>
      </c>
      <c r="BF24" s="74">
        <v>50</v>
      </c>
      <c r="BG24" s="74">
        <v>49</v>
      </c>
      <c r="BH24" s="74">
        <v>49</v>
      </c>
      <c r="BI24" s="68">
        <v>48</v>
      </c>
      <c r="BJ24" s="27">
        <v>49</v>
      </c>
      <c r="BK24" s="74">
        <v>48</v>
      </c>
    </row>
    <row r="25" spans="1:63">
      <c r="A25" s="69" t="s">
        <v>7</v>
      </c>
      <c r="B25" s="23"/>
      <c r="C25" s="70"/>
      <c r="D25" s="70">
        <f>D24/C24-1</f>
        <v>-4.3859649122807043E-2</v>
      </c>
      <c r="E25" s="70">
        <f>E24/D24-1</f>
        <v>3.669724770642202E-2</v>
      </c>
      <c r="F25" s="70">
        <f>F24/E24-1</f>
        <v>-3.539823008849563E-2</v>
      </c>
      <c r="G25" s="23"/>
      <c r="H25" s="70">
        <f>H24/F24-1</f>
        <v>-9.1743119266054496E-3</v>
      </c>
      <c r="I25" s="70">
        <f>I24/H24-1</f>
        <v>0</v>
      </c>
      <c r="J25" s="70">
        <f>J24/I24-1</f>
        <v>2.7777777777777679E-2</v>
      </c>
      <c r="K25" s="70">
        <f>K24/J24-1</f>
        <v>-9.009009009009028E-3</v>
      </c>
      <c r="L25" s="26"/>
      <c r="M25" s="70">
        <f>M24/K24-1</f>
        <v>-3.6363636363636376E-2</v>
      </c>
      <c r="N25" s="70">
        <f>N24/M24-1</f>
        <v>2.8301886792452935E-2</v>
      </c>
      <c r="O25" s="70">
        <f>O24/N24-1</f>
        <v>0</v>
      </c>
      <c r="P25" s="70">
        <f>P24/O24-1</f>
        <v>1.8348623853210899E-2</v>
      </c>
      <c r="Q25" s="26"/>
      <c r="R25" s="70">
        <f>R24/P24-1</f>
        <v>-0.21621621621621623</v>
      </c>
      <c r="S25" s="70">
        <f>S24/R24-1</f>
        <v>-1.1494252873563204E-2</v>
      </c>
      <c r="T25" s="70">
        <f>T24/S24-1</f>
        <v>1.1627906976744207E-2</v>
      </c>
      <c r="U25" s="70">
        <f>U24/T24-1</f>
        <v>-0.10344827586206895</v>
      </c>
      <c r="V25" s="26"/>
      <c r="W25" s="70">
        <f>W24/U24-1</f>
        <v>6.4102564102564097E-2</v>
      </c>
      <c r="X25" s="70">
        <f>X24/W24-1</f>
        <v>-2.4096385542168641E-2</v>
      </c>
      <c r="Y25" s="70">
        <f>Y24/X24-1</f>
        <v>-1.2345679012345734E-2</v>
      </c>
      <c r="Z25" s="70">
        <f>Z24/Y24-1</f>
        <v>-2.5000000000000022E-2</v>
      </c>
      <c r="AA25" s="26"/>
      <c r="AB25" s="70">
        <f>AB24/Z24-1</f>
        <v>-3.8461538461538436E-2</v>
      </c>
      <c r="AC25" s="70">
        <f>AC24/AB24-1</f>
        <v>0</v>
      </c>
      <c r="AD25" s="70">
        <f>AD24/AC24-1</f>
        <v>-2.6666666666666616E-2</v>
      </c>
      <c r="AE25" s="70">
        <f>AE24/AD24-1</f>
        <v>-4.1095890410958957E-2</v>
      </c>
      <c r="AF25" s="26"/>
      <c r="AG25" s="70">
        <f>AG24/AE24-1</f>
        <v>-8.5714285714285743E-2</v>
      </c>
      <c r="AH25" s="70">
        <f>AH24/AG24-1</f>
        <v>-1.5625E-2</v>
      </c>
      <c r="AI25" s="70">
        <f>AI24/AH24-1</f>
        <v>0</v>
      </c>
      <c r="AJ25" s="70">
        <f>AJ24/AI24-1</f>
        <v>-1.5873015873015928E-2</v>
      </c>
      <c r="AK25" s="26"/>
      <c r="AL25" s="70">
        <f>AL24/AJ24-1</f>
        <v>-3.2258064516129004E-2</v>
      </c>
      <c r="AM25" s="70">
        <f>AM24/AL24-1</f>
        <v>-1.6666666666666718E-2</v>
      </c>
      <c r="AN25" s="70">
        <f>AN24/AM24-1</f>
        <v>0</v>
      </c>
      <c r="AO25" s="70">
        <f>AO24/AN24-1</f>
        <v>0</v>
      </c>
      <c r="AP25" s="26"/>
      <c r="AQ25" s="70">
        <f>AQ24/AO24-1</f>
        <v>-1.6949152542372836E-2</v>
      </c>
      <c r="AR25" s="70">
        <f>AR24/AQ24-1</f>
        <v>-1.7241379310344862E-2</v>
      </c>
      <c r="AS25" s="70">
        <f>AS24/AR24-1</f>
        <v>0</v>
      </c>
      <c r="AT25" s="70">
        <f>AT24/AS24-1</f>
        <v>-3.5087719298245612E-2</v>
      </c>
      <c r="AU25" s="26"/>
      <c r="AV25" s="70">
        <f>AV24/AT24-1</f>
        <v>1.8181818181818077E-2</v>
      </c>
      <c r="AW25" s="70">
        <f>AW24/AV24-1</f>
        <v>-3.5714285714285698E-2</v>
      </c>
      <c r="AX25" s="70">
        <f>AX24/AW24-1</f>
        <v>0</v>
      </c>
      <c r="AY25" s="70">
        <f>AY24/AX24-1</f>
        <v>-1.851851851851849E-2</v>
      </c>
      <c r="AZ25" s="26"/>
      <c r="BA25" s="70">
        <f>BA24/AY24-1</f>
        <v>0</v>
      </c>
      <c r="BB25" s="70">
        <f>BB24/BA24-1</f>
        <v>-1.8867924528301883E-2</v>
      </c>
      <c r="BC25" s="70">
        <f>BC24/BB24-1</f>
        <v>-1.9230769230769273E-2</v>
      </c>
      <c r="BD25" s="70">
        <f>BD24/BC24-1</f>
        <v>0</v>
      </c>
      <c r="BE25" s="26"/>
      <c r="BF25" s="70">
        <f>BF24/BD24-1</f>
        <v>-1.9607843137254943E-2</v>
      </c>
      <c r="BG25" s="70">
        <f>BG24/BF24-1</f>
        <v>-2.0000000000000018E-2</v>
      </c>
      <c r="BH25" s="70">
        <f>BH24/BG24-1</f>
        <v>0</v>
      </c>
      <c r="BI25" s="70">
        <f>BI24/BH24-1</f>
        <v>-2.0408163265306145E-2</v>
      </c>
      <c r="BJ25" s="26"/>
      <c r="BK25" s="70">
        <f>BK24/BI24-1</f>
        <v>0</v>
      </c>
    </row>
    <row r="26" spans="1:63">
      <c r="A26" s="69" t="s">
        <v>8</v>
      </c>
      <c r="B26" s="23"/>
      <c r="C26" s="71"/>
      <c r="D26" s="71"/>
      <c r="E26" s="71"/>
      <c r="F26" s="71"/>
      <c r="G26" s="23"/>
      <c r="H26" s="71">
        <f t="shared" ref="H26:AI26" si="41">H24/C24-1</f>
        <v>-5.2631578947368474E-2</v>
      </c>
      <c r="I26" s="71">
        <f t="shared" si="41"/>
        <v>-9.1743119266054496E-3</v>
      </c>
      <c r="J26" s="71">
        <f t="shared" si="41"/>
        <v>-1.7699115044247815E-2</v>
      </c>
      <c r="K26" s="70">
        <f t="shared" si="41"/>
        <v>9.1743119266054496E-3</v>
      </c>
      <c r="L26" s="23">
        <f t="shared" si="41"/>
        <v>-1.8018018018018056E-2</v>
      </c>
      <c r="M26" s="71">
        <f t="shared" si="41"/>
        <v>-1.851851851851849E-2</v>
      </c>
      <c r="N26" s="71">
        <f t="shared" si="41"/>
        <v>9.2592592592593004E-3</v>
      </c>
      <c r="O26" s="71">
        <f t="shared" si="41"/>
        <v>-1.8018018018018056E-2</v>
      </c>
      <c r="P26" s="70">
        <f t="shared" si="41"/>
        <v>9.0909090909090384E-3</v>
      </c>
      <c r="Q26" s="23">
        <f t="shared" si="41"/>
        <v>0</v>
      </c>
      <c r="R26" s="71">
        <f t="shared" si="41"/>
        <v>-0.17924528301886788</v>
      </c>
      <c r="S26" s="71">
        <f t="shared" si="41"/>
        <v>-0.21100917431192656</v>
      </c>
      <c r="T26" s="71">
        <f t="shared" si="41"/>
        <v>-0.20183486238532111</v>
      </c>
      <c r="U26" s="70">
        <f t="shared" si="41"/>
        <v>-0.29729729729729726</v>
      </c>
      <c r="V26" s="23">
        <f t="shared" si="41"/>
        <v>-0.22018348623853212</v>
      </c>
      <c r="W26" s="71">
        <f t="shared" si="41"/>
        <v>-4.5977011494252928E-2</v>
      </c>
      <c r="X26" s="71">
        <f t="shared" si="41"/>
        <v>-5.8139534883720922E-2</v>
      </c>
      <c r="Y26" s="71">
        <f t="shared" si="41"/>
        <v>-8.0459770114942541E-2</v>
      </c>
      <c r="Z26" s="70">
        <f t="shared" si="41"/>
        <v>0</v>
      </c>
      <c r="AA26" s="23">
        <f t="shared" si="41"/>
        <v>-4.705882352941182E-2</v>
      </c>
      <c r="AB26" s="71">
        <f t="shared" si="41"/>
        <v>-9.6385542168674676E-2</v>
      </c>
      <c r="AC26" s="71">
        <f t="shared" si="41"/>
        <v>-7.407407407407407E-2</v>
      </c>
      <c r="AD26" s="71">
        <f t="shared" si="41"/>
        <v>-8.7500000000000022E-2</v>
      </c>
      <c r="AE26" s="70">
        <f t="shared" si="41"/>
        <v>-0.10256410256410253</v>
      </c>
      <c r="AF26" s="23">
        <f t="shared" si="41"/>
        <v>-8.6419753086419804E-2</v>
      </c>
      <c r="AG26" s="71">
        <f t="shared" si="41"/>
        <v>-0.14666666666666661</v>
      </c>
      <c r="AH26" s="71">
        <f t="shared" si="41"/>
        <v>-0.16000000000000003</v>
      </c>
      <c r="AI26" s="71">
        <f t="shared" si="41"/>
        <v>-0.13698630136986301</v>
      </c>
      <c r="AJ26" s="70">
        <f t="shared" ref="AJ26:AS26" si="42">AJ24/AE24-1</f>
        <v>-0.11428571428571432</v>
      </c>
      <c r="AK26" s="23">
        <f t="shared" si="42"/>
        <v>-0.14864864864864868</v>
      </c>
      <c r="AL26" s="71">
        <f t="shared" si="42"/>
        <v>-6.25E-2</v>
      </c>
      <c r="AM26" s="71">
        <f t="shared" si="42"/>
        <v>-6.3492063492063489E-2</v>
      </c>
      <c r="AN26" s="71">
        <f t="shared" si="42"/>
        <v>-6.3492063492063489E-2</v>
      </c>
      <c r="AO26" s="70">
        <f t="shared" si="42"/>
        <v>-4.8387096774193505E-2</v>
      </c>
      <c r="AP26" s="23">
        <f t="shared" si="42"/>
        <v>-6.3492063492063489E-2</v>
      </c>
      <c r="AQ26" s="71">
        <f t="shared" si="42"/>
        <v>-3.3333333333333326E-2</v>
      </c>
      <c r="AR26" s="71">
        <f t="shared" si="42"/>
        <v>-3.3898305084745783E-2</v>
      </c>
      <c r="AS26" s="71">
        <f t="shared" si="42"/>
        <v>-3.3898305084745783E-2</v>
      </c>
      <c r="AT26" s="70">
        <f t="shared" ref="AT26" si="43">AT24/AO24-1</f>
        <v>-6.7796610169491567E-2</v>
      </c>
      <c r="AU26" s="23">
        <f t="shared" ref="AU26:AX26" si="44">AU24/AP24-1</f>
        <v>-3.3898305084745783E-2</v>
      </c>
      <c r="AV26" s="71">
        <f t="shared" si="44"/>
        <v>-3.4482758620689613E-2</v>
      </c>
      <c r="AW26" s="71">
        <f t="shared" si="44"/>
        <v>-5.2631578947368474E-2</v>
      </c>
      <c r="AX26" s="71">
        <f t="shared" si="44"/>
        <v>-5.2631578947368474E-2</v>
      </c>
      <c r="AY26" s="70">
        <f t="shared" ref="AY26" si="45">AY24/AT24-1</f>
        <v>-3.6363636363636376E-2</v>
      </c>
      <c r="AZ26" s="23">
        <f t="shared" ref="AZ26:BC26" si="46">AZ24/AU24-1</f>
        <v>-5.2631578947368474E-2</v>
      </c>
      <c r="BA26" s="71">
        <f t="shared" si="46"/>
        <v>-5.3571428571428603E-2</v>
      </c>
      <c r="BB26" s="71">
        <f t="shared" si="46"/>
        <v>-3.703703703703709E-2</v>
      </c>
      <c r="BC26" s="71">
        <f t="shared" si="46"/>
        <v>-5.555555555555558E-2</v>
      </c>
      <c r="BD26" s="70">
        <f t="shared" ref="BD26" si="47">BD24/AY24-1</f>
        <v>-3.7735849056603765E-2</v>
      </c>
      <c r="BE26" s="23">
        <f t="shared" ref="BE26:BH26" si="48">BE24/AZ24-1</f>
        <v>-3.703703703703709E-2</v>
      </c>
      <c r="BF26" s="71">
        <f t="shared" si="48"/>
        <v>-5.6603773584905648E-2</v>
      </c>
      <c r="BG26" s="71">
        <f t="shared" si="48"/>
        <v>-5.7692307692307709E-2</v>
      </c>
      <c r="BH26" s="71">
        <f t="shared" si="48"/>
        <v>-3.9215686274509776E-2</v>
      </c>
      <c r="BI26" s="70">
        <f t="shared" ref="BI26" si="49">BI24/BD24-1</f>
        <v>-5.8823529411764719E-2</v>
      </c>
      <c r="BJ26" s="23">
        <f t="shared" ref="BJ26:BK26" si="50">BJ24/BE24-1</f>
        <v>-5.7692307692307709E-2</v>
      </c>
      <c r="BK26" s="71">
        <f t="shared" si="50"/>
        <v>-4.0000000000000036E-2</v>
      </c>
    </row>
    <row r="27" spans="1:63" ht="3" customHeight="1">
      <c r="A27" s="69"/>
      <c r="B27" s="23"/>
      <c r="C27" s="71"/>
      <c r="D27" s="71"/>
      <c r="E27" s="71"/>
      <c r="F27" s="71"/>
      <c r="G27" s="23"/>
      <c r="H27" s="71"/>
      <c r="I27" s="71"/>
      <c r="J27" s="71"/>
      <c r="K27" s="70"/>
      <c r="L27" s="23"/>
      <c r="M27" s="71"/>
      <c r="N27" s="71"/>
      <c r="O27" s="71"/>
      <c r="P27" s="70"/>
      <c r="Q27" s="23"/>
      <c r="R27" s="71"/>
      <c r="S27" s="71"/>
      <c r="T27" s="71"/>
      <c r="U27" s="70"/>
      <c r="V27" s="23"/>
      <c r="W27" s="71"/>
      <c r="X27" s="71"/>
      <c r="Y27" s="71"/>
      <c r="Z27" s="70"/>
      <c r="AA27" s="23"/>
      <c r="AB27" s="71"/>
      <c r="AC27" s="71"/>
      <c r="AD27" s="71"/>
      <c r="AE27" s="70"/>
      <c r="AF27" s="23"/>
      <c r="AG27" s="71"/>
      <c r="AH27" s="71"/>
      <c r="AI27" s="71"/>
      <c r="AJ27" s="70"/>
      <c r="AK27" s="23"/>
      <c r="AL27" s="71"/>
      <c r="AM27" s="71"/>
      <c r="AN27" s="71"/>
      <c r="AO27" s="70"/>
      <c r="AP27" s="23"/>
      <c r="AQ27" s="71"/>
      <c r="AR27" s="71"/>
      <c r="AS27" s="71"/>
      <c r="AT27" s="70"/>
      <c r="AU27" s="23"/>
      <c r="AV27" s="71"/>
      <c r="AW27" s="71"/>
      <c r="AX27" s="71"/>
      <c r="AY27" s="70"/>
      <c r="AZ27" s="23"/>
      <c r="BA27" s="71"/>
      <c r="BB27" s="71"/>
      <c r="BC27" s="71"/>
      <c r="BD27" s="70"/>
      <c r="BE27" s="23"/>
      <c r="BF27" s="71"/>
      <c r="BG27" s="71"/>
      <c r="BH27" s="71"/>
      <c r="BI27" s="70"/>
      <c r="BJ27" s="23"/>
      <c r="BK27" s="71"/>
    </row>
    <row r="28" spans="1:63" hidden="1">
      <c r="A28" s="67" t="s">
        <v>75</v>
      </c>
      <c r="B28" s="37">
        <v>87</v>
      </c>
      <c r="C28" s="74">
        <v>85</v>
      </c>
      <c r="D28" s="74">
        <v>82</v>
      </c>
      <c r="E28" s="74">
        <v>85</v>
      </c>
      <c r="F28" s="74">
        <v>82</v>
      </c>
      <c r="G28" s="61">
        <v>83</v>
      </c>
      <c r="H28" s="74">
        <v>82</v>
      </c>
      <c r="I28" s="74">
        <v>81</v>
      </c>
      <c r="J28" s="74">
        <v>83</v>
      </c>
      <c r="K28" s="68">
        <v>83</v>
      </c>
      <c r="L28" s="27">
        <v>82</v>
      </c>
      <c r="M28" s="74">
        <v>80</v>
      </c>
      <c r="N28" s="74">
        <v>81</v>
      </c>
      <c r="O28" s="74">
        <v>82</v>
      </c>
      <c r="P28" s="68">
        <v>83</v>
      </c>
      <c r="Q28" s="27">
        <v>81</v>
      </c>
      <c r="R28" s="74">
        <v>79</v>
      </c>
      <c r="S28" s="74">
        <v>77</v>
      </c>
      <c r="T28" s="74">
        <v>78</v>
      </c>
      <c r="U28" s="68">
        <v>70</v>
      </c>
      <c r="V28" s="27">
        <v>76</v>
      </c>
      <c r="W28" s="74">
        <v>74</v>
      </c>
      <c r="X28" s="74">
        <v>73</v>
      </c>
      <c r="Y28" s="74">
        <v>73</v>
      </c>
      <c r="Z28" s="68">
        <v>71</v>
      </c>
      <c r="AA28" s="27">
        <v>73</v>
      </c>
      <c r="AB28" s="74">
        <v>69</v>
      </c>
      <c r="AC28" s="74">
        <v>68</v>
      </c>
      <c r="AD28" s="74">
        <v>67</v>
      </c>
      <c r="AE28" s="68">
        <v>64</v>
      </c>
      <c r="AF28" s="27">
        <v>67</v>
      </c>
      <c r="AG28" s="74">
        <v>69</v>
      </c>
      <c r="AH28" s="74">
        <v>68</v>
      </c>
      <c r="AI28" s="74">
        <v>68</v>
      </c>
      <c r="AJ28" s="68">
        <v>64</v>
      </c>
      <c r="AK28" s="27">
        <v>-586</v>
      </c>
      <c r="AL28" s="74">
        <v>69</v>
      </c>
      <c r="AM28" s="74">
        <v>68</v>
      </c>
      <c r="AN28" s="74">
        <v>68</v>
      </c>
      <c r="AO28" s="68">
        <v>64</v>
      </c>
      <c r="AP28" s="27">
        <v>-586</v>
      </c>
      <c r="AQ28" s="74">
        <v>69</v>
      </c>
      <c r="AR28" s="74">
        <v>68</v>
      </c>
      <c r="AS28" s="74">
        <v>68</v>
      </c>
      <c r="AT28" s="68">
        <v>64</v>
      </c>
      <c r="AU28" s="27">
        <v>-586</v>
      </c>
      <c r="AV28" s="74">
        <v>69</v>
      </c>
      <c r="AW28" s="74">
        <v>69</v>
      </c>
      <c r="AX28" s="74">
        <v>69</v>
      </c>
      <c r="AY28" s="68">
        <v>64</v>
      </c>
      <c r="AZ28" s="27">
        <v>-586</v>
      </c>
      <c r="BA28" s="74">
        <v>69</v>
      </c>
      <c r="BB28" s="74">
        <v>69</v>
      </c>
      <c r="BC28" s="74">
        <v>69</v>
      </c>
      <c r="BD28" s="68">
        <v>64</v>
      </c>
      <c r="BE28" s="27">
        <v>-586</v>
      </c>
      <c r="BF28" s="74">
        <v>69</v>
      </c>
      <c r="BG28" s="74">
        <v>69</v>
      </c>
      <c r="BH28" s="74">
        <v>70</v>
      </c>
      <c r="BI28" s="68">
        <v>64</v>
      </c>
      <c r="BJ28" s="27">
        <v>-586</v>
      </c>
      <c r="BK28" s="74">
        <v>69</v>
      </c>
    </row>
    <row r="29" spans="1:63" hidden="1">
      <c r="A29" s="69" t="s">
        <v>7</v>
      </c>
      <c r="B29" s="23"/>
      <c r="C29" s="70"/>
      <c r="D29" s="70">
        <f>D28/C28-1</f>
        <v>-3.5294117647058809E-2</v>
      </c>
      <c r="E29" s="70">
        <f>E28/D28-1</f>
        <v>3.6585365853658569E-2</v>
      </c>
      <c r="F29" s="70">
        <f>F28/E28-1</f>
        <v>-3.5294117647058809E-2</v>
      </c>
      <c r="G29" s="23"/>
      <c r="H29" s="70">
        <f>H28/F28-1</f>
        <v>0</v>
      </c>
      <c r="I29" s="70">
        <f>I28/H28-1</f>
        <v>-1.2195121951219523E-2</v>
      </c>
      <c r="J29" s="70">
        <f>J28/I28-1</f>
        <v>2.4691358024691468E-2</v>
      </c>
      <c r="K29" s="70">
        <f>K28/J28-1</f>
        <v>0</v>
      </c>
      <c r="L29" s="26"/>
      <c r="M29" s="70">
        <f>M28/K28-1</f>
        <v>-3.6144578313253017E-2</v>
      </c>
      <c r="N29" s="70">
        <f>N28/M28-1</f>
        <v>1.2499999999999956E-2</v>
      </c>
      <c r="O29" s="70">
        <f>O28/N28-1</f>
        <v>1.2345679012345734E-2</v>
      </c>
      <c r="P29" s="70">
        <f>P28/O28-1</f>
        <v>1.2195121951219523E-2</v>
      </c>
      <c r="Q29" s="26"/>
      <c r="R29" s="70">
        <f>R28/P28-1</f>
        <v>-4.8192771084337394E-2</v>
      </c>
      <c r="S29" s="70">
        <f>S28/R28-1</f>
        <v>-2.5316455696202556E-2</v>
      </c>
      <c r="T29" s="70">
        <f>T28/S28-1</f>
        <v>1.298701298701288E-2</v>
      </c>
      <c r="U29" s="70">
        <f>U28/T28-1</f>
        <v>-0.10256410256410253</v>
      </c>
      <c r="V29" s="26"/>
      <c r="W29" s="70">
        <f>W28/U28-1</f>
        <v>5.7142857142857162E-2</v>
      </c>
      <c r="X29" s="70">
        <f>X28/W28-1</f>
        <v>-1.3513513513513487E-2</v>
      </c>
      <c r="Y29" s="70">
        <f>Y28/X28-1</f>
        <v>0</v>
      </c>
      <c r="Z29" s="70">
        <f>Z28/Y28-1</f>
        <v>-2.7397260273972601E-2</v>
      </c>
      <c r="AA29" s="26"/>
      <c r="AB29" s="70">
        <f>AB28/Z28-1</f>
        <v>-2.8169014084507005E-2</v>
      </c>
      <c r="AC29" s="70">
        <f>AC28/AB28-1</f>
        <v>-1.4492753623188359E-2</v>
      </c>
      <c r="AD29" s="70">
        <f>AD28/AC28-1</f>
        <v>-1.4705882352941124E-2</v>
      </c>
      <c r="AE29" s="70">
        <f>AE28/AD28-1</f>
        <v>-4.4776119402985093E-2</v>
      </c>
      <c r="AF29" s="26"/>
      <c r="AG29" s="70">
        <f>AG28/AE28-1</f>
        <v>7.8125E-2</v>
      </c>
      <c r="AH29" s="70">
        <f>AH28/AG28-1</f>
        <v>-1.4492753623188359E-2</v>
      </c>
      <c r="AI29" s="70">
        <f>AI28/AH28-1</f>
        <v>0</v>
      </c>
      <c r="AJ29" s="70">
        <f>AJ28/AI28-1</f>
        <v>-5.8823529411764719E-2</v>
      </c>
      <c r="AK29" s="26"/>
      <c r="AL29" s="70">
        <f>AL28/AJ28-1</f>
        <v>7.8125E-2</v>
      </c>
      <c r="AM29" s="70">
        <f>AM28/AL28-1</f>
        <v>-1.4492753623188359E-2</v>
      </c>
      <c r="AN29" s="70">
        <f>AN28/AM28-1</f>
        <v>0</v>
      </c>
      <c r="AO29" s="70">
        <f>AO28/AN28-1</f>
        <v>-5.8823529411764719E-2</v>
      </c>
      <c r="AP29" s="26"/>
      <c r="AQ29" s="70">
        <f>AQ28/AO28-1</f>
        <v>7.8125E-2</v>
      </c>
      <c r="AR29" s="70">
        <f>AR28/AQ28-1</f>
        <v>-1.4492753623188359E-2</v>
      </c>
      <c r="AS29" s="70">
        <f>AS28/AR28-1</f>
        <v>0</v>
      </c>
      <c r="AT29" s="70">
        <f>AT28/AS28-1</f>
        <v>-5.8823529411764719E-2</v>
      </c>
      <c r="AU29" s="26"/>
      <c r="AV29" s="70">
        <f>AV28/AT28-1</f>
        <v>7.8125E-2</v>
      </c>
      <c r="AW29" s="70">
        <f>AW28/AU28-1</f>
        <v>-1.1177474402730376</v>
      </c>
      <c r="AX29" s="70">
        <f>AX28/AV28-1</f>
        <v>0</v>
      </c>
      <c r="AY29" s="70">
        <f>AY28/AX28-1</f>
        <v>-7.2463768115942018E-2</v>
      </c>
      <c r="AZ29" s="26"/>
      <c r="BA29" s="70">
        <f>BA28/AY28-1</f>
        <v>7.8125E-2</v>
      </c>
      <c r="BB29" s="70">
        <f>BB28/AZ28-1</f>
        <v>-1.1177474402730376</v>
      </c>
      <c r="BC29" s="70">
        <f>BC28/BA28-1</f>
        <v>0</v>
      </c>
      <c r="BD29" s="70">
        <f>BD28/BC28-1</f>
        <v>-7.2463768115942018E-2</v>
      </c>
      <c r="BE29" s="26"/>
      <c r="BF29" s="70">
        <f>BF28/BD28-1</f>
        <v>7.8125E-2</v>
      </c>
      <c r="BG29" s="70">
        <f>BG28/BE28-1</f>
        <v>-1.1177474402730376</v>
      </c>
      <c r="BH29" s="70">
        <f>BH28/BF28-1</f>
        <v>1.449275362318847E-2</v>
      </c>
      <c r="BI29" s="70">
        <f>BI28/BH28-1</f>
        <v>-8.5714285714285743E-2</v>
      </c>
      <c r="BJ29" s="26"/>
      <c r="BK29" s="70">
        <f>BK28/BI28-1</f>
        <v>7.8125E-2</v>
      </c>
    </row>
    <row r="30" spans="1:63" ht="18.75" customHeight="1">
      <c r="A30" s="67" t="s">
        <v>348</v>
      </c>
      <c r="B30" s="23"/>
      <c r="C30" s="71"/>
      <c r="D30" s="71"/>
      <c r="E30" s="71"/>
      <c r="F30" s="71"/>
      <c r="G30" s="23"/>
      <c r="H30" s="71"/>
      <c r="I30" s="71"/>
      <c r="J30" s="71"/>
      <c r="K30" s="70"/>
      <c r="L30" s="98" t="s">
        <v>48</v>
      </c>
      <c r="M30" s="98" t="s">
        <v>48</v>
      </c>
      <c r="N30" s="98" t="s">
        <v>48</v>
      </c>
      <c r="O30" s="98" t="s">
        <v>48</v>
      </c>
      <c r="P30" s="98" t="s">
        <v>48</v>
      </c>
      <c r="Q30" s="98" t="s">
        <v>48</v>
      </c>
      <c r="R30" s="98" t="s">
        <v>48</v>
      </c>
      <c r="S30" s="98" t="s">
        <v>48</v>
      </c>
      <c r="T30" s="98" t="s">
        <v>48</v>
      </c>
      <c r="U30" s="98" t="s">
        <v>48</v>
      </c>
      <c r="V30" s="98" t="s">
        <v>48</v>
      </c>
      <c r="W30" s="98" t="s">
        <v>48</v>
      </c>
      <c r="X30" s="98" t="s">
        <v>48</v>
      </c>
      <c r="Y30" s="98" t="s">
        <v>48</v>
      </c>
      <c r="Z30" s="98" t="s">
        <v>48</v>
      </c>
      <c r="AA30" s="98" t="s">
        <v>48</v>
      </c>
      <c r="AB30" s="98" t="s">
        <v>48</v>
      </c>
      <c r="AC30" s="98" t="s">
        <v>48</v>
      </c>
      <c r="AD30" s="98" t="s">
        <v>48</v>
      </c>
      <c r="AE30" s="98" t="s">
        <v>48</v>
      </c>
      <c r="AF30" s="98" t="s">
        <v>48</v>
      </c>
      <c r="AG30" s="98" t="s">
        <v>48</v>
      </c>
      <c r="AH30" s="98" t="s">
        <v>48</v>
      </c>
      <c r="AI30" s="98" t="s">
        <v>48</v>
      </c>
      <c r="AJ30" s="98" t="s">
        <v>48</v>
      </c>
      <c r="AK30" s="98" t="s">
        <v>48</v>
      </c>
      <c r="AL30" s="98" t="s">
        <v>48</v>
      </c>
      <c r="AM30" s="98" t="s">
        <v>48</v>
      </c>
      <c r="AN30" s="98" t="s">
        <v>48</v>
      </c>
      <c r="AO30" s="98" t="s">
        <v>48</v>
      </c>
      <c r="AP30" s="98" t="s">
        <v>48</v>
      </c>
      <c r="AQ30" s="98" t="s">
        <v>48</v>
      </c>
      <c r="AR30" s="98" t="s">
        <v>48</v>
      </c>
      <c r="AS30" s="98" t="s">
        <v>48</v>
      </c>
      <c r="AT30" s="98" t="s">
        <v>48</v>
      </c>
      <c r="AU30" s="98" t="s">
        <v>48</v>
      </c>
      <c r="AV30" s="98" t="s">
        <v>48</v>
      </c>
      <c r="AW30" s="98" t="s">
        <v>48</v>
      </c>
      <c r="AX30" s="98" t="s">
        <v>48</v>
      </c>
      <c r="AY30" s="98" t="s">
        <v>48</v>
      </c>
      <c r="AZ30" s="98" t="s">
        <v>48</v>
      </c>
      <c r="BA30" s="81" t="s">
        <v>40</v>
      </c>
      <c r="BB30" s="81" t="s">
        <v>40</v>
      </c>
      <c r="BC30" s="81" t="s">
        <v>40</v>
      </c>
      <c r="BD30" s="68">
        <v>100</v>
      </c>
      <c r="BE30" s="27">
        <v>100</v>
      </c>
      <c r="BF30" s="68">
        <v>159</v>
      </c>
      <c r="BG30" s="68">
        <v>215</v>
      </c>
      <c r="BH30" s="68">
        <v>272</v>
      </c>
      <c r="BI30" s="68">
        <v>321</v>
      </c>
      <c r="BJ30" s="27">
        <v>321</v>
      </c>
      <c r="BK30" s="68">
        <v>378</v>
      </c>
    </row>
    <row r="31" spans="1:63" ht="14.25" customHeight="1">
      <c r="A31" s="67" t="s">
        <v>408</v>
      </c>
      <c r="B31" s="23"/>
      <c r="C31" s="71"/>
      <c r="D31" s="71"/>
      <c r="E31" s="71"/>
      <c r="F31" s="71"/>
      <c r="G31" s="23"/>
      <c r="H31" s="71"/>
      <c r="I31" s="71"/>
      <c r="J31" s="71"/>
      <c r="K31" s="70"/>
      <c r="L31" s="23"/>
      <c r="M31" s="71"/>
      <c r="N31" s="71"/>
      <c r="O31" s="71"/>
      <c r="P31" s="70"/>
      <c r="Q31" s="23"/>
      <c r="R31" s="71"/>
      <c r="S31" s="71"/>
      <c r="T31" s="71"/>
      <c r="U31" s="70"/>
      <c r="V31" s="23"/>
      <c r="W31" s="71"/>
      <c r="X31" s="71"/>
      <c r="Y31" s="71"/>
      <c r="Z31" s="70"/>
      <c r="AA31" s="23"/>
      <c r="AB31" s="71"/>
      <c r="AC31" s="71"/>
      <c r="AD31" s="71"/>
      <c r="AE31" s="70"/>
      <c r="AF31" s="23"/>
      <c r="AG31" s="71"/>
      <c r="AH31" s="71"/>
      <c r="AI31" s="71"/>
      <c r="AJ31" s="70"/>
      <c r="AK31" s="23"/>
      <c r="AL31" s="71"/>
      <c r="AM31" s="71"/>
      <c r="AN31" s="71"/>
      <c r="AO31" s="70"/>
      <c r="AP31" s="23"/>
      <c r="AQ31" s="71"/>
      <c r="AR31" s="71"/>
      <c r="AS31" s="71"/>
      <c r="AT31" s="70"/>
      <c r="AU31" s="23"/>
      <c r="AV31" s="71"/>
      <c r="AW31" s="71"/>
      <c r="AX31" s="71"/>
      <c r="AY31" s="70"/>
      <c r="AZ31" s="23"/>
      <c r="BA31" s="71"/>
      <c r="BB31" s="71"/>
      <c r="BC31" s="71"/>
      <c r="BD31" s="70"/>
      <c r="BE31" s="23"/>
      <c r="BF31" s="68">
        <v>60</v>
      </c>
      <c r="BG31" s="68">
        <v>77</v>
      </c>
      <c r="BH31" s="68">
        <v>100</v>
      </c>
      <c r="BI31" s="68">
        <v>116</v>
      </c>
      <c r="BJ31" s="27">
        <v>116</v>
      </c>
      <c r="BK31" s="68">
        <v>144</v>
      </c>
    </row>
    <row r="32" spans="1:63">
      <c r="A32" s="67" t="s">
        <v>158</v>
      </c>
      <c r="B32" s="38">
        <v>9.5000000000000001E-2</v>
      </c>
      <c r="C32" s="88">
        <v>3.6999999999999998E-2</v>
      </c>
      <c r="D32" s="88">
        <v>2.8000000000000001E-2</v>
      </c>
      <c r="E32" s="88">
        <v>3.1E-2</v>
      </c>
      <c r="F32" s="88">
        <v>2.9000000000000001E-2</v>
      </c>
      <c r="G32" s="98" t="s">
        <v>48</v>
      </c>
      <c r="H32" s="116" t="s">
        <v>40</v>
      </c>
      <c r="I32" s="116" t="s">
        <v>40</v>
      </c>
      <c r="J32" s="116" t="s">
        <v>40</v>
      </c>
      <c r="K32" s="116" t="s">
        <v>40</v>
      </c>
      <c r="L32" s="98" t="s">
        <v>48</v>
      </c>
      <c r="M32" s="116" t="s">
        <v>40</v>
      </c>
      <c r="N32" s="116" t="s">
        <v>40</v>
      </c>
      <c r="O32" s="116" t="s">
        <v>40</v>
      </c>
      <c r="P32" s="116" t="s">
        <v>40</v>
      </c>
      <c r="Q32" s="98" t="s">
        <v>48</v>
      </c>
      <c r="R32" s="88">
        <v>3.3000000000000002E-2</v>
      </c>
      <c r="S32" s="88">
        <v>2.8000000000000001E-2</v>
      </c>
      <c r="T32" s="88">
        <v>2.8000000000000001E-2</v>
      </c>
      <c r="U32" s="88">
        <v>2.8000000000000001E-2</v>
      </c>
      <c r="V32" s="38">
        <v>0.11600000000000001</v>
      </c>
      <c r="W32" s="88">
        <v>3.2000000000000001E-2</v>
      </c>
      <c r="X32" s="88">
        <v>3.9E-2</v>
      </c>
      <c r="Y32" s="88">
        <v>4.2000000000000003E-2</v>
      </c>
      <c r="Z32" s="88">
        <v>0.04</v>
      </c>
      <c r="AA32" s="38">
        <v>0.153</v>
      </c>
      <c r="AB32" s="88">
        <v>3.6999999999999998E-2</v>
      </c>
      <c r="AC32" s="88">
        <v>3.5000000000000003E-2</v>
      </c>
      <c r="AD32" s="88">
        <v>2.8000000000000001E-2</v>
      </c>
      <c r="AE32" s="88">
        <f>AF32-AD32-AC32-AB32</f>
        <v>3.1000000000000007E-2</v>
      </c>
      <c r="AF32" s="38">
        <v>0.13100000000000001</v>
      </c>
      <c r="AG32" s="88">
        <v>0.03</v>
      </c>
      <c r="AH32" s="88">
        <v>2.8000000000000001E-2</v>
      </c>
      <c r="AI32" s="88">
        <v>2.8000000000000001E-2</v>
      </c>
      <c r="AJ32" s="88">
        <v>2.5000000000000001E-2</v>
      </c>
      <c r="AK32" s="38">
        <v>0.111</v>
      </c>
      <c r="AL32" s="88">
        <v>2.4E-2</v>
      </c>
      <c r="AM32" s="88">
        <v>2.4E-2</v>
      </c>
      <c r="AN32" s="88">
        <v>2.5999999999999999E-2</v>
      </c>
      <c r="AO32" s="88">
        <v>2.7E-2</v>
      </c>
      <c r="AP32" s="38">
        <v>0.10100000000000001</v>
      </c>
      <c r="AQ32" s="88">
        <v>2.8000000000000001E-2</v>
      </c>
      <c r="AR32" s="88">
        <v>2.4E-2</v>
      </c>
      <c r="AS32" s="88">
        <v>2.5999999999999999E-2</v>
      </c>
      <c r="AT32" s="88">
        <v>2.4E-2</v>
      </c>
      <c r="AU32" s="38">
        <v>0.10199999999999999</v>
      </c>
      <c r="AV32" s="88">
        <v>2.7E-2</v>
      </c>
      <c r="AW32" s="88">
        <v>2.4E-2</v>
      </c>
      <c r="AX32" s="88">
        <v>2.3E-2</v>
      </c>
      <c r="AY32" s="88">
        <v>2.4E-2</v>
      </c>
      <c r="AZ32" s="38">
        <v>9.8000000000000004E-2</v>
      </c>
      <c r="BA32" s="88">
        <v>0.03</v>
      </c>
      <c r="BB32" s="88">
        <v>2.8000000000000001E-2</v>
      </c>
      <c r="BC32" s="88">
        <v>2.7E-2</v>
      </c>
      <c r="BD32" s="88">
        <v>3.1E-2</v>
      </c>
      <c r="BE32" s="38">
        <v>0.11600000000000001</v>
      </c>
      <c r="BF32" s="88">
        <v>0.03</v>
      </c>
      <c r="BG32" s="88">
        <v>2.7E-2</v>
      </c>
      <c r="BH32" s="88">
        <v>0.03</v>
      </c>
      <c r="BI32" s="88">
        <v>2.9000000000000001E-2</v>
      </c>
      <c r="BJ32" s="38">
        <v>0.11700000000000001</v>
      </c>
      <c r="BK32" s="88">
        <v>3.2000000000000001E-2</v>
      </c>
    </row>
    <row r="33" spans="1:63">
      <c r="A33" s="69"/>
      <c r="B33" s="23"/>
      <c r="C33" s="71"/>
      <c r="D33" s="71"/>
      <c r="E33" s="71"/>
      <c r="F33" s="71"/>
      <c r="G33" s="23"/>
      <c r="H33" s="71"/>
      <c r="I33" s="71"/>
      <c r="J33" s="71"/>
      <c r="K33" s="70"/>
      <c r="L33" s="23"/>
      <c r="M33" s="71"/>
      <c r="N33" s="71"/>
      <c r="O33" s="71"/>
      <c r="P33" s="70"/>
      <c r="Q33" s="23"/>
      <c r="R33" s="71"/>
      <c r="S33" s="71"/>
      <c r="T33" s="71"/>
      <c r="U33" s="70"/>
      <c r="V33" s="23"/>
      <c r="W33" s="71"/>
      <c r="X33" s="71"/>
      <c r="Y33" s="71"/>
      <c r="Z33" s="70"/>
      <c r="AA33" s="23"/>
      <c r="AB33" s="71"/>
      <c r="AC33" s="71"/>
      <c r="AD33" s="71"/>
      <c r="AE33" s="70"/>
      <c r="AF33" s="23"/>
      <c r="AG33" s="71"/>
      <c r="AH33" s="71"/>
      <c r="AI33" s="71"/>
      <c r="AJ33" s="70"/>
      <c r="AK33" s="23"/>
      <c r="AL33" s="71"/>
      <c r="AM33" s="71"/>
      <c r="AN33" s="71"/>
      <c r="AO33" s="70"/>
      <c r="AP33" s="23"/>
      <c r="AQ33" s="71"/>
      <c r="AR33" s="71"/>
      <c r="AS33" s="71"/>
      <c r="AT33" s="70"/>
      <c r="AU33" s="23"/>
      <c r="AV33" s="71"/>
      <c r="AW33" s="71"/>
      <c r="AX33" s="71"/>
      <c r="AY33" s="70"/>
      <c r="AZ33" s="23"/>
      <c r="BA33" s="71"/>
      <c r="BB33" s="71"/>
      <c r="BC33" s="71"/>
      <c r="BD33" s="70"/>
      <c r="BE33" s="23"/>
      <c r="BF33" s="71"/>
      <c r="BG33" s="71"/>
      <c r="BH33" s="71"/>
      <c r="BI33" s="70"/>
      <c r="BJ33" s="23"/>
      <c r="BK33" s="71"/>
    </row>
    <row r="34" spans="1:63">
      <c r="A34" s="67" t="s">
        <v>140</v>
      </c>
      <c r="B34" s="37">
        <v>963</v>
      </c>
      <c r="C34" s="67">
        <v>970</v>
      </c>
      <c r="D34" s="67">
        <v>982</v>
      </c>
      <c r="E34" s="67">
        <v>994</v>
      </c>
      <c r="F34" s="68">
        <v>1005</v>
      </c>
      <c r="G34" s="37">
        <v>1005</v>
      </c>
      <c r="H34" s="68">
        <v>1011</v>
      </c>
      <c r="I34" s="68">
        <v>1016</v>
      </c>
      <c r="J34" s="68">
        <v>1026</v>
      </c>
      <c r="K34" s="68">
        <v>1035</v>
      </c>
      <c r="L34" s="36">
        <v>1035</v>
      </c>
      <c r="M34" s="68">
        <v>1045</v>
      </c>
      <c r="N34" s="68">
        <v>1051</v>
      </c>
      <c r="O34" s="68">
        <v>1056</v>
      </c>
      <c r="P34" s="68">
        <v>1066</v>
      </c>
      <c r="Q34" s="36">
        <v>1066</v>
      </c>
      <c r="R34" s="68">
        <v>1079</v>
      </c>
      <c r="S34" s="68">
        <v>1088</v>
      </c>
      <c r="T34" s="68">
        <v>1100</v>
      </c>
      <c r="U34" s="68">
        <v>1111</v>
      </c>
      <c r="V34" s="36">
        <v>1111</v>
      </c>
      <c r="W34" s="68">
        <v>1121</v>
      </c>
      <c r="X34" s="68">
        <v>1136</v>
      </c>
      <c r="Y34" s="68">
        <v>1153</v>
      </c>
      <c r="Z34" s="68">
        <v>1169</v>
      </c>
      <c r="AA34" s="36">
        <v>1169</v>
      </c>
      <c r="AB34" s="68">
        <v>1185</v>
      </c>
      <c r="AC34" s="68">
        <v>1202</v>
      </c>
      <c r="AD34" s="68">
        <v>1230</v>
      </c>
      <c r="AE34" s="68">
        <v>1263</v>
      </c>
      <c r="AF34" s="36">
        <v>1263</v>
      </c>
      <c r="AG34" s="68">
        <v>1289</v>
      </c>
      <c r="AH34" s="68">
        <v>1308</v>
      </c>
      <c r="AI34" s="68">
        <v>1335</v>
      </c>
      <c r="AJ34" s="68">
        <v>1364</v>
      </c>
      <c r="AK34" s="36">
        <v>1364</v>
      </c>
      <c r="AL34" s="68">
        <f>1379+11</f>
        <v>1390</v>
      </c>
      <c r="AM34" s="68">
        <v>1418</v>
      </c>
      <c r="AN34" s="68">
        <v>1448</v>
      </c>
      <c r="AO34" s="68">
        <v>1479</v>
      </c>
      <c r="AP34" s="36">
        <v>1479</v>
      </c>
      <c r="AQ34" s="68">
        <v>1503</v>
      </c>
      <c r="AR34" s="68">
        <v>1521</v>
      </c>
      <c r="AS34" s="68">
        <v>1539</v>
      </c>
      <c r="AT34" s="68">
        <v>1558</v>
      </c>
      <c r="AU34" s="36">
        <v>1558</v>
      </c>
      <c r="AV34" s="68">
        <v>1580</v>
      </c>
      <c r="AW34" s="68">
        <f>AW39+AW45</f>
        <v>1593</v>
      </c>
      <c r="AX34" s="68">
        <v>1608</v>
      </c>
      <c r="AY34" s="68">
        <v>1635</v>
      </c>
      <c r="AZ34" s="36">
        <v>1635</v>
      </c>
      <c r="BA34" s="68">
        <f>BA39+BA45</f>
        <v>1653</v>
      </c>
      <c r="BB34" s="68">
        <f>BB39+BB45</f>
        <v>1662</v>
      </c>
      <c r="BC34" s="68">
        <f>BC39+BC45</f>
        <v>1663</v>
      </c>
      <c r="BD34" s="68">
        <f>BE34</f>
        <v>1656</v>
      </c>
      <c r="BE34" s="36">
        <v>1656</v>
      </c>
      <c r="BF34" s="68">
        <f>BF39+BF45</f>
        <v>1635</v>
      </c>
      <c r="BG34" s="68">
        <f>BG39+BG45</f>
        <v>1613</v>
      </c>
      <c r="BH34" s="68">
        <f>BH39+BH45</f>
        <v>1589</v>
      </c>
      <c r="BI34" s="68">
        <f>BJ34</f>
        <v>1575</v>
      </c>
      <c r="BJ34" s="36">
        <f>BJ39+BJ45</f>
        <v>1575</v>
      </c>
      <c r="BK34" s="68">
        <f>BK39+BK45</f>
        <v>1566</v>
      </c>
    </row>
    <row r="35" spans="1:63">
      <c r="A35" s="226" t="s">
        <v>7</v>
      </c>
      <c r="B35" s="23"/>
      <c r="C35" s="70"/>
      <c r="D35" s="70">
        <f>D34/C34-1</f>
        <v>1.2371134020618513E-2</v>
      </c>
      <c r="E35" s="70">
        <f>E34/D34-1</f>
        <v>1.2219959266802416E-2</v>
      </c>
      <c r="F35" s="70">
        <f>F34/E34-1</f>
        <v>1.1066398390342069E-2</v>
      </c>
      <c r="G35" s="23"/>
      <c r="H35" s="70">
        <f>H34/F34-1</f>
        <v>5.9701492537314049E-3</v>
      </c>
      <c r="I35" s="70">
        <f>I34/H34-1</f>
        <v>4.9455984174084922E-3</v>
      </c>
      <c r="J35" s="70">
        <f>J34/I34-1</f>
        <v>9.8425196850393526E-3</v>
      </c>
      <c r="K35" s="70">
        <f>K34/J34-1</f>
        <v>8.7719298245614308E-3</v>
      </c>
      <c r="L35" s="26"/>
      <c r="M35" s="70">
        <f>M34/K34-1</f>
        <v>9.6618357487923134E-3</v>
      </c>
      <c r="N35" s="70">
        <f>N34/M34-1</f>
        <v>5.7416267942582699E-3</v>
      </c>
      <c r="O35" s="70">
        <f>O34/N34-1</f>
        <v>4.7573739295909689E-3</v>
      </c>
      <c r="P35" s="70">
        <f>P34/O34-1</f>
        <v>9.4696969696970168E-3</v>
      </c>
      <c r="Q35" s="26"/>
      <c r="R35" s="70">
        <f>R34/P34-1</f>
        <v>1.2195121951219523E-2</v>
      </c>
      <c r="S35" s="70">
        <f>S34/R34-1</f>
        <v>8.3410565338275511E-3</v>
      </c>
      <c r="T35" s="70">
        <f>T34/S34-1</f>
        <v>1.1029411764705843E-2</v>
      </c>
      <c r="U35" s="70">
        <f>U34/T34-1</f>
        <v>1.0000000000000009E-2</v>
      </c>
      <c r="V35" s="26"/>
      <c r="W35" s="70">
        <f>W34/U34-1</f>
        <v>9.0009000900090896E-3</v>
      </c>
      <c r="X35" s="70">
        <f>X34/W34-1</f>
        <v>1.338090990187335E-2</v>
      </c>
      <c r="Y35" s="70">
        <f>Y34/X34-1</f>
        <v>1.4964788732394263E-2</v>
      </c>
      <c r="Z35" s="70">
        <f>Z34/Y34-1</f>
        <v>1.3876843018213458E-2</v>
      </c>
      <c r="AA35" s="26"/>
      <c r="AB35" s="70">
        <f>AB34/Z34-1</f>
        <v>1.3686911890504749E-2</v>
      </c>
      <c r="AC35" s="70">
        <f>AC34/AB34-1</f>
        <v>1.4345991561181437E-2</v>
      </c>
      <c r="AD35" s="70">
        <f>AD34/AC34-1</f>
        <v>2.3294509151414289E-2</v>
      </c>
      <c r="AE35" s="70">
        <f>AE34/AD34-1</f>
        <v>2.6829268292682951E-2</v>
      </c>
      <c r="AF35" s="26"/>
      <c r="AG35" s="70">
        <f>AG34/AE34-1</f>
        <v>2.0585906571654711E-2</v>
      </c>
      <c r="AH35" s="70">
        <f>AH34/AG34-1</f>
        <v>1.4740108611326574E-2</v>
      </c>
      <c r="AI35" s="70">
        <f>AI34/AH34-1</f>
        <v>2.0642201834862428E-2</v>
      </c>
      <c r="AJ35" s="70">
        <f>AJ34/AI34-1</f>
        <v>2.1722846441947663E-2</v>
      </c>
      <c r="AK35" s="26"/>
      <c r="AL35" s="70">
        <f>AL34/AJ34-1</f>
        <v>1.9061583577712593E-2</v>
      </c>
      <c r="AM35" s="70">
        <f>AM34/AL34-1</f>
        <v>2.0143884892086295E-2</v>
      </c>
      <c r="AN35" s="70">
        <f>AN34/AM34-1</f>
        <v>2.1156558533145242E-2</v>
      </c>
      <c r="AO35" s="70">
        <f>AO34/AN34-1</f>
        <v>2.140883977900554E-2</v>
      </c>
      <c r="AP35" s="26"/>
      <c r="AQ35" s="70">
        <f>AQ34/AO34-1</f>
        <v>1.6227180527383478E-2</v>
      </c>
      <c r="AR35" s="70">
        <f>AR34/AQ34-1</f>
        <v>1.1976047904191711E-2</v>
      </c>
      <c r="AS35" s="70">
        <f>AS34/AR34-1</f>
        <v>1.1834319526627279E-2</v>
      </c>
      <c r="AT35" s="70">
        <f>AT34/AS34-1</f>
        <v>1.2345679012345734E-2</v>
      </c>
      <c r="AU35" s="26"/>
      <c r="AV35" s="70">
        <f>AV34/AT34-1</f>
        <v>1.4120667522464769E-2</v>
      </c>
      <c r="AW35" s="70">
        <f>AW34/AV34-1</f>
        <v>8.2278481012658666E-3</v>
      </c>
      <c r="AX35" s="70">
        <f>AX34/AW34-1</f>
        <v>9.4161958568739212E-3</v>
      </c>
      <c r="AY35" s="70">
        <f>AY34/AX34-1</f>
        <v>1.6791044776119479E-2</v>
      </c>
      <c r="AZ35" s="26"/>
      <c r="BA35" s="70">
        <f>BA34/AY34-1</f>
        <v>1.1009174311926495E-2</v>
      </c>
      <c r="BB35" s="70">
        <f>BB34/BA34-1</f>
        <v>5.4446460980035472E-3</v>
      </c>
      <c r="BC35" s="70">
        <f>BC34/BB34-1</f>
        <v>6.0168471720811745E-4</v>
      </c>
      <c r="BD35" s="70">
        <f>BD34/BC34-1</f>
        <v>-4.2092603728202116E-3</v>
      </c>
      <c r="BE35" s="23"/>
      <c r="BF35" s="70">
        <f>BF34/BD34-1</f>
        <v>-1.26811594202898E-2</v>
      </c>
      <c r="BG35" s="70">
        <f>BG34/BF34-1</f>
        <v>-1.3455657492354778E-2</v>
      </c>
      <c r="BH35" s="70">
        <f>BH34/BG34-1</f>
        <v>-1.4879107253564783E-2</v>
      </c>
      <c r="BI35" s="70">
        <f>BI34/BH34-1</f>
        <v>-8.8105726872246271E-3</v>
      </c>
      <c r="BJ35" s="23"/>
      <c r="BK35" s="70">
        <f>BK34/BI34-1</f>
        <v>-5.7142857142856718E-3</v>
      </c>
    </row>
    <row r="36" spans="1:63">
      <c r="A36" s="69" t="s">
        <v>8</v>
      </c>
      <c r="B36" s="23"/>
      <c r="C36" s="71"/>
      <c r="D36" s="71"/>
      <c r="E36" s="71"/>
      <c r="F36" s="71"/>
      <c r="G36" s="23">
        <f t="shared" ref="G36:N36" si="51">G34/B34-1</f>
        <v>4.3613707165109039E-2</v>
      </c>
      <c r="H36" s="71">
        <f t="shared" si="51"/>
        <v>4.2268041237113474E-2</v>
      </c>
      <c r="I36" s="71">
        <f t="shared" si="51"/>
        <v>3.4623217922606919E-2</v>
      </c>
      <c r="J36" s="71">
        <f t="shared" si="51"/>
        <v>3.2193158953722323E-2</v>
      </c>
      <c r="K36" s="70">
        <f t="shared" si="51"/>
        <v>2.9850746268656803E-2</v>
      </c>
      <c r="L36" s="23">
        <f t="shared" si="51"/>
        <v>2.9850746268656803E-2</v>
      </c>
      <c r="M36" s="71">
        <f t="shared" si="51"/>
        <v>3.3630069238377747E-2</v>
      </c>
      <c r="N36" s="71">
        <f t="shared" si="51"/>
        <v>3.4448818897637734E-2</v>
      </c>
      <c r="O36" s="71">
        <f t="shared" ref="O36:Y36" si="52">O34/J34-1</f>
        <v>2.9239766081871288E-2</v>
      </c>
      <c r="P36" s="70">
        <f t="shared" si="52"/>
        <v>2.9951690821256038E-2</v>
      </c>
      <c r="Q36" s="23">
        <f t="shared" si="52"/>
        <v>2.9951690821256038E-2</v>
      </c>
      <c r="R36" s="71">
        <f t="shared" si="52"/>
        <v>3.2535885167464196E-2</v>
      </c>
      <c r="S36" s="71">
        <f t="shared" si="52"/>
        <v>3.520456707897246E-2</v>
      </c>
      <c r="T36" s="71">
        <f t="shared" si="52"/>
        <v>4.1666666666666741E-2</v>
      </c>
      <c r="U36" s="70">
        <f t="shared" si="52"/>
        <v>4.2213883677298281E-2</v>
      </c>
      <c r="V36" s="23">
        <f t="shared" si="52"/>
        <v>4.2213883677298281E-2</v>
      </c>
      <c r="W36" s="71">
        <f t="shared" si="52"/>
        <v>3.8924930491195608E-2</v>
      </c>
      <c r="X36" s="71">
        <f t="shared" si="52"/>
        <v>4.4117647058823595E-2</v>
      </c>
      <c r="Y36" s="71">
        <f t="shared" si="52"/>
        <v>4.8181818181818103E-2</v>
      </c>
      <c r="Z36" s="70">
        <f t="shared" ref="Z36:AI36" si="53">Z34/U34-1</f>
        <v>5.2205220522052231E-2</v>
      </c>
      <c r="AA36" s="23">
        <f t="shared" si="53"/>
        <v>5.2205220522052231E-2</v>
      </c>
      <c r="AB36" s="71">
        <f t="shared" si="53"/>
        <v>5.7091882247992887E-2</v>
      </c>
      <c r="AC36" s="71">
        <f t="shared" si="53"/>
        <v>5.8098591549295753E-2</v>
      </c>
      <c r="AD36" s="71">
        <f t="shared" si="53"/>
        <v>6.6782307025151866E-2</v>
      </c>
      <c r="AE36" s="70">
        <f t="shared" si="53"/>
        <v>8.0410607356715236E-2</v>
      </c>
      <c r="AF36" s="23">
        <f t="shared" si="53"/>
        <v>8.0410607356715236E-2</v>
      </c>
      <c r="AG36" s="71">
        <f t="shared" si="53"/>
        <v>8.7763713080168726E-2</v>
      </c>
      <c r="AH36" s="71">
        <f t="shared" si="53"/>
        <v>8.8186356073211236E-2</v>
      </c>
      <c r="AI36" s="71">
        <f t="shared" si="53"/>
        <v>8.5365853658536661E-2</v>
      </c>
      <c r="AJ36" s="70">
        <f t="shared" ref="AJ36:AS36" si="54">AJ34/AE34-1</f>
        <v>7.9968329374505043E-2</v>
      </c>
      <c r="AK36" s="23">
        <f t="shared" si="54"/>
        <v>7.9968329374505043E-2</v>
      </c>
      <c r="AL36" s="71">
        <f t="shared" si="54"/>
        <v>7.8355314197051884E-2</v>
      </c>
      <c r="AM36" s="71">
        <f t="shared" si="54"/>
        <v>8.4097859327217028E-2</v>
      </c>
      <c r="AN36" s="71">
        <f t="shared" si="54"/>
        <v>8.4644194756554381E-2</v>
      </c>
      <c r="AO36" s="70">
        <f t="shared" si="54"/>
        <v>8.4310850439882623E-2</v>
      </c>
      <c r="AP36" s="23">
        <f t="shared" si="54"/>
        <v>8.4310850439882623E-2</v>
      </c>
      <c r="AQ36" s="71">
        <f t="shared" si="54"/>
        <v>8.1294964028777006E-2</v>
      </c>
      <c r="AR36" s="71">
        <f t="shared" si="54"/>
        <v>7.2637517630465442E-2</v>
      </c>
      <c r="AS36" s="71">
        <f t="shared" si="54"/>
        <v>6.2845303867403279E-2</v>
      </c>
      <c r="AT36" s="70">
        <f t="shared" ref="AT36" si="55">AT34/AO34-1</f>
        <v>5.3414469235970152E-2</v>
      </c>
      <c r="AU36" s="23">
        <f t="shared" ref="AU36:AX36" si="56">AU34/AP34-1</f>
        <v>5.3414469235970152E-2</v>
      </c>
      <c r="AV36" s="71">
        <f t="shared" si="56"/>
        <v>5.1230871590153049E-2</v>
      </c>
      <c r="AW36" s="71">
        <f t="shared" si="56"/>
        <v>4.7337278106508895E-2</v>
      </c>
      <c r="AX36" s="71">
        <f t="shared" si="56"/>
        <v>4.4834307992202671E-2</v>
      </c>
      <c r="AY36" s="70">
        <f t="shared" ref="AY36" si="57">AY34/AT34-1</f>
        <v>4.942233632862636E-2</v>
      </c>
      <c r="AZ36" s="23">
        <f t="shared" ref="AZ36:BC36" si="58">AZ34/AU34-1</f>
        <v>4.942233632862636E-2</v>
      </c>
      <c r="BA36" s="71">
        <f t="shared" si="58"/>
        <v>4.6202531645569644E-2</v>
      </c>
      <c r="BB36" s="71">
        <f t="shared" si="58"/>
        <v>4.3314500941619594E-2</v>
      </c>
      <c r="BC36" s="71">
        <f t="shared" si="58"/>
        <v>3.4203980099502429E-2</v>
      </c>
      <c r="BD36" s="70">
        <f t="shared" ref="BD36" si="59">BD34/AY34-1</f>
        <v>1.2844036697247763E-2</v>
      </c>
      <c r="BE36" s="23">
        <f t="shared" ref="BE36:BH36" si="60">BE34/AZ34-1</f>
        <v>1.2844036697247763E-2</v>
      </c>
      <c r="BF36" s="71">
        <f t="shared" si="60"/>
        <v>-1.0889292196007205E-2</v>
      </c>
      <c r="BG36" s="71">
        <f t="shared" si="60"/>
        <v>-2.9482551143200975E-2</v>
      </c>
      <c r="BH36" s="71">
        <f t="shared" si="60"/>
        <v>-4.4497895369813634E-2</v>
      </c>
      <c r="BI36" s="70">
        <f t="shared" ref="BI36" si="61">BI34/BD34-1</f>
        <v>-4.8913043478260865E-2</v>
      </c>
      <c r="BJ36" s="23">
        <f t="shared" ref="BJ36:BK36" si="62">BJ34/BE34-1</f>
        <v>-4.8913043478260865E-2</v>
      </c>
      <c r="BK36" s="71">
        <f t="shared" si="62"/>
        <v>-4.2201834862385268E-2</v>
      </c>
    </row>
    <row r="37" spans="1:63">
      <c r="A37" s="69" t="s">
        <v>194</v>
      </c>
      <c r="B37" s="23"/>
      <c r="C37" s="71"/>
      <c r="D37" s="71"/>
      <c r="E37" s="71"/>
      <c r="F37" s="71"/>
      <c r="G37" s="196">
        <f>G34-B34</f>
        <v>42</v>
      </c>
      <c r="H37" s="71"/>
      <c r="I37" s="71"/>
      <c r="J37" s="71"/>
      <c r="K37" s="70"/>
      <c r="L37" s="196">
        <f>L34-G34</f>
        <v>30</v>
      </c>
      <c r="M37" s="71"/>
      <c r="N37" s="71"/>
      <c r="O37" s="71"/>
      <c r="P37" s="70"/>
      <c r="Q37" s="196">
        <f>Q34-L34</f>
        <v>31</v>
      </c>
      <c r="R37" s="71"/>
      <c r="S37" s="71"/>
      <c r="T37" s="71"/>
      <c r="U37" s="70"/>
      <c r="V37" s="196">
        <f>V34-Q34</f>
        <v>45</v>
      </c>
      <c r="W37" s="71"/>
      <c r="X37" s="71"/>
      <c r="Y37" s="71"/>
      <c r="Z37" s="70"/>
      <c r="AA37" s="196">
        <f>AA34-V34</f>
        <v>58</v>
      </c>
      <c r="AB37" s="71"/>
      <c r="AC37" s="71"/>
      <c r="AD37" s="71"/>
      <c r="AE37" s="70"/>
      <c r="AF37" s="196">
        <f>AF34-AA34</f>
        <v>94</v>
      </c>
      <c r="AG37" s="71"/>
      <c r="AH37" s="71"/>
      <c r="AI37" s="71"/>
      <c r="AJ37" s="70"/>
      <c r="AK37" s="196">
        <f>AK34-AF34</f>
        <v>101</v>
      </c>
      <c r="AL37" s="71"/>
      <c r="AM37" s="193">
        <f>AM34-AL34</f>
        <v>28</v>
      </c>
      <c r="AN37" s="193">
        <f t="shared" ref="AN37:AO37" si="63">AN34-AM34</f>
        <v>30</v>
      </c>
      <c r="AO37" s="193">
        <f t="shared" si="63"/>
        <v>31</v>
      </c>
      <c r="AP37" s="196">
        <f>AP34-AK34</f>
        <v>115</v>
      </c>
      <c r="AQ37" s="195">
        <f>AQ34-AO34</f>
        <v>24</v>
      </c>
      <c r="AR37" s="195">
        <f>AR34-AQ34</f>
        <v>18</v>
      </c>
      <c r="AS37" s="195">
        <f t="shared" ref="AS37:AT37" si="64">AS34-AR34</f>
        <v>18</v>
      </c>
      <c r="AT37" s="195">
        <f t="shared" si="64"/>
        <v>19</v>
      </c>
      <c r="AU37" s="196">
        <f>AU34-AP34</f>
        <v>79</v>
      </c>
      <c r="AV37" s="195">
        <f>AV34-AT34</f>
        <v>22</v>
      </c>
      <c r="AW37" s="195">
        <f>AW34-AV34</f>
        <v>13</v>
      </c>
      <c r="AX37" s="195">
        <f>AX34-AW34</f>
        <v>15</v>
      </c>
      <c r="AY37" s="195">
        <f t="shared" ref="AY37" si="65">AY34-AX34</f>
        <v>27</v>
      </c>
      <c r="AZ37" s="196">
        <f>AZ34-AU34</f>
        <v>77</v>
      </c>
      <c r="BA37" s="195">
        <f>BA34-AY34</f>
        <v>18</v>
      </c>
      <c r="BB37" s="195">
        <f>BB34-BA34</f>
        <v>9</v>
      </c>
      <c r="BC37" s="195">
        <f>BC34-BB34</f>
        <v>1</v>
      </c>
      <c r="BD37" s="195">
        <f t="shared" ref="BD37" si="66">BD34-BC34</f>
        <v>-7</v>
      </c>
      <c r="BE37" s="196">
        <f>BE34-AZ34</f>
        <v>21</v>
      </c>
      <c r="BF37" s="195">
        <f>BF34-BD34</f>
        <v>-21</v>
      </c>
      <c r="BG37" s="195">
        <f>BG34-BF34</f>
        <v>-22</v>
      </c>
      <c r="BH37" s="195">
        <f>BH34-BG34</f>
        <v>-24</v>
      </c>
      <c r="BI37" s="195">
        <f t="shared" ref="BI37" si="67">BI34-BH34</f>
        <v>-14</v>
      </c>
      <c r="BJ37" s="196">
        <f>BJ34-BE34</f>
        <v>-81</v>
      </c>
      <c r="BK37" s="195">
        <f>BK34-BI34</f>
        <v>-9</v>
      </c>
    </row>
    <row r="38" spans="1:63" ht="8.25" customHeight="1">
      <c r="A38" s="69"/>
      <c r="B38" s="23"/>
      <c r="C38" s="71"/>
      <c r="D38" s="71"/>
      <c r="E38" s="71"/>
      <c r="F38" s="71"/>
      <c r="G38" s="23"/>
      <c r="H38" s="71"/>
      <c r="I38" s="71"/>
      <c r="J38" s="71"/>
      <c r="K38" s="70"/>
      <c r="L38" s="23"/>
      <c r="M38" s="71"/>
      <c r="N38" s="71"/>
      <c r="O38" s="71"/>
      <c r="P38" s="70"/>
      <c r="Q38" s="23"/>
      <c r="R38" s="71"/>
      <c r="S38" s="71"/>
      <c r="T38" s="71"/>
      <c r="U38" s="70"/>
      <c r="V38" s="23"/>
      <c r="W38" s="71"/>
      <c r="X38" s="71"/>
      <c r="Y38" s="71"/>
      <c r="Z38" s="70"/>
      <c r="AA38" s="23"/>
      <c r="AB38" s="71"/>
      <c r="AC38" s="71"/>
      <c r="AD38" s="71"/>
      <c r="AE38" s="70"/>
      <c r="AF38" s="23"/>
      <c r="AG38" s="71"/>
      <c r="AH38" s="71"/>
      <c r="AI38" s="71"/>
      <c r="AJ38" s="70"/>
      <c r="AK38" s="23"/>
      <c r="AL38" s="71"/>
      <c r="AM38" s="71"/>
      <c r="AN38" s="71"/>
      <c r="AO38" s="70"/>
      <c r="AP38" s="23"/>
      <c r="AQ38" s="71"/>
      <c r="AR38" s="71"/>
      <c r="AS38" s="71"/>
      <c r="AT38" s="70"/>
      <c r="AU38" s="23"/>
      <c r="AV38" s="71"/>
      <c r="AW38" s="71"/>
      <c r="AX38" s="71"/>
      <c r="AY38" s="70"/>
      <c r="AZ38" s="23"/>
      <c r="BA38" s="71"/>
      <c r="BB38" s="71"/>
      <c r="BC38" s="71"/>
      <c r="BD38" s="70"/>
      <c r="BE38" s="23"/>
      <c r="BF38" s="71"/>
      <c r="BG38" s="71"/>
      <c r="BH38" s="71"/>
      <c r="BI38" s="70"/>
      <c r="BJ38" s="23"/>
      <c r="BK38" s="71"/>
    </row>
    <row r="39" spans="1:63" ht="15.75">
      <c r="A39" s="67" t="s">
        <v>139</v>
      </c>
      <c r="B39" s="146" t="s">
        <v>138</v>
      </c>
      <c r="C39" s="81" t="s">
        <v>138</v>
      </c>
      <c r="D39" s="81" t="s">
        <v>138</v>
      </c>
      <c r="E39" s="81" t="s">
        <v>138</v>
      </c>
      <c r="F39" s="81" t="s">
        <v>138</v>
      </c>
      <c r="G39" s="146" t="s">
        <v>138</v>
      </c>
      <c r="H39" s="81" t="s">
        <v>138</v>
      </c>
      <c r="I39" s="81" t="s">
        <v>138</v>
      </c>
      <c r="J39" s="81" t="s">
        <v>138</v>
      </c>
      <c r="K39" s="81" t="s">
        <v>138</v>
      </c>
      <c r="L39" s="146" t="s">
        <v>138</v>
      </c>
      <c r="M39" s="81" t="s">
        <v>138</v>
      </c>
      <c r="N39" s="81" t="s">
        <v>138</v>
      </c>
      <c r="O39" s="81" t="s">
        <v>138</v>
      </c>
      <c r="P39" s="81" t="s">
        <v>138</v>
      </c>
      <c r="Q39" s="146" t="s">
        <v>138</v>
      </c>
      <c r="R39" s="81" t="s">
        <v>138</v>
      </c>
      <c r="S39" s="81" t="s">
        <v>138</v>
      </c>
      <c r="T39" s="81" t="s">
        <v>138</v>
      </c>
      <c r="U39" s="81" t="s">
        <v>138</v>
      </c>
      <c r="V39" s="146" t="s">
        <v>138</v>
      </c>
      <c r="W39" s="81" t="s">
        <v>138</v>
      </c>
      <c r="X39" s="81" t="s">
        <v>138</v>
      </c>
      <c r="Y39" s="81" t="s">
        <v>138</v>
      </c>
      <c r="Z39" s="81" t="s">
        <v>138</v>
      </c>
      <c r="AA39" s="146" t="s">
        <v>138</v>
      </c>
      <c r="AB39" s="145" t="s">
        <v>138</v>
      </c>
      <c r="AC39" s="145" t="s">
        <v>138</v>
      </c>
      <c r="AD39" s="145" t="s">
        <v>138</v>
      </c>
      <c r="AE39" s="145" t="s">
        <v>138</v>
      </c>
      <c r="AF39" s="146" t="s">
        <v>138</v>
      </c>
      <c r="AG39" s="145" t="s">
        <v>138</v>
      </c>
      <c r="AH39" s="145" t="s">
        <v>138</v>
      </c>
      <c r="AI39" s="145" t="s">
        <v>138</v>
      </c>
      <c r="AJ39" s="145" t="s">
        <v>138</v>
      </c>
      <c r="AK39" s="146" t="s">
        <v>138</v>
      </c>
      <c r="AL39" s="68">
        <v>11</v>
      </c>
      <c r="AM39" s="68">
        <v>78</v>
      </c>
      <c r="AN39" s="68">
        <v>177</v>
      </c>
      <c r="AO39" s="68">
        <v>244</v>
      </c>
      <c r="AP39" s="36">
        <v>244</v>
      </c>
      <c r="AQ39" s="68">
        <v>290</v>
      </c>
      <c r="AR39" s="68">
        <v>323</v>
      </c>
      <c r="AS39" s="68">
        <v>347</v>
      </c>
      <c r="AT39" s="68">
        <v>377</v>
      </c>
      <c r="AU39" s="36">
        <v>377</v>
      </c>
      <c r="AV39" s="68">
        <v>414</v>
      </c>
      <c r="AW39" s="68">
        <v>444</v>
      </c>
      <c r="AX39" s="68">
        <v>484</v>
      </c>
      <c r="AY39" s="68">
        <v>532</v>
      </c>
      <c r="AZ39" s="36">
        <v>532</v>
      </c>
      <c r="BA39" s="68">
        <v>574</v>
      </c>
      <c r="BB39" s="68">
        <v>600</v>
      </c>
      <c r="BC39" s="68">
        <v>617</v>
      </c>
      <c r="BD39" s="68">
        <v>626</v>
      </c>
      <c r="BE39" s="36">
        <v>626</v>
      </c>
      <c r="BF39" s="68">
        <v>624</v>
      </c>
      <c r="BG39" s="68">
        <v>612</v>
      </c>
      <c r="BH39" s="68">
        <v>601</v>
      </c>
      <c r="BI39" s="68">
        <f>BJ39</f>
        <v>592</v>
      </c>
      <c r="BJ39" s="36">
        <v>592</v>
      </c>
      <c r="BK39" s="68">
        <v>584</v>
      </c>
    </row>
    <row r="40" spans="1:63">
      <c r="A40" s="69" t="s">
        <v>7</v>
      </c>
      <c r="B40" s="23"/>
      <c r="C40" s="71"/>
      <c r="D40" s="71"/>
      <c r="E40" s="71"/>
      <c r="F40" s="71"/>
      <c r="G40" s="23"/>
      <c r="H40" s="71"/>
      <c r="I40" s="71"/>
      <c r="J40" s="71"/>
      <c r="K40" s="70"/>
      <c r="L40" s="23"/>
      <c r="M40" s="71"/>
      <c r="N40" s="71"/>
      <c r="O40" s="71"/>
      <c r="P40" s="70"/>
      <c r="Q40" s="23"/>
      <c r="R40" s="71"/>
      <c r="S40" s="71"/>
      <c r="T40" s="71"/>
      <c r="U40" s="70"/>
      <c r="V40" s="23"/>
      <c r="W40" s="71"/>
      <c r="X40" s="71"/>
      <c r="Y40" s="71"/>
      <c r="Z40" s="70"/>
      <c r="AA40" s="23"/>
      <c r="AB40" s="71"/>
      <c r="AC40" s="71"/>
      <c r="AD40" s="71"/>
      <c r="AE40" s="70"/>
      <c r="AF40" s="23"/>
      <c r="AG40" s="71"/>
      <c r="AH40" s="71"/>
      <c r="AI40" s="71"/>
      <c r="AJ40" s="70"/>
      <c r="AK40" s="23"/>
      <c r="AL40" s="71"/>
      <c r="AM40" s="70">
        <f>AM39/AL39-1</f>
        <v>6.0909090909090908</v>
      </c>
      <c r="AN40" s="70">
        <f>AN39/AM39-1</f>
        <v>1.2692307692307692</v>
      </c>
      <c r="AO40" s="70">
        <f>AO39/AN39-1</f>
        <v>0.37853107344632764</v>
      </c>
      <c r="AP40" s="23"/>
      <c r="AQ40" s="70">
        <f>AQ39/AO39-1</f>
        <v>0.18852459016393452</v>
      </c>
      <c r="AR40" s="70">
        <f>AR39/AQ39-1</f>
        <v>0.11379310344827576</v>
      </c>
      <c r="AS40" s="70">
        <f>AS39/AR39-1</f>
        <v>7.4303405572755388E-2</v>
      </c>
      <c r="AT40" s="70">
        <f>AT39/AS39-1</f>
        <v>8.6455331412103709E-2</v>
      </c>
      <c r="AU40" s="23"/>
      <c r="AV40" s="70">
        <f>AV39/AT39-1</f>
        <v>9.8143236074270668E-2</v>
      </c>
      <c r="AW40" s="70">
        <f>AW39/AV39-1</f>
        <v>7.2463768115942129E-2</v>
      </c>
      <c r="AX40" s="70">
        <f>AX39/AW39-1</f>
        <v>9.0090090090090058E-2</v>
      </c>
      <c r="AY40" s="70">
        <f>AY39/AX39-1</f>
        <v>9.9173553719008156E-2</v>
      </c>
      <c r="AZ40" s="23"/>
      <c r="BA40" s="70">
        <f>BA39/AY39-1</f>
        <v>7.8947368421052655E-2</v>
      </c>
      <c r="BB40" s="70">
        <f>BB39/BA39-1</f>
        <v>4.5296167247386832E-2</v>
      </c>
      <c r="BC40" s="70">
        <f>BC39/BB39-1</f>
        <v>2.8333333333333321E-2</v>
      </c>
      <c r="BD40" s="70">
        <f>BD39/BC39-1</f>
        <v>1.4586709886547755E-2</v>
      </c>
      <c r="BE40" s="23"/>
      <c r="BF40" s="70">
        <f>BF39/BD39-1</f>
        <v>-3.1948881789137795E-3</v>
      </c>
      <c r="BG40" s="70">
        <f>BG39/BF39-1</f>
        <v>-1.9230769230769273E-2</v>
      </c>
      <c r="BH40" s="70">
        <f>BH39/BG39-1</f>
        <v>-1.7973856209150374E-2</v>
      </c>
      <c r="BI40" s="70">
        <f>BI39/BH39-1</f>
        <v>-1.4975041597337757E-2</v>
      </c>
      <c r="BJ40" s="23"/>
      <c r="BK40" s="70">
        <f>BK39/BI39-1</f>
        <v>-1.3513513513513487E-2</v>
      </c>
    </row>
    <row r="41" spans="1:63">
      <c r="A41" s="69" t="s">
        <v>8</v>
      </c>
      <c r="B41" s="23"/>
      <c r="C41" s="71"/>
      <c r="D41" s="71"/>
      <c r="E41" s="71"/>
      <c r="F41" s="71"/>
      <c r="G41" s="23"/>
      <c r="H41" s="71"/>
      <c r="I41" s="71"/>
      <c r="J41" s="71"/>
      <c r="K41" s="70"/>
      <c r="L41" s="23"/>
      <c r="M41" s="71"/>
      <c r="N41" s="71"/>
      <c r="O41" s="71"/>
      <c r="P41" s="70"/>
      <c r="Q41" s="23"/>
      <c r="R41" s="71"/>
      <c r="S41" s="71"/>
      <c r="T41" s="71"/>
      <c r="U41" s="70"/>
      <c r="V41" s="23"/>
      <c r="W41" s="71"/>
      <c r="X41" s="71"/>
      <c r="Y41" s="71"/>
      <c r="Z41" s="70"/>
      <c r="AA41" s="23"/>
      <c r="AB41" s="71"/>
      <c r="AC41" s="71"/>
      <c r="AD41" s="71"/>
      <c r="AE41" s="70"/>
      <c r="AF41" s="23"/>
      <c r="AG41" s="71"/>
      <c r="AH41" s="71"/>
      <c r="AI41" s="71"/>
      <c r="AJ41" s="70"/>
      <c r="AK41" s="23"/>
      <c r="AL41" s="71"/>
      <c r="AM41" s="71"/>
      <c r="AN41" s="71"/>
      <c r="AO41" s="70"/>
      <c r="AP41" s="23"/>
      <c r="AQ41" s="71">
        <f t="shared" ref="AQ41:AS41" si="68">AQ39/AL39-1</f>
        <v>25.363636363636363</v>
      </c>
      <c r="AR41" s="71">
        <f t="shared" si="68"/>
        <v>3.1410256410256414</v>
      </c>
      <c r="AS41" s="71">
        <f t="shared" si="68"/>
        <v>0.96045197740112997</v>
      </c>
      <c r="AT41" s="70"/>
      <c r="AU41" s="23">
        <f>AU39/AP39-1</f>
        <v>0.54508196721311486</v>
      </c>
      <c r="AV41" s="71">
        <f t="shared" ref="AV41:BC41" si="69">AV39/AQ39-1</f>
        <v>0.42758620689655169</v>
      </c>
      <c r="AW41" s="71">
        <f t="shared" si="69"/>
        <v>0.37461300309597534</v>
      </c>
      <c r="AX41" s="71">
        <f t="shared" si="69"/>
        <v>0.39481268011527382</v>
      </c>
      <c r="AY41" s="70">
        <f t="shared" si="69"/>
        <v>0.41114058355437666</v>
      </c>
      <c r="AZ41" s="23">
        <f>AZ39/AU39-1</f>
        <v>0.41114058355437666</v>
      </c>
      <c r="BA41" s="71">
        <f t="shared" si="69"/>
        <v>0.38647342995169076</v>
      </c>
      <c r="BB41" s="71">
        <f t="shared" si="69"/>
        <v>0.35135135135135132</v>
      </c>
      <c r="BC41" s="71">
        <f t="shared" si="69"/>
        <v>0.27479338842975198</v>
      </c>
      <c r="BD41" s="70">
        <f t="shared" ref="BD41" si="70">BD39/AY39-1</f>
        <v>0.17669172932330834</v>
      </c>
      <c r="BE41" s="23">
        <f>BE39/AZ39-1</f>
        <v>0.17669172932330834</v>
      </c>
      <c r="BF41" s="71">
        <f t="shared" ref="BF41:BH41" si="71">BF39/BA39-1</f>
        <v>8.710801393728218E-2</v>
      </c>
      <c r="BG41" s="71">
        <f t="shared" si="71"/>
        <v>2.0000000000000018E-2</v>
      </c>
      <c r="BH41" s="71">
        <f t="shared" si="71"/>
        <v>-2.5931928687196071E-2</v>
      </c>
      <c r="BI41" s="70">
        <f t="shared" ref="BI41" si="72">BI39/BD39-1</f>
        <v>-5.4313099041533586E-2</v>
      </c>
      <c r="BJ41" s="23">
        <f>BJ39/BE39-1</f>
        <v>-5.4313099041533586E-2</v>
      </c>
      <c r="BK41" s="71">
        <f t="shared" ref="BK41" si="73">BK39/BF39-1</f>
        <v>-6.4102564102564097E-2</v>
      </c>
    </row>
    <row r="42" spans="1:63">
      <c r="A42" s="69" t="s">
        <v>194</v>
      </c>
      <c r="B42" s="23"/>
      <c r="C42" s="71"/>
      <c r="D42" s="71"/>
      <c r="E42" s="71"/>
      <c r="F42" s="71"/>
      <c r="G42" s="23"/>
      <c r="H42" s="71"/>
      <c r="I42" s="71"/>
      <c r="J42" s="71"/>
      <c r="K42" s="70"/>
      <c r="L42" s="23"/>
      <c r="M42" s="71"/>
      <c r="N42" s="71"/>
      <c r="O42" s="71"/>
      <c r="P42" s="70"/>
      <c r="Q42" s="23"/>
      <c r="R42" s="71"/>
      <c r="S42" s="71"/>
      <c r="T42" s="71"/>
      <c r="U42" s="70"/>
      <c r="V42" s="23"/>
      <c r="W42" s="71"/>
      <c r="X42" s="71"/>
      <c r="Y42" s="71"/>
      <c r="Z42" s="70"/>
      <c r="AA42" s="23"/>
      <c r="AB42" s="71"/>
      <c r="AC42" s="71"/>
      <c r="AD42" s="71"/>
      <c r="AE42" s="70"/>
      <c r="AF42" s="23"/>
      <c r="AG42" s="71"/>
      <c r="AH42" s="71"/>
      <c r="AI42" s="71"/>
      <c r="AJ42" s="70"/>
      <c r="AK42" s="23"/>
      <c r="AL42" s="71"/>
      <c r="AM42" s="193">
        <f>AM39-AL39</f>
        <v>67</v>
      </c>
      <c r="AN42" s="193">
        <f t="shared" ref="AN42:AO42" si="74">AN39-AM39</f>
        <v>99</v>
      </c>
      <c r="AO42" s="193">
        <f t="shared" si="74"/>
        <v>67</v>
      </c>
      <c r="AP42" s="194"/>
      <c r="AQ42" s="195">
        <f>AQ39-AO39</f>
        <v>46</v>
      </c>
      <c r="AR42" s="195">
        <f>AR39-AQ39</f>
        <v>33</v>
      </c>
      <c r="AS42" s="195">
        <f t="shared" ref="AS42:AT42" si="75">AS39-AR39</f>
        <v>24</v>
      </c>
      <c r="AT42" s="195">
        <f t="shared" si="75"/>
        <v>30</v>
      </c>
      <c r="AU42" s="196">
        <f>AU39-AP39</f>
        <v>133</v>
      </c>
      <c r="AV42" s="195">
        <f>AV39-AT39</f>
        <v>37</v>
      </c>
      <c r="AW42" s="195">
        <f>AW39-AV39</f>
        <v>30</v>
      </c>
      <c r="AX42" s="195">
        <f>AX39-AW39</f>
        <v>40</v>
      </c>
      <c r="AY42" s="195">
        <f t="shared" ref="AY42" si="76">AY39-AX39</f>
        <v>48</v>
      </c>
      <c r="AZ42" s="196">
        <f>AZ39-AU39</f>
        <v>155</v>
      </c>
      <c r="BA42" s="195">
        <f>BA39-AY39</f>
        <v>42</v>
      </c>
      <c r="BB42" s="195">
        <f>BB39-BA39</f>
        <v>26</v>
      </c>
      <c r="BC42" s="195">
        <f>BC39-BB39</f>
        <v>17</v>
      </c>
      <c r="BD42" s="195">
        <f t="shared" ref="BD42" si="77">BD39-BC39</f>
        <v>9</v>
      </c>
      <c r="BE42" s="196">
        <f>BE39-AZ39</f>
        <v>94</v>
      </c>
      <c r="BF42" s="195">
        <f>BF39-BD39</f>
        <v>-2</v>
      </c>
      <c r="BG42" s="195">
        <f>BG39-BF39</f>
        <v>-12</v>
      </c>
      <c r="BH42" s="195">
        <f>BH39-BG39</f>
        <v>-11</v>
      </c>
      <c r="BI42" s="195">
        <f t="shared" ref="BI42" si="78">BI39-BH39</f>
        <v>-9</v>
      </c>
      <c r="BJ42" s="196">
        <f>BJ39-BE39</f>
        <v>-34</v>
      </c>
      <c r="BK42" s="195">
        <f>BK39-BI39</f>
        <v>-8</v>
      </c>
    </row>
    <row r="43" spans="1:63">
      <c r="A43" s="69" t="s">
        <v>246</v>
      </c>
      <c r="B43" s="23"/>
      <c r="C43" s="71"/>
      <c r="D43" s="71"/>
      <c r="E43" s="71"/>
      <c r="F43" s="71"/>
      <c r="G43" s="23"/>
      <c r="H43" s="71"/>
      <c r="I43" s="71"/>
      <c r="J43" s="71"/>
      <c r="K43" s="70"/>
      <c r="L43" s="23"/>
      <c r="M43" s="71"/>
      <c r="N43" s="71"/>
      <c r="O43" s="71"/>
      <c r="P43" s="70"/>
      <c r="Q43" s="23"/>
      <c r="R43" s="71"/>
      <c r="S43" s="71"/>
      <c r="T43" s="71"/>
      <c r="U43" s="70"/>
      <c r="V43" s="23"/>
      <c r="W43" s="71"/>
      <c r="X43" s="71"/>
      <c r="Y43" s="71"/>
      <c r="Z43" s="70"/>
      <c r="AA43" s="23"/>
      <c r="AB43" s="71"/>
      <c r="AC43" s="71"/>
      <c r="AD43" s="71"/>
      <c r="AE43" s="70"/>
      <c r="AF43" s="23"/>
      <c r="AG43" s="71"/>
      <c r="AH43" s="71"/>
      <c r="AI43" s="71"/>
      <c r="AJ43" s="70"/>
      <c r="AK43" s="23"/>
      <c r="AL43" s="197">
        <f t="shared" ref="AL43:AO43" si="79">AL39/AL34</f>
        <v>7.9136690647482015E-3</v>
      </c>
      <c r="AM43" s="197">
        <f t="shared" si="79"/>
        <v>5.5007052186177713E-2</v>
      </c>
      <c r="AN43" s="197">
        <f t="shared" si="79"/>
        <v>0.12223756906077347</v>
      </c>
      <c r="AO43" s="197">
        <f t="shared" si="79"/>
        <v>0.1649763353617309</v>
      </c>
      <c r="AP43" s="198">
        <f>AP39/AP34</f>
        <v>0.1649763353617309</v>
      </c>
      <c r="AQ43" s="197">
        <f t="shared" ref="AQ43:AT43" si="80">AQ39/AQ34</f>
        <v>0.19294743845642048</v>
      </c>
      <c r="AR43" s="197">
        <f t="shared" si="80"/>
        <v>0.2123602892833662</v>
      </c>
      <c r="AS43" s="197">
        <f t="shared" si="80"/>
        <v>0.22547108512020791</v>
      </c>
      <c r="AT43" s="197">
        <f t="shared" si="80"/>
        <v>0.24197689345314505</v>
      </c>
      <c r="AU43" s="198">
        <f>AU39/AU34</f>
        <v>0.24197689345314505</v>
      </c>
      <c r="AV43" s="197">
        <f t="shared" ref="AV43:AW43" si="81">AV39/AV34</f>
        <v>0.26202531645569621</v>
      </c>
      <c r="AW43" s="197">
        <f t="shared" si="81"/>
        <v>0.27871939736346518</v>
      </c>
      <c r="AX43" s="197">
        <f>AX39/AX34</f>
        <v>0.30099502487562191</v>
      </c>
      <c r="AY43" s="197">
        <f t="shared" ref="AY43" si="82">AY39/AY34</f>
        <v>0.3253822629969419</v>
      </c>
      <c r="AZ43" s="198">
        <f>AZ39/AZ34</f>
        <v>0.3253822629969419</v>
      </c>
      <c r="BA43" s="197">
        <f t="shared" ref="BA43:BB43" si="83">BA39/BA34</f>
        <v>0.3472474289171204</v>
      </c>
      <c r="BB43" s="197">
        <f t="shared" si="83"/>
        <v>0.36101083032490977</v>
      </c>
      <c r="BC43" s="197">
        <f>BC39/BC34</f>
        <v>0.37101623571858089</v>
      </c>
      <c r="BD43" s="197">
        <f t="shared" ref="BD43" si="84">BD39/BD34</f>
        <v>0.3780193236714976</v>
      </c>
      <c r="BE43" s="198">
        <f>BE39/BE34</f>
        <v>0.3780193236714976</v>
      </c>
      <c r="BF43" s="197">
        <f t="shared" ref="BF43:BG43" si="85">BF39/BF34</f>
        <v>0.38165137614678901</v>
      </c>
      <c r="BG43" s="197">
        <f t="shared" si="85"/>
        <v>0.37941723496590207</v>
      </c>
      <c r="BH43" s="197">
        <f t="shared" ref="BH43:BI43" si="86">BH39/BH34</f>
        <v>0.37822529893014473</v>
      </c>
      <c r="BI43" s="197">
        <f t="shared" si="86"/>
        <v>0.37587301587301586</v>
      </c>
      <c r="BJ43" s="198">
        <f>BJ39/BJ34</f>
        <v>0.37587301587301586</v>
      </c>
      <c r="BK43" s="197">
        <f t="shared" ref="BK43" si="87">BK39/BK34</f>
        <v>0.37292464878671777</v>
      </c>
    </row>
    <row r="44" spans="1:63" ht="6" customHeight="1">
      <c r="A44" s="69"/>
      <c r="B44" s="23"/>
      <c r="C44" s="71"/>
      <c r="D44" s="71"/>
      <c r="E44" s="71"/>
      <c r="F44" s="71"/>
      <c r="G44" s="23"/>
      <c r="H44" s="71"/>
      <c r="I44" s="71"/>
      <c r="J44" s="71"/>
      <c r="K44" s="70"/>
      <c r="L44" s="23"/>
      <c r="M44" s="71"/>
      <c r="N44" s="71"/>
      <c r="O44" s="71"/>
      <c r="P44" s="70"/>
      <c r="Q44" s="23"/>
      <c r="R44" s="71"/>
      <c r="S44" s="71"/>
      <c r="T44" s="71"/>
      <c r="U44" s="70"/>
      <c r="V44" s="23"/>
      <c r="W44" s="71"/>
      <c r="X44" s="71"/>
      <c r="Y44" s="71"/>
      <c r="Z44" s="70"/>
      <c r="AA44" s="23"/>
      <c r="AB44" s="71"/>
      <c r="AC44" s="71"/>
      <c r="AD44" s="71"/>
      <c r="AE44" s="70"/>
      <c r="AF44" s="23"/>
      <c r="AG44" s="71"/>
      <c r="AH44" s="71"/>
      <c r="AI44" s="71"/>
      <c r="AJ44" s="70"/>
      <c r="AK44" s="23"/>
      <c r="AL44" s="71"/>
      <c r="AM44" s="71"/>
      <c r="AN44" s="71"/>
      <c r="AO44" s="70"/>
      <c r="AP44" s="23"/>
      <c r="AQ44" s="71"/>
      <c r="AR44" s="71"/>
      <c r="AS44" s="71"/>
      <c r="AT44" s="70"/>
      <c r="AU44" s="23"/>
      <c r="AV44" s="71"/>
      <c r="AW44" s="71"/>
      <c r="AX44" s="71"/>
      <c r="AY44" s="70"/>
      <c r="AZ44" s="23"/>
      <c r="BA44" s="71"/>
      <c r="BB44" s="71"/>
      <c r="BC44" s="71"/>
      <c r="BD44" s="70"/>
      <c r="BE44" s="23"/>
      <c r="BF44" s="71"/>
      <c r="BG44" s="71"/>
      <c r="BH44" s="71"/>
      <c r="BI44" s="70"/>
      <c r="BJ44" s="23"/>
      <c r="BK44" s="71"/>
    </row>
    <row r="45" spans="1:63">
      <c r="A45" s="67" t="s">
        <v>188</v>
      </c>
      <c r="B45" s="37">
        <v>963</v>
      </c>
      <c r="C45" s="67">
        <v>970</v>
      </c>
      <c r="D45" s="67">
        <v>982</v>
      </c>
      <c r="E45" s="67">
        <v>994</v>
      </c>
      <c r="F45" s="68">
        <v>1005</v>
      </c>
      <c r="G45" s="37">
        <v>1005</v>
      </c>
      <c r="H45" s="68">
        <v>1011</v>
      </c>
      <c r="I45" s="68">
        <v>1016</v>
      </c>
      <c r="J45" s="68">
        <v>1026</v>
      </c>
      <c r="K45" s="68">
        <v>1035</v>
      </c>
      <c r="L45" s="36">
        <v>1035</v>
      </c>
      <c r="M45" s="68">
        <v>1045</v>
      </c>
      <c r="N45" s="68">
        <v>1051</v>
      </c>
      <c r="O45" s="68">
        <v>1056</v>
      </c>
      <c r="P45" s="68">
        <v>1066</v>
      </c>
      <c r="Q45" s="36">
        <v>1066</v>
      </c>
      <c r="R45" s="68">
        <v>1079</v>
      </c>
      <c r="S45" s="68">
        <v>1088</v>
      </c>
      <c r="T45" s="68">
        <v>1100</v>
      </c>
      <c r="U45" s="68">
        <v>1111</v>
      </c>
      <c r="V45" s="36">
        <v>1111</v>
      </c>
      <c r="W45" s="68">
        <v>1121</v>
      </c>
      <c r="X45" s="68">
        <v>1136</v>
      </c>
      <c r="Y45" s="68">
        <v>1153</v>
      </c>
      <c r="Z45" s="68">
        <v>1169</v>
      </c>
      <c r="AA45" s="36">
        <v>1169</v>
      </c>
      <c r="AB45" s="68">
        <v>1185</v>
      </c>
      <c r="AC45" s="68">
        <v>1202</v>
      </c>
      <c r="AD45" s="68">
        <v>1230</v>
      </c>
      <c r="AE45" s="68">
        <v>1263</v>
      </c>
      <c r="AF45" s="36">
        <v>1263</v>
      </c>
      <c r="AG45" s="68">
        <v>1289</v>
      </c>
      <c r="AH45" s="68">
        <v>1308</v>
      </c>
      <c r="AI45" s="68">
        <v>1335</v>
      </c>
      <c r="AJ45" s="68">
        <v>1364</v>
      </c>
      <c r="AK45" s="36">
        <v>1364</v>
      </c>
      <c r="AL45" s="68">
        <f>AL34-AL39</f>
        <v>1379</v>
      </c>
      <c r="AM45" s="68">
        <f t="shared" ref="AM45:AO45" si="88">AM34-AM39</f>
        <v>1340</v>
      </c>
      <c r="AN45" s="68">
        <f t="shared" si="88"/>
        <v>1271</v>
      </c>
      <c r="AO45" s="68">
        <f t="shared" si="88"/>
        <v>1235</v>
      </c>
      <c r="AP45" s="36">
        <f>AP34-AP39</f>
        <v>1235</v>
      </c>
      <c r="AQ45" s="68">
        <f>AQ34-AQ39</f>
        <v>1213</v>
      </c>
      <c r="AR45" s="68">
        <f t="shared" ref="AR45:AT45" si="89">AR34-AR39</f>
        <v>1198</v>
      </c>
      <c r="AS45" s="68">
        <f t="shared" si="89"/>
        <v>1192</v>
      </c>
      <c r="AT45" s="68">
        <f t="shared" si="89"/>
        <v>1181</v>
      </c>
      <c r="AU45" s="36">
        <f>AU34-AU39</f>
        <v>1181</v>
      </c>
      <c r="AV45" s="68">
        <f>AV34-AV39</f>
        <v>1166</v>
      </c>
      <c r="AW45" s="68">
        <v>1149</v>
      </c>
      <c r="AX45" s="68">
        <v>1124</v>
      </c>
      <c r="AY45" s="68">
        <f t="shared" ref="AY45" si="90">AY34-AY39</f>
        <v>1103</v>
      </c>
      <c r="AZ45" s="36">
        <f>AZ34-AZ39</f>
        <v>1103</v>
      </c>
      <c r="BA45" s="68">
        <v>1079</v>
      </c>
      <c r="BB45" s="68">
        <v>1062</v>
      </c>
      <c r="BC45" s="68">
        <v>1046</v>
      </c>
      <c r="BD45" s="68">
        <v>1030</v>
      </c>
      <c r="BE45" s="36">
        <f>BE34-BE39</f>
        <v>1030</v>
      </c>
      <c r="BF45" s="68">
        <v>1011</v>
      </c>
      <c r="BG45" s="68">
        <v>1001</v>
      </c>
      <c r="BH45" s="68">
        <v>988</v>
      </c>
      <c r="BI45" s="68">
        <v>983</v>
      </c>
      <c r="BJ45" s="36">
        <v>983</v>
      </c>
      <c r="BK45" s="68">
        <v>982</v>
      </c>
    </row>
    <row r="46" spans="1:63">
      <c r="A46" s="69" t="s">
        <v>7</v>
      </c>
      <c r="B46" s="23"/>
      <c r="C46" s="70"/>
      <c r="D46" s="70">
        <f>D45/C45-1</f>
        <v>1.2371134020618513E-2</v>
      </c>
      <c r="E46" s="70">
        <f>E45/D45-1</f>
        <v>1.2219959266802416E-2</v>
      </c>
      <c r="F46" s="70">
        <f>F45/E45-1</f>
        <v>1.1066398390342069E-2</v>
      </c>
      <c r="G46" s="23"/>
      <c r="H46" s="70">
        <f>H45/F45-1</f>
        <v>5.9701492537314049E-3</v>
      </c>
      <c r="I46" s="70">
        <f>I45/H45-1</f>
        <v>4.9455984174084922E-3</v>
      </c>
      <c r="J46" s="70">
        <f>J45/I45-1</f>
        <v>9.8425196850393526E-3</v>
      </c>
      <c r="K46" s="70">
        <f>K45/J45-1</f>
        <v>8.7719298245614308E-3</v>
      </c>
      <c r="L46" s="23"/>
      <c r="M46" s="70">
        <f>M45/K45-1</f>
        <v>9.6618357487923134E-3</v>
      </c>
      <c r="N46" s="70">
        <f>N45/M45-1</f>
        <v>5.7416267942582699E-3</v>
      </c>
      <c r="O46" s="70">
        <f>O45/N45-1</f>
        <v>4.7573739295909689E-3</v>
      </c>
      <c r="P46" s="70">
        <f>P45/O45-1</f>
        <v>9.4696969696970168E-3</v>
      </c>
      <c r="Q46" s="23"/>
      <c r="R46" s="70">
        <f>R45/P45-1</f>
        <v>1.2195121951219523E-2</v>
      </c>
      <c r="S46" s="70">
        <f>S45/R45-1</f>
        <v>8.3410565338275511E-3</v>
      </c>
      <c r="T46" s="70">
        <f>T45/S45-1</f>
        <v>1.1029411764705843E-2</v>
      </c>
      <c r="U46" s="70">
        <f>U45/T45-1</f>
        <v>1.0000000000000009E-2</v>
      </c>
      <c r="V46" s="23"/>
      <c r="W46" s="70">
        <f>W45/U45-1</f>
        <v>9.0009000900090896E-3</v>
      </c>
      <c r="X46" s="70">
        <f>X45/W45-1</f>
        <v>1.338090990187335E-2</v>
      </c>
      <c r="Y46" s="70">
        <f>Y45/X45-1</f>
        <v>1.4964788732394263E-2</v>
      </c>
      <c r="Z46" s="70">
        <f>Z45/Y45-1</f>
        <v>1.3876843018213458E-2</v>
      </c>
      <c r="AA46" s="23"/>
      <c r="AB46" s="70">
        <f>AB45/Z45-1</f>
        <v>1.3686911890504749E-2</v>
      </c>
      <c r="AC46" s="70">
        <f>AC45/AB45-1</f>
        <v>1.4345991561181437E-2</v>
      </c>
      <c r="AD46" s="70">
        <f>AD45/AC45-1</f>
        <v>2.3294509151414289E-2</v>
      </c>
      <c r="AE46" s="70">
        <f>AE45/AD45-1</f>
        <v>2.6829268292682951E-2</v>
      </c>
      <c r="AF46" s="23"/>
      <c r="AG46" s="70">
        <f>AG45/AE45-1</f>
        <v>2.0585906571654711E-2</v>
      </c>
      <c r="AH46" s="70">
        <f>AH45/AG45-1</f>
        <v>1.4740108611326574E-2</v>
      </c>
      <c r="AI46" s="70">
        <f>AI45/AH45-1</f>
        <v>2.0642201834862428E-2</v>
      </c>
      <c r="AJ46" s="70">
        <f>AJ45/AI45-1</f>
        <v>2.1722846441947663E-2</v>
      </c>
      <c r="AK46" s="23"/>
      <c r="AL46" s="70">
        <f>AL45/AJ45-1</f>
        <v>1.0997067448680342E-2</v>
      </c>
      <c r="AM46" s="70">
        <f>AM45/AL45-1</f>
        <v>-2.8281363306744023E-2</v>
      </c>
      <c r="AN46" s="70">
        <f>AN45/AM45-1</f>
        <v>-5.149253731343284E-2</v>
      </c>
      <c r="AO46" s="70">
        <f>AO45/AN45-1</f>
        <v>-2.8324154209284025E-2</v>
      </c>
      <c r="AP46" s="23"/>
      <c r="AQ46" s="70">
        <f>AQ45/AO45-1</f>
        <v>-1.7813765182186247E-2</v>
      </c>
      <c r="AR46" s="70">
        <f>AR45/AQ45-1</f>
        <v>-1.2366034624896938E-2</v>
      </c>
      <c r="AS46" s="70">
        <f>AS45/AR45-1</f>
        <v>-5.008347245408995E-3</v>
      </c>
      <c r="AT46" s="70">
        <f>AT45/AS45-1</f>
        <v>-9.2281879194631156E-3</v>
      </c>
      <c r="AU46" s="23"/>
      <c r="AV46" s="70">
        <f>AV45/AT45-1</f>
        <v>-1.2701100762066098E-2</v>
      </c>
      <c r="AW46" s="70">
        <f>AW45/AV45-1</f>
        <v>-1.4579759862778707E-2</v>
      </c>
      <c r="AX46" s="70">
        <f>AX45/AW45-1</f>
        <v>-2.1758050478677071E-2</v>
      </c>
      <c r="AY46" s="70">
        <f>AY45/AX45-1</f>
        <v>-1.8683274021352281E-2</v>
      </c>
      <c r="AZ46" s="23"/>
      <c r="BA46" s="70">
        <f>BA45/AY45-1</f>
        <v>-2.1758839528558505E-2</v>
      </c>
      <c r="BB46" s="70">
        <f>BB45/BA45-1</f>
        <v>-1.575532900834109E-2</v>
      </c>
      <c r="BC46" s="70">
        <f>BC45/BB45-1</f>
        <v>-1.5065913370998163E-2</v>
      </c>
      <c r="BD46" s="70">
        <f>BD45/BC45-1</f>
        <v>-1.5296367112810683E-2</v>
      </c>
      <c r="BE46" s="23"/>
      <c r="BF46" s="70">
        <f>BF45/BD45-1</f>
        <v>-1.844660194174752E-2</v>
      </c>
      <c r="BG46" s="70">
        <f>BG45/BF45-1</f>
        <v>-9.8911968348169843E-3</v>
      </c>
      <c r="BH46" s="70">
        <f>BH45/BG45-1</f>
        <v>-1.2987012987012991E-2</v>
      </c>
      <c r="BI46" s="70">
        <f>BI45/BH45-1</f>
        <v>-5.0607287449392357E-3</v>
      </c>
      <c r="BJ46" s="23"/>
      <c r="BK46" s="70">
        <f>BK45/BI45-1</f>
        <v>-1.0172939979654627E-3</v>
      </c>
    </row>
    <row r="47" spans="1:63">
      <c r="A47" s="69" t="s">
        <v>8</v>
      </c>
      <c r="B47" s="23"/>
      <c r="C47" s="71"/>
      <c r="D47" s="71"/>
      <c r="E47" s="71"/>
      <c r="F47" s="71"/>
      <c r="G47" s="23">
        <f t="shared" ref="G47" si="91">G45/B45-1</f>
        <v>4.3613707165109039E-2</v>
      </c>
      <c r="H47" s="71">
        <f t="shared" ref="H47" si="92">H45/C45-1</f>
        <v>4.2268041237113474E-2</v>
      </c>
      <c r="I47" s="71">
        <f t="shared" ref="I47" si="93">I45/D45-1</f>
        <v>3.4623217922606919E-2</v>
      </c>
      <c r="J47" s="71">
        <f t="shared" ref="J47" si="94">J45/E45-1</f>
        <v>3.2193158953722323E-2</v>
      </c>
      <c r="K47" s="70">
        <f t="shared" ref="K47:L47" si="95">K45/F45-1</f>
        <v>2.9850746268656803E-2</v>
      </c>
      <c r="L47" s="23">
        <f t="shared" si="95"/>
        <v>2.9850746268656803E-2</v>
      </c>
      <c r="M47" s="71">
        <f t="shared" ref="M47" si="96">M45/H45-1</f>
        <v>3.3630069238377747E-2</v>
      </c>
      <c r="N47" s="71">
        <f t="shared" ref="N47" si="97">N45/I45-1</f>
        <v>3.4448818897637734E-2</v>
      </c>
      <c r="O47" s="71">
        <f t="shared" ref="O47" si="98">O45/J45-1</f>
        <v>2.9239766081871288E-2</v>
      </c>
      <c r="P47" s="70">
        <f t="shared" ref="P47:Q47" si="99">P45/K45-1</f>
        <v>2.9951690821256038E-2</v>
      </c>
      <c r="Q47" s="23">
        <f t="shared" si="99"/>
        <v>2.9951690821256038E-2</v>
      </c>
      <c r="R47" s="71">
        <f t="shared" ref="R47" si="100">R45/M45-1</f>
        <v>3.2535885167464196E-2</v>
      </c>
      <c r="S47" s="71">
        <f t="shared" ref="S47" si="101">S45/N45-1</f>
        <v>3.520456707897246E-2</v>
      </c>
      <c r="T47" s="71">
        <f t="shared" ref="T47" si="102">T45/O45-1</f>
        <v>4.1666666666666741E-2</v>
      </c>
      <c r="U47" s="70">
        <f t="shared" ref="U47:V47" si="103">U45/P45-1</f>
        <v>4.2213883677298281E-2</v>
      </c>
      <c r="V47" s="23">
        <f t="shared" si="103"/>
        <v>4.2213883677298281E-2</v>
      </c>
      <c r="W47" s="71">
        <f t="shared" ref="W47" si="104">W45/R45-1</f>
        <v>3.8924930491195608E-2</v>
      </c>
      <c r="X47" s="71">
        <f t="shared" ref="X47" si="105">X45/S45-1</f>
        <v>4.4117647058823595E-2</v>
      </c>
      <c r="Y47" s="71">
        <f t="shared" ref="Y47" si="106">Y45/T45-1</f>
        <v>4.8181818181818103E-2</v>
      </c>
      <c r="Z47" s="70">
        <f t="shared" ref="Z47:AA47" si="107">Z45/U45-1</f>
        <v>5.2205220522052231E-2</v>
      </c>
      <c r="AA47" s="23">
        <f t="shared" si="107"/>
        <v>5.2205220522052231E-2</v>
      </c>
      <c r="AB47" s="71">
        <f t="shared" ref="AB47" si="108">AB45/W45-1</f>
        <v>5.7091882247992887E-2</v>
      </c>
      <c r="AC47" s="71">
        <f t="shared" ref="AC47" si="109">AC45/X45-1</f>
        <v>5.8098591549295753E-2</v>
      </c>
      <c r="AD47" s="71">
        <f t="shared" ref="AD47" si="110">AD45/Y45-1</f>
        <v>6.6782307025151866E-2</v>
      </c>
      <c r="AE47" s="70">
        <f t="shared" ref="AE47:AF47" si="111">AE45/Z45-1</f>
        <v>8.0410607356715236E-2</v>
      </c>
      <c r="AF47" s="23">
        <f t="shared" si="111"/>
        <v>8.0410607356715236E-2</v>
      </c>
      <c r="AG47" s="71">
        <f t="shared" ref="AG47" si="112">AG45/AB45-1</f>
        <v>8.7763713080168726E-2</v>
      </c>
      <c r="AH47" s="71">
        <f t="shared" ref="AH47" si="113">AH45/AC45-1</f>
        <v>8.8186356073211236E-2</v>
      </c>
      <c r="AI47" s="71">
        <f t="shared" ref="AI47" si="114">AI45/AD45-1</f>
        <v>8.5365853658536661E-2</v>
      </c>
      <c r="AJ47" s="70">
        <f t="shared" ref="AJ47:AK47" si="115">AJ45/AE45-1</f>
        <v>7.9968329374505043E-2</v>
      </c>
      <c r="AK47" s="23">
        <f t="shared" si="115"/>
        <v>7.9968329374505043E-2</v>
      </c>
      <c r="AL47" s="71">
        <f t="shared" ref="AL47" si="116">AL45/AG45-1</f>
        <v>6.9821567106283844E-2</v>
      </c>
      <c r="AM47" s="71">
        <f t="shared" ref="AM47" si="117">AM45/AH45-1</f>
        <v>2.4464831804281273E-2</v>
      </c>
      <c r="AN47" s="71">
        <f t="shared" ref="AN47" si="118">AN45/AI45-1</f>
        <v>-4.7940074906367092E-2</v>
      </c>
      <c r="AO47" s="70">
        <f t="shared" ref="AO47:AP47" si="119">AO45/AJ45-1</f>
        <v>-9.4574780058651053E-2</v>
      </c>
      <c r="AP47" s="23">
        <f t="shared" si="119"/>
        <v>-9.4574780058651053E-2</v>
      </c>
      <c r="AQ47" s="71">
        <f t="shared" ref="AQ47" si="120">AQ45/AL45-1</f>
        <v>-0.12037708484408993</v>
      </c>
      <c r="AR47" s="71">
        <f t="shared" ref="AR47" si="121">AR45/AM45-1</f>
        <v>-0.10597014925373138</v>
      </c>
      <c r="AS47" s="71">
        <f t="shared" ref="AS47" si="122">AS45/AN45-1</f>
        <v>-6.2155782848151042E-2</v>
      </c>
      <c r="AT47" s="70">
        <f t="shared" ref="AT47" si="123">AT45/AO45-1</f>
        <v>-4.3724696356275294E-2</v>
      </c>
      <c r="AU47" s="23">
        <f t="shared" ref="AU47:AX47" si="124">AU45/AP45-1</f>
        <v>-4.3724696356275294E-2</v>
      </c>
      <c r="AV47" s="71">
        <f t="shared" si="124"/>
        <v>-3.8746908491343768E-2</v>
      </c>
      <c r="AW47" s="71">
        <f t="shared" si="124"/>
        <v>-4.090150250417357E-2</v>
      </c>
      <c r="AX47" s="71">
        <f t="shared" si="124"/>
        <v>-5.7046979865771785E-2</v>
      </c>
      <c r="AY47" s="70">
        <f t="shared" ref="AY47" si="125">AY45/AT45-1</f>
        <v>-6.6045723962743441E-2</v>
      </c>
      <c r="AZ47" s="23">
        <f t="shared" ref="AZ47:BC47" si="126">AZ45/AU45-1</f>
        <v>-6.6045723962743441E-2</v>
      </c>
      <c r="BA47" s="71">
        <f t="shared" si="126"/>
        <v>-7.461406518010294E-2</v>
      </c>
      <c r="BB47" s="71">
        <f t="shared" si="126"/>
        <v>-7.571801566579639E-2</v>
      </c>
      <c r="BC47" s="71">
        <f t="shared" si="126"/>
        <v>-6.939501779359436E-2</v>
      </c>
      <c r="BD47" s="70">
        <f t="shared" ref="BD47" si="127">BD45/AY45-1</f>
        <v>-6.6183136899365391E-2</v>
      </c>
      <c r="BE47" s="23">
        <f t="shared" ref="BE47:BH47" si="128">BE45/AZ45-1</f>
        <v>-6.6183136899365391E-2</v>
      </c>
      <c r="BF47" s="71">
        <f t="shared" si="128"/>
        <v>-6.302131603336425E-2</v>
      </c>
      <c r="BG47" s="71">
        <f t="shared" si="128"/>
        <v>-5.7438794726930364E-2</v>
      </c>
      <c r="BH47" s="71">
        <f t="shared" si="128"/>
        <v>-5.5449330783938766E-2</v>
      </c>
      <c r="BI47" s="70">
        <f t="shared" ref="BI47" si="129">BI45/BD45-1</f>
        <v>-4.5631067961165006E-2</v>
      </c>
      <c r="BJ47" s="23">
        <f t="shared" ref="BJ47:BK47" si="130">BJ45/BE45-1</f>
        <v>-4.5631067961165006E-2</v>
      </c>
      <c r="BK47" s="71">
        <f t="shared" si="130"/>
        <v>-2.8684470820969366E-2</v>
      </c>
    </row>
    <row r="48" spans="1:63">
      <c r="A48" s="69" t="s">
        <v>194</v>
      </c>
      <c r="B48" s="23"/>
      <c r="C48" s="71"/>
      <c r="D48" s="71"/>
      <c r="E48" s="71"/>
      <c r="F48" s="71"/>
      <c r="G48" s="196">
        <f>G45-B45</f>
        <v>42</v>
      </c>
      <c r="H48" s="71"/>
      <c r="I48" s="71"/>
      <c r="J48" s="71"/>
      <c r="K48" s="70"/>
      <c r="L48" s="196">
        <f>L45-G45</f>
        <v>30</v>
      </c>
      <c r="M48" s="71"/>
      <c r="N48" s="71"/>
      <c r="O48" s="71"/>
      <c r="P48" s="70"/>
      <c r="Q48" s="196">
        <f>Q45-L45</f>
        <v>31</v>
      </c>
      <c r="R48" s="71"/>
      <c r="S48" s="71"/>
      <c r="T48" s="71"/>
      <c r="U48" s="70"/>
      <c r="V48" s="196">
        <f>V45-Q45</f>
        <v>45</v>
      </c>
      <c r="W48" s="71"/>
      <c r="X48" s="71"/>
      <c r="Y48" s="71"/>
      <c r="Z48" s="70"/>
      <c r="AA48" s="196">
        <f>AA45-V45</f>
        <v>58</v>
      </c>
      <c r="AB48" s="71"/>
      <c r="AC48" s="71"/>
      <c r="AD48" s="71"/>
      <c r="AE48" s="70"/>
      <c r="AF48" s="196">
        <f>AF45-AA45</f>
        <v>94</v>
      </c>
      <c r="AG48" s="71"/>
      <c r="AH48" s="71"/>
      <c r="AI48" s="71"/>
      <c r="AJ48" s="70"/>
      <c r="AK48" s="196">
        <f>AK45-AF45</f>
        <v>101</v>
      </c>
      <c r="AL48" s="71"/>
      <c r="AM48" s="193">
        <f>AM45-AL45</f>
        <v>-39</v>
      </c>
      <c r="AN48" s="193">
        <f t="shared" ref="AN48:AO48" si="131">AN45-AM45</f>
        <v>-69</v>
      </c>
      <c r="AO48" s="193">
        <f t="shared" si="131"/>
        <v>-36</v>
      </c>
      <c r="AP48" s="196">
        <f>AP45-AK45</f>
        <v>-129</v>
      </c>
      <c r="AQ48" s="195">
        <f>AQ45-AO45</f>
        <v>-22</v>
      </c>
      <c r="AR48" s="195">
        <f>AR45-AQ45</f>
        <v>-15</v>
      </c>
      <c r="AS48" s="195">
        <f t="shared" ref="AS48:AT48" si="132">AS45-AR45</f>
        <v>-6</v>
      </c>
      <c r="AT48" s="195">
        <f t="shared" si="132"/>
        <v>-11</v>
      </c>
      <c r="AU48" s="196">
        <f>AU45-AP45</f>
        <v>-54</v>
      </c>
      <c r="AV48" s="195">
        <f>AV45-AT45</f>
        <v>-15</v>
      </c>
      <c r="AW48" s="195">
        <f>AW45-AV45</f>
        <v>-17</v>
      </c>
      <c r="AX48" s="195">
        <f>AX45-AW45</f>
        <v>-25</v>
      </c>
      <c r="AY48" s="195">
        <f t="shared" ref="AY48" si="133">AY45-AX45</f>
        <v>-21</v>
      </c>
      <c r="AZ48" s="196">
        <f>AZ45-AU45</f>
        <v>-78</v>
      </c>
      <c r="BA48" s="195">
        <f>BA45-AY45</f>
        <v>-24</v>
      </c>
      <c r="BB48" s="195">
        <f>BB45-BA45</f>
        <v>-17</v>
      </c>
      <c r="BC48" s="195">
        <f>BC45-BB45</f>
        <v>-16</v>
      </c>
      <c r="BD48" s="195">
        <f t="shared" ref="BD48" si="134">BD45-BC45</f>
        <v>-16</v>
      </c>
      <c r="BE48" s="196">
        <f>BE45-AZ45</f>
        <v>-73</v>
      </c>
      <c r="BF48" s="195">
        <f>BF45-BD45</f>
        <v>-19</v>
      </c>
      <c r="BG48" s="195">
        <f>BG45-BF45</f>
        <v>-10</v>
      </c>
      <c r="BH48" s="195">
        <f>BH45-BG45</f>
        <v>-13</v>
      </c>
      <c r="BI48" s="195">
        <f t="shared" ref="BI48" si="135">BI45-BH45</f>
        <v>-5</v>
      </c>
      <c r="BJ48" s="196">
        <f>BJ45-BE45</f>
        <v>-47</v>
      </c>
      <c r="BK48" s="195">
        <f>BK45-BI45</f>
        <v>-1</v>
      </c>
    </row>
    <row r="49" spans="1:202" ht="8.25" customHeight="1">
      <c r="A49" s="69"/>
      <c r="B49" s="23"/>
      <c r="C49" s="71"/>
      <c r="D49" s="71"/>
      <c r="E49" s="71"/>
      <c r="F49" s="71"/>
      <c r="G49" s="23"/>
      <c r="H49" s="71"/>
      <c r="I49" s="71"/>
      <c r="J49" s="71"/>
      <c r="K49" s="70"/>
      <c r="L49" s="23"/>
      <c r="M49" s="71"/>
      <c r="N49" s="71"/>
      <c r="O49" s="71"/>
      <c r="P49" s="70"/>
      <c r="Q49" s="23"/>
      <c r="R49" s="71"/>
      <c r="S49" s="71"/>
      <c r="T49" s="71"/>
      <c r="U49" s="70"/>
      <c r="V49" s="23"/>
      <c r="W49" s="71"/>
      <c r="X49" s="71"/>
      <c r="Y49" s="71"/>
      <c r="Z49" s="70"/>
      <c r="AA49" s="23"/>
      <c r="AB49" s="71"/>
      <c r="AC49" s="71"/>
      <c r="AD49" s="71"/>
      <c r="AE49" s="70"/>
      <c r="AF49" s="23"/>
      <c r="AG49" s="71"/>
      <c r="AH49" s="71"/>
      <c r="AI49" s="71"/>
      <c r="AJ49" s="70"/>
      <c r="AK49" s="23"/>
      <c r="AL49" s="71"/>
      <c r="AM49" s="71"/>
      <c r="AN49" s="71"/>
      <c r="AO49" s="70"/>
      <c r="AP49" s="23"/>
      <c r="AQ49" s="71"/>
      <c r="AR49" s="71"/>
      <c r="AS49" s="71"/>
      <c r="AT49" s="70"/>
      <c r="AU49" s="23"/>
      <c r="AV49" s="71"/>
      <c r="AW49" s="71"/>
      <c r="AX49" s="71"/>
      <c r="AY49" s="70"/>
      <c r="AZ49" s="23"/>
      <c r="BA49" s="71"/>
      <c r="BB49" s="71"/>
      <c r="BC49" s="71"/>
      <c r="BD49" s="70"/>
      <c r="BE49" s="23"/>
      <c r="BF49" s="71"/>
      <c r="BG49" s="71"/>
      <c r="BH49" s="71"/>
      <c r="BI49" s="70"/>
      <c r="BJ49" s="23"/>
      <c r="BK49" s="71"/>
    </row>
    <row r="50" spans="1:202" s="2" customFormat="1">
      <c r="A50" s="67" t="s">
        <v>141</v>
      </c>
      <c r="B50" s="61">
        <v>64</v>
      </c>
      <c r="C50" s="74">
        <v>68</v>
      </c>
      <c r="D50" s="74">
        <v>66</v>
      </c>
      <c r="E50" s="74">
        <v>67</v>
      </c>
      <c r="F50" s="74">
        <v>66</v>
      </c>
      <c r="G50" s="61">
        <v>67</v>
      </c>
      <c r="H50" s="74">
        <v>67</v>
      </c>
      <c r="I50" s="74">
        <v>67</v>
      </c>
      <c r="J50" s="74">
        <v>70</v>
      </c>
      <c r="K50" s="68">
        <v>70</v>
      </c>
      <c r="L50" s="27">
        <v>69</v>
      </c>
      <c r="M50" s="74">
        <v>73</v>
      </c>
      <c r="N50" s="74">
        <v>72</v>
      </c>
      <c r="O50" s="74">
        <v>76</v>
      </c>
      <c r="P50" s="68">
        <v>78</v>
      </c>
      <c r="Q50" s="27">
        <v>75</v>
      </c>
      <c r="R50" s="74">
        <v>79</v>
      </c>
      <c r="S50" s="74">
        <v>80</v>
      </c>
      <c r="T50" s="74">
        <v>81</v>
      </c>
      <c r="U50" s="68">
        <v>81</v>
      </c>
      <c r="V50" s="27">
        <v>80</v>
      </c>
      <c r="W50" s="74">
        <v>84</v>
      </c>
      <c r="X50" s="74">
        <v>80</v>
      </c>
      <c r="Y50" s="74">
        <v>80</v>
      </c>
      <c r="Z50" s="68">
        <v>80</v>
      </c>
      <c r="AA50" s="27">
        <v>81</v>
      </c>
      <c r="AB50" s="74">
        <v>83</v>
      </c>
      <c r="AC50" s="74">
        <v>85</v>
      </c>
      <c r="AD50" s="74">
        <v>86</v>
      </c>
      <c r="AE50" s="68">
        <v>82</v>
      </c>
      <c r="AF50" s="27">
        <v>84</v>
      </c>
      <c r="AG50" s="74">
        <v>82</v>
      </c>
      <c r="AH50" s="74">
        <v>84</v>
      </c>
      <c r="AI50" s="74">
        <v>85</v>
      </c>
      <c r="AJ50" s="68">
        <v>85</v>
      </c>
      <c r="AK50" s="27">
        <v>84</v>
      </c>
      <c r="AL50" s="74">
        <v>87</v>
      </c>
      <c r="AM50" s="74">
        <v>88</v>
      </c>
      <c r="AN50" s="74">
        <v>88</v>
      </c>
      <c r="AO50" s="68">
        <v>88</v>
      </c>
      <c r="AP50" s="27">
        <v>88</v>
      </c>
      <c r="AQ50" s="74">
        <v>90</v>
      </c>
      <c r="AR50" s="74">
        <v>90</v>
      </c>
      <c r="AS50" s="74">
        <v>88</v>
      </c>
      <c r="AT50" s="68">
        <v>90</v>
      </c>
      <c r="AU50" s="27">
        <v>89</v>
      </c>
      <c r="AV50" s="74">
        <v>90</v>
      </c>
      <c r="AW50" s="74">
        <v>90</v>
      </c>
      <c r="AX50" s="74">
        <v>90</v>
      </c>
      <c r="AY50" s="68">
        <v>92</v>
      </c>
      <c r="AZ50" s="27">
        <v>90</v>
      </c>
      <c r="BA50" s="74">
        <v>92</v>
      </c>
      <c r="BB50" s="74">
        <v>93</v>
      </c>
      <c r="BC50" s="74">
        <v>93</v>
      </c>
      <c r="BD50" s="68">
        <v>96</v>
      </c>
      <c r="BE50" s="27">
        <v>93</v>
      </c>
      <c r="BF50" s="74">
        <v>96</v>
      </c>
      <c r="BG50" s="74">
        <v>97</v>
      </c>
      <c r="BH50" s="74">
        <v>98</v>
      </c>
      <c r="BI50" s="68">
        <v>98</v>
      </c>
      <c r="BJ50" s="27">
        <v>97</v>
      </c>
      <c r="BK50" s="74">
        <v>98</v>
      </c>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row>
    <row r="51" spans="1:202">
      <c r="A51" s="69" t="s">
        <v>7</v>
      </c>
      <c r="B51" s="23"/>
      <c r="C51" s="70"/>
      <c r="D51" s="70">
        <f>D50/C50-1</f>
        <v>-2.9411764705882359E-2</v>
      </c>
      <c r="E51" s="70">
        <f>E50/D50-1</f>
        <v>1.5151515151515138E-2</v>
      </c>
      <c r="F51" s="70">
        <f>F50/E50-1</f>
        <v>-1.4925373134328401E-2</v>
      </c>
      <c r="G51" s="23"/>
      <c r="H51" s="70">
        <f>H50/F50-1</f>
        <v>1.5151515151515138E-2</v>
      </c>
      <c r="I51" s="70">
        <f>I50/H50-1</f>
        <v>0</v>
      </c>
      <c r="J51" s="70">
        <f>J50/I50-1</f>
        <v>4.4776119402984982E-2</v>
      </c>
      <c r="K51" s="70">
        <f>K50/J50-1</f>
        <v>0</v>
      </c>
      <c r="L51" s="26"/>
      <c r="M51" s="70">
        <f>M50/K50-1</f>
        <v>4.2857142857142927E-2</v>
      </c>
      <c r="N51" s="70">
        <f>N50/M50-1</f>
        <v>-1.3698630136986356E-2</v>
      </c>
      <c r="O51" s="70">
        <f>O50/N50-1</f>
        <v>5.555555555555558E-2</v>
      </c>
      <c r="P51" s="70">
        <f>P50/O50-1</f>
        <v>2.6315789473684292E-2</v>
      </c>
      <c r="Q51" s="26"/>
      <c r="R51" s="70">
        <f>R50/P50-1</f>
        <v>1.2820512820512775E-2</v>
      </c>
      <c r="S51" s="70">
        <f>S50/R50-1</f>
        <v>1.2658227848101333E-2</v>
      </c>
      <c r="T51" s="70">
        <f>T50/S50-1</f>
        <v>1.2499999999999956E-2</v>
      </c>
      <c r="U51" s="70">
        <f>U50/T50-1</f>
        <v>0</v>
      </c>
      <c r="V51" s="26"/>
      <c r="W51" s="70">
        <f>W50/U50-1</f>
        <v>3.7037037037036979E-2</v>
      </c>
      <c r="X51" s="70">
        <f>X50/W50-1</f>
        <v>-4.7619047619047672E-2</v>
      </c>
      <c r="Y51" s="70">
        <f>Y50/X50-1</f>
        <v>0</v>
      </c>
      <c r="Z51" s="70">
        <f>Z50/Y50-1</f>
        <v>0</v>
      </c>
      <c r="AA51" s="26"/>
      <c r="AB51" s="70">
        <f>AB50/Z50-1</f>
        <v>3.7500000000000089E-2</v>
      </c>
      <c r="AC51" s="70">
        <f>AC50/AB50-1</f>
        <v>2.4096385542168752E-2</v>
      </c>
      <c r="AD51" s="70">
        <f>AD50/AC50-1</f>
        <v>1.1764705882352899E-2</v>
      </c>
      <c r="AE51" s="70">
        <f>AE50/AD50-1</f>
        <v>-4.6511627906976716E-2</v>
      </c>
      <c r="AF51" s="26"/>
      <c r="AG51" s="70">
        <f>AG50/AE50-1</f>
        <v>0</v>
      </c>
      <c r="AH51" s="70">
        <f>AH50/AG50-1</f>
        <v>2.4390243902439046E-2</v>
      </c>
      <c r="AI51" s="70">
        <f>AI50/AH50-1</f>
        <v>1.1904761904761862E-2</v>
      </c>
      <c r="AJ51" s="70">
        <f>AJ50/AI50-1</f>
        <v>0</v>
      </c>
      <c r="AK51" s="26"/>
      <c r="AL51" s="70">
        <f>AL50/AJ50-1</f>
        <v>2.3529411764705799E-2</v>
      </c>
      <c r="AM51" s="70">
        <f>AM50/AL50-1</f>
        <v>1.1494252873563315E-2</v>
      </c>
      <c r="AN51" s="70">
        <f>AN50/AM50-1</f>
        <v>0</v>
      </c>
      <c r="AO51" s="70">
        <f>AO50/AN50-1</f>
        <v>0</v>
      </c>
      <c r="AP51" s="26"/>
      <c r="AQ51" s="70">
        <f>AQ50/AO50-1</f>
        <v>2.2727272727272707E-2</v>
      </c>
      <c r="AR51" s="70">
        <f>AR50/AQ50-1</f>
        <v>0</v>
      </c>
      <c r="AS51" s="70">
        <f>AS50/AR50-1</f>
        <v>-2.2222222222222254E-2</v>
      </c>
      <c r="AT51" s="70">
        <f>AT50/AS50-1</f>
        <v>2.2727272727272707E-2</v>
      </c>
      <c r="AU51" s="26"/>
      <c r="AV51" s="70">
        <f>AV50/AT50-1</f>
        <v>0</v>
      </c>
      <c r="AW51" s="70">
        <f>AW50/AV50-1</f>
        <v>0</v>
      </c>
      <c r="AX51" s="70">
        <f>AX50/AW50-1</f>
        <v>0</v>
      </c>
      <c r="AY51" s="70">
        <f>AY50/AX50-1</f>
        <v>2.2222222222222143E-2</v>
      </c>
      <c r="AZ51" s="26"/>
      <c r="BA51" s="70">
        <f>BA50/AY50-1</f>
        <v>0</v>
      </c>
      <c r="BB51" s="70">
        <f>BB50/BA50-1</f>
        <v>1.0869565217391353E-2</v>
      </c>
      <c r="BC51" s="70">
        <f>BC50/BB50-1</f>
        <v>0</v>
      </c>
      <c r="BD51" s="70">
        <f>BD50/BC50-1</f>
        <v>3.2258064516129004E-2</v>
      </c>
      <c r="BE51" s="26"/>
      <c r="BF51" s="70">
        <f>BF50/BD50-1</f>
        <v>0</v>
      </c>
      <c r="BG51" s="70">
        <f>BG50/BF50-1</f>
        <v>1.0416666666666741E-2</v>
      </c>
      <c r="BH51" s="70">
        <f>BH50/BG50-1</f>
        <v>1.0309278350515427E-2</v>
      </c>
      <c r="BI51" s="70">
        <f>BI50/BH50-1</f>
        <v>0</v>
      </c>
      <c r="BJ51" s="26"/>
      <c r="BK51" s="70">
        <f>BK50/BI50-1</f>
        <v>0</v>
      </c>
    </row>
    <row r="52" spans="1:202">
      <c r="A52" s="69" t="s">
        <v>8</v>
      </c>
      <c r="B52" s="23"/>
      <c r="C52" s="71"/>
      <c r="D52" s="71"/>
      <c r="E52" s="71"/>
      <c r="F52" s="71"/>
      <c r="G52" s="23">
        <f t="shared" ref="G52:N52" si="136">G50/B50-1</f>
        <v>4.6875E-2</v>
      </c>
      <c r="H52" s="71">
        <f t="shared" si="136"/>
        <v>-1.4705882352941124E-2</v>
      </c>
      <c r="I52" s="71">
        <f t="shared" si="136"/>
        <v>1.5151515151515138E-2</v>
      </c>
      <c r="J52" s="71">
        <f t="shared" si="136"/>
        <v>4.4776119402984982E-2</v>
      </c>
      <c r="K52" s="70">
        <f t="shared" si="136"/>
        <v>6.0606060606060552E-2</v>
      </c>
      <c r="L52" s="23">
        <f t="shared" si="136"/>
        <v>2.9850746268656803E-2</v>
      </c>
      <c r="M52" s="70">
        <f t="shared" si="136"/>
        <v>8.9552238805970186E-2</v>
      </c>
      <c r="N52" s="71">
        <f t="shared" si="136"/>
        <v>7.4626865671641784E-2</v>
      </c>
      <c r="O52" s="71">
        <f t="shared" ref="O52:Y52" si="137">O50/J50-1</f>
        <v>8.5714285714285632E-2</v>
      </c>
      <c r="P52" s="70">
        <f t="shared" si="137"/>
        <v>0.11428571428571432</v>
      </c>
      <c r="Q52" s="23">
        <f t="shared" si="137"/>
        <v>8.6956521739130377E-2</v>
      </c>
      <c r="R52" s="70">
        <f t="shared" si="137"/>
        <v>8.2191780821917915E-2</v>
      </c>
      <c r="S52" s="71">
        <f t="shared" si="137"/>
        <v>0.11111111111111116</v>
      </c>
      <c r="T52" s="71">
        <f t="shared" si="137"/>
        <v>6.578947368421062E-2</v>
      </c>
      <c r="U52" s="70">
        <f t="shared" si="137"/>
        <v>3.8461538461538547E-2</v>
      </c>
      <c r="V52" s="23">
        <f t="shared" si="137"/>
        <v>6.6666666666666652E-2</v>
      </c>
      <c r="W52" s="70">
        <f t="shared" si="137"/>
        <v>6.3291139240506222E-2</v>
      </c>
      <c r="X52" s="71">
        <f t="shared" si="137"/>
        <v>0</v>
      </c>
      <c r="Y52" s="71">
        <f t="shared" si="137"/>
        <v>-1.2345679012345734E-2</v>
      </c>
      <c r="Z52" s="70">
        <f t="shared" ref="Z52:AI52" si="138">Z50/U50-1</f>
        <v>-1.2345679012345734E-2</v>
      </c>
      <c r="AA52" s="23">
        <f t="shared" si="138"/>
        <v>1.2499999999999956E-2</v>
      </c>
      <c r="AB52" s="70">
        <f t="shared" si="138"/>
        <v>-1.1904761904761862E-2</v>
      </c>
      <c r="AC52" s="71">
        <f t="shared" si="138"/>
        <v>6.25E-2</v>
      </c>
      <c r="AD52" s="71">
        <f t="shared" si="138"/>
        <v>7.4999999999999956E-2</v>
      </c>
      <c r="AE52" s="70">
        <f t="shared" si="138"/>
        <v>2.4999999999999911E-2</v>
      </c>
      <c r="AF52" s="23">
        <f t="shared" si="138"/>
        <v>3.7037037037036979E-2</v>
      </c>
      <c r="AG52" s="70">
        <f t="shared" si="138"/>
        <v>-1.2048192771084376E-2</v>
      </c>
      <c r="AH52" s="71">
        <f t="shared" si="138"/>
        <v>-1.1764705882352899E-2</v>
      </c>
      <c r="AI52" s="71">
        <f t="shared" si="138"/>
        <v>-1.1627906976744207E-2</v>
      </c>
      <c r="AJ52" s="70">
        <f t="shared" ref="AJ52:AS52" si="139">AJ50/AE50-1</f>
        <v>3.6585365853658569E-2</v>
      </c>
      <c r="AK52" s="23">
        <f t="shared" si="139"/>
        <v>0</v>
      </c>
      <c r="AL52" s="70">
        <f t="shared" si="139"/>
        <v>6.0975609756097615E-2</v>
      </c>
      <c r="AM52" s="71">
        <f t="shared" si="139"/>
        <v>4.7619047619047672E-2</v>
      </c>
      <c r="AN52" s="71">
        <f t="shared" si="139"/>
        <v>3.529411764705892E-2</v>
      </c>
      <c r="AO52" s="70">
        <f t="shared" si="139"/>
        <v>3.529411764705892E-2</v>
      </c>
      <c r="AP52" s="23">
        <f t="shared" si="139"/>
        <v>4.7619047619047672E-2</v>
      </c>
      <c r="AQ52" s="70">
        <f t="shared" si="139"/>
        <v>3.4482758620689724E-2</v>
      </c>
      <c r="AR52" s="71">
        <f t="shared" si="139"/>
        <v>2.2727272727272707E-2</v>
      </c>
      <c r="AS52" s="71">
        <f t="shared" si="139"/>
        <v>0</v>
      </c>
      <c r="AT52" s="70">
        <f t="shared" ref="AT52" si="140">AT50/AO50-1</f>
        <v>2.2727272727272707E-2</v>
      </c>
      <c r="AU52" s="23">
        <f t="shared" ref="AU52:AX52" si="141">AU50/AP50-1</f>
        <v>1.1363636363636465E-2</v>
      </c>
      <c r="AV52" s="70">
        <f t="shared" si="141"/>
        <v>0</v>
      </c>
      <c r="AW52" s="71">
        <f t="shared" si="141"/>
        <v>0</v>
      </c>
      <c r="AX52" s="71">
        <f t="shared" si="141"/>
        <v>2.2727272727272707E-2</v>
      </c>
      <c r="AY52" s="70">
        <f t="shared" ref="AY52" si="142">AY50/AT50-1</f>
        <v>2.2222222222222143E-2</v>
      </c>
      <c r="AZ52" s="23">
        <f t="shared" ref="AZ52:BC52" si="143">AZ50/AU50-1</f>
        <v>1.1235955056179803E-2</v>
      </c>
      <c r="BA52" s="70">
        <f t="shared" si="143"/>
        <v>2.2222222222222143E-2</v>
      </c>
      <c r="BB52" s="71">
        <f t="shared" si="143"/>
        <v>3.3333333333333437E-2</v>
      </c>
      <c r="BC52" s="71">
        <f t="shared" si="143"/>
        <v>3.3333333333333437E-2</v>
      </c>
      <c r="BD52" s="70">
        <f t="shared" ref="BD52" si="144">BD50/AY50-1</f>
        <v>4.3478260869565188E-2</v>
      </c>
      <c r="BE52" s="23">
        <f t="shared" ref="BE52:BH52" si="145">BE50/AZ50-1</f>
        <v>3.3333333333333437E-2</v>
      </c>
      <c r="BF52" s="70">
        <f t="shared" si="145"/>
        <v>4.3478260869565188E-2</v>
      </c>
      <c r="BG52" s="71">
        <f t="shared" si="145"/>
        <v>4.3010752688172005E-2</v>
      </c>
      <c r="BH52" s="71">
        <f t="shared" si="145"/>
        <v>5.3763440860215006E-2</v>
      </c>
      <c r="BI52" s="70">
        <f t="shared" ref="BI52" si="146">BI50/BD50-1</f>
        <v>2.0833333333333259E-2</v>
      </c>
      <c r="BJ52" s="23">
        <f t="shared" ref="BJ52:BK52" si="147">BJ50/BE50-1</f>
        <v>4.3010752688172005E-2</v>
      </c>
      <c r="BK52" s="70">
        <f t="shared" si="147"/>
        <v>2.0833333333333259E-2</v>
      </c>
    </row>
    <row r="53" spans="1:202" ht="25.5">
      <c r="A53" s="99" t="s">
        <v>66</v>
      </c>
      <c r="B53" s="96">
        <v>1.7</v>
      </c>
      <c r="C53" s="79">
        <v>1.9</v>
      </c>
      <c r="D53" s="79">
        <v>2</v>
      </c>
      <c r="E53" s="79">
        <v>2.1</v>
      </c>
      <c r="F53" s="79">
        <v>2.2000000000000002</v>
      </c>
      <c r="G53" s="96">
        <v>2.2000000000000002</v>
      </c>
      <c r="H53" s="79">
        <v>2.2999999999999998</v>
      </c>
      <c r="I53" s="79">
        <v>2.4</v>
      </c>
      <c r="J53" s="79">
        <v>2.5</v>
      </c>
      <c r="K53" s="79">
        <v>2.7</v>
      </c>
      <c r="L53" s="97">
        <v>2.7</v>
      </c>
      <c r="M53" s="79">
        <v>3</v>
      </c>
      <c r="N53" s="79">
        <v>3.4</v>
      </c>
      <c r="O53" s="79">
        <v>3.8</v>
      </c>
      <c r="P53" s="79">
        <v>4.3</v>
      </c>
      <c r="Q53" s="97">
        <v>4.3</v>
      </c>
      <c r="R53" s="79">
        <v>4.8</v>
      </c>
      <c r="S53" s="79">
        <v>5.3</v>
      </c>
      <c r="T53" s="79">
        <v>6</v>
      </c>
      <c r="U53" s="79">
        <v>6.7</v>
      </c>
      <c r="V53" s="97">
        <v>6.7</v>
      </c>
      <c r="W53" s="79">
        <v>7.5</v>
      </c>
      <c r="X53" s="79">
        <v>8.3000000000000007</v>
      </c>
      <c r="Y53" s="79">
        <v>9</v>
      </c>
      <c r="Z53" s="79">
        <v>9.6</v>
      </c>
      <c r="AA53" s="97">
        <v>9.6</v>
      </c>
      <c r="AB53" s="79">
        <v>10.4</v>
      </c>
      <c r="AC53" s="79">
        <v>15.2</v>
      </c>
      <c r="AD53" s="79">
        <v>17.3</v>
      </c>
      <c r="AE53" s="79">
        <v>18.100000000000001</v>
      </c>
      <c r="AF53" s="97">
        <v>18.100000000000001</v>
      </c>
      <c r="AG53" s="79">
        <v>20</v>
      </c>
      <c r="AH53" s="144">
        <v>21.9</v>
      </c>
      <c r="AI53" s="144">
        <v>24</v>
      </c>
      <c r="AJ53" s="79">
        <v>32.5</v>
      </c>
      <c r="AK53" s="97">
        <v>32.5</v>
      </c>
      <c r="AL53" s="79">
        <v>33.200000000000003</v>
      </c>
      <c r="AM53" s="144">
        <v>34.9</v>
      </c>
      <c r="AN53" s="144">
        <v>36.700000000000003</v>
      </c>
      <c r="AO53" s="79">
        <v>37.799999999999997</v>
      </c>
      <c r="AP53" s="97">
        <v>37.799999999999997</v>
      </c>
      <c r="AQ53" s="79">
        <v>38.9</v>
      </c>
      <c r="AR53" s="144">
        <v>40.200000000000003</v>
      </c>
      <c r="AS53" s="144">
        <v>41.8</v>
      </c>
      <c r="AT53" s="79">
        <v>43.4</v>
      </c>
      <c r="AU53" s="97">
        <v>43.4</v>
      </c>
      <c r="AV53" s="79">
        <v>45.1</v>
      </c>
      <c r="AW53" s="79">
        <v>47.2</v>
      </c>
      <c r="AX53" s="79">
        <v>49.5</v>
      </c>
      <c r="AY53" s="79">
        <v>51.5</v>
      </c>
      <c r="AZ53" s="97">
        <v>51.5</v>
      </c>
      <c r="BA53" s="79">
        <v>53.5</v>
      </c>
      <c r="BB53" s="79">
        <v>55.4</v>
      </c>
      <c r="BC53" s="79">
        <v>57.41</v>
      </c>
      <c r="BD53" s="79">
        <v>59.1</v>
      </c>
      <c r="BE53" s="97">
        <v>59.1</v>
      </c>
      <c r="BF53" s="79">
        <v>61.5</v>
      </c>
      <c r="BG53" s="79">
        <v>64</v>
      </c>
      <c r="BH53" s="79">
        <v>66.180000000000007</v>
      </c>
      <c r="BI53" s="79">
        <f>BJ53</f>
        <v>67.8</v>
      </c>
      <c r="BJ53" s="97">
        <v>67.8</v>
      </c>
      <c r="BK53" s="79">
        <v>69.099999999999994</v>
      </c>
    </row>
    <row r="54" spans="1:202">
      <c r="A54" s="69" t="s">
        <v>7</v>
      </c>
      <c r="B54" s="23"/>
      <c r="C54" s="70"/>
      <c r="D54" s="70">
        <f>D53/C53-1</f>
        <v>5.2631578947368363E-2</v>
      </c>
      <c r="E54" s="70">
        <f>E53/D53-1</f>
        <v>5.0000000000000044E-2</v>
      </c>
      <c r="F54" s="70">
        <f>F53/E53-1</f>
        <v>4.7619047619047672E-2</v>
      </c>
      <c r="G54" s="23"/>
      <c r="H54" s="70">
        <f>H53/F53-1</f>
        <v>4.5454545454545192E-2</v>
      </c>
      <c r="I54" s="70">
        <f>I53/H53-1</f>
        <v>4.3478260869565188E-2</v>
      </c>
      <c r="J54" s="70">
        <f>J53/I53-1</f>
        <v>4.1666666666666741E-2</v>
      </c>
      <c r="K54" s="70">
        <f>K53/J53-1</f>
        <v>8.0000000000000071E-2</v>
      </c>
      <c r="L54" s="26"/>
      <c r="M54" s="70">
        <f>M53/K53-1</f>
        <v>0.11111111111111094</v>
      </c>
      <c r="N54" s="70">
        <f>N53/M53-1</f>
        <v>0.1333333333333333</v>
      </c>
      <c r="O54" s="70">
        <f>O53/N53-1</f>
        <v>0.11764705882352944</v>
      </c>
      <c r="P54" s="70">
        <f>P53/O53-1</f>
        <v>0.13157894736842102</v>
      </c>
      <c r="Q54" s="26"/>
      <c r="R54" s="70">
        <f>R53/P53-1</f>
        <v>0.11627906976744184</v>
      </c>
      <c r="S54" s="70">
        <f>S53/R53-1</f>
        <v>0.10416666666666674</v>
      </c>
      <c r="T54" s="70">
        <f>T53/S53-1</f>
        <v>0.13207547169811318</v>
      </c>
      <c r="U54" s="70">
        <f>U53/T53-1</f>
        <v>0.1166666666666667</v>
      </c>
      <c r="V54" s="26"/>
      <c r="W54" s="70">
        <f>W53/U53-1</f>
        <v>0.11940298507462677</v>
      </c>
      <c r="X54" s="70">
        <f>X53/W53-1</f>
        <v>0.10666666666666669</v>
      </c>
      <c r="Y54" s="70">
        <f>Y53/X53-1</f>
        <v>8.43373493975903E-2</v>
      </c>
      <c r="Z54" s="70">
        <f>Z53/Y53-1</f>
        <v>6.6666666666666652E-2</v>
      </c>
      <c r="AA54" s="26"/>
      <c r="AB54" s="70">
        <f>AB53/Z53-1</f>
        <v>8.3333333333333481E-2</v>
      </c>
      <c r="AC54" s="70">
        <f>AC53/AB53-1</f>
        <v>0.46153846153846145</v>
      </c>
      <c r="AD54" s="70">
        <f>AD53/AC53-1</f>
        <v>0.13815789473684226</v>
      </c>
      <c r="AE54" s="70">
        <f>AE53/AD53-1</f>
        <v>4.6242774566473965E-2</v>
      </c>
      <c r="AF54" s="26"/>
      <c r="AG54" s="70">
        <f>AG53/AE53-1</f>
        <v>0.10497237569060758</v>
      </c>
      <c r="AH54" s="70">
        <f>AH53/AG53-1</f>
        <v>9.4999999999999973E-2</v>
      </c>
      <c r="AI54" s="70">
        <f>AI53/AH53-1</f>
        <v>9.5890410958904271E-2</v>
      </c>
      <c r="AJ54" s="70">
        <f>AJ53/AI53-1</f>
        <v>0.35416666666666674</v>
      </c>
      <c r="AK54" s="26"/>
      <c r="AL54" s="70">
        <f>AL53/AJ53-1</f>
        <v>2.1538461538461728E-2</v>
      </c>
      <c r="AM54" s="70">
        <f>AM53/AL53-1</f>
        <v>5.1204819277108404E-2</v>
      </c>
      <c r="AN54" s="70">
        <f>AN53/AM53-1</f>
        <v>5.157593123209181E-2</v>
      </c>
      <c r="AO54" s="70">
        <f>AO53/AN53-1</f>
        <v>2.9972752043596618E-2</v>
      </c>
      <c r="AP54" s="26"/>
      <c r="AQ54" s="70">
        <f>AQ53/AO53-1</f>
        <v>2.9100529100529071E-2</v>
      </c>
      <c r="AR54" s="70">
        <f>AR53/AQ53-1</f>
        <v>3.3419023136247006E-2</v>
      </c>
      <c r="AS54" s="70">
        <f>AS53/AR53-1</f>
        <v>3.9800995024875441E-2</v>
      </c>
      <c r="AT54" s="70">
        <f>AT53/AS53-1</f>
        <v>3.8277511961722466E-2</v>
      </c>
      <c r="AU54" s="26"/>
      <c r="AV54" s="70">
        <f>AV53/AT53-1</f>
        <v>3.9170506912442393E-2</v>
      </c>
      <c r="AW54" s="70">
        <f>AW53/AV53-1</f>
        <v>4.6563192904656381E-2</v>
      </c>
      <c r="AX54" s="70">
        <f>AX53/AW53-1</f>
        <v>4.8728813559322015E-2</v>
      </c>
      <c r="AY54" s="70">
        <f>AY53/AX53-1</f>
        <v>4.0404040404040442E-2</v>
      </c>
      <c r="AZ54" s="26"/>
      <c r="BA54" s="70">
        <f>BA53/AY53-1</f>
        <v>3.8834951456310662E-2</v>
      </c>
      <c r="BB54" s="70">
        <f>BB53/BA53-1</f>
        <v>3.5514018691588767E-2</v>
      </c>
      <c r="BC54" s="70">
        <f>BC53/BB53-1</f>
        <v>3.6281588447653501E-2</v>
      </c>
      <c r="BD54" s="70">
        <f>BD53/BC53-1</f>
        <v>2.943738024734377E-2</v>
      </c>
      <c r="BE54" s="26"/>
      <c r="BF54" s="70">
        <f>BF53/BD53-1</f>
        <v>4.0609137055837463E-2</v>
      </c>
      <c r="BG54" s="70">
        <f>BG53/BF53-1</f>
        <v>4.0650406504065151E-2</v>
      </c>
      <c r="BH54" s="70">
        <f>BH53/BG53-1</f>
        <v>3.4062500000000107E-2</v>
      </c>
      <c r="BI54" s="70">
        <f>BI53/BH53-1</f>
        <v>2.4478694469628248E-2</v>
      </c>
      <c r="BJ54" s="26"/>
      <c r="BK54" s="70">
        <f>BK53/BI53-1</f>
        <v>1.9174041297935096E-2</v>
      </c>
    </row>
    <row r="55" spans="1:202">
      <c r="A55" s="69" t="s">
        <v>8</v>
      </c>
      <c r="B55" s="23"/>
      <c r="C55" s="71"/>
      <c r="D55" s="71"/>
      <c r="E55" s="71"/>
      <c r="F55" s="71"/>
      <c r="G55" s="23">
        <f t="shared" ref="G55:R55" si="148">G53/B53-1</f>
        <v>0.29411764705882359</v>
      </c>
      <c r="H55" s="71">
        <f t="shared" si="148"/>
        <v>0.21052631578947367</v>
      </c>
      <c r="I55" s="71">
        <f t="shared" si="148"/>
        <v>0.19999999999999996</v>
      </c>
      <c r="J55" s="71">
        <f t="shared" si="148"/>
        <v>0.19047619047619047</v>
      </c>
      <c r="K55" s="70">
        <f t="shared" si="148"/>
        <v>0.22727272727272729</v>
      </c>
      <c r="L55" s="23">
        <f t="shared" si="148"/>
        <v>0.22727272727272729</v>
      </c>
      <c r="M55" s="71">
        <f t="shared" si="148"/>
        <v>0.30434782608695654</v>
      </c>
      <c r="N55" s="71">
        <f t="shared" si="148"/>
        <v>0.41666666666666674</v>
      </c>
      <c r="O55" s="71">
        <f t="shared" si="148"/>
        <v>0.52</v>
      </c>
      <c r="P55" s="70">
        <f t="shared" si="148"/>
        <v>0.59259259259259234</v>
      </c>
      <c r="Q55" s="23">
        <f t="shared" si="148"/>
        <v>0.59259259259259234</v>
      </c>
      <c r="R55" s="71">
        <f t="shared" si="148"/>
        <v>0.59999999999999987</v>
      </c>
      <c r="S55" s="71">
        <f t="shared" ref="S55:Y55" si="149">S53/N53-1</f>
        <v>0.55882352941176472</v>
      </c>
      <c r="T55" s="71">
        <f t="shared" si="149"/>
        <v>0.57894736842105265</v>
      </c>
      <c r="U55" s="70">
        <f t="shared" si="149"/>
        <v>0.55813953488372103</v>
      </c>
      <c r="V55" s="23">
        <f t="shared" si="149"/>
        <v>0.55813953488372103</v>
      </c>
      <c r="W55" s="71">
        <f t="shared" si="149"/>
        <v>0.5625</v>
      </c>
      <c r="X55" s="71">
        <f t="shared" si="149"/>
        <v>0.5660377358490567</v>
      </c>
      <c r="Y55" s="71">
        <f t="shared" si="149"/>
        <v>0.5</v>
      </c>
      <c r="Z55" s="70">
        <f t="shared" ref="Z55:AI55" si="150">Z53/U53-1</f>
        <v>0.43283582089552231</v>
      </c>
      <c r="AA55" s="23">
        <f t="shared" si="150"/>
        <v>0.43283582089552231</v>
      </c>
      <c r="AB55" s="71">
        <f t="shared" si="150"/>
        <v>0.38666666666666671</v>
      </c>
      <c r="AC55" s="71">
        <f t="shared" si="150"/>
        <v>0.83132530120481896</v>
      </c>
      <c r="AD55" s="71">
        <f t="shared" si="150"/>
        <v>0.92222222222222228</v>
      </c>
      <c r="AE55" s="70">
        <f t="shared" si="150"/>
        <v>0.88541666666666696</v>
      </c>
      <c r="AF55" s="23">
        <f t="shared" si="150"/>
        <v>0.88541666666666696</v>
      </c>
      <c r="AG55" s="71">
        <f t="shared" si="150"/>
        <v>0.92307692307692291</v>
      </c>
      <c r="AH55" s="71">
        <f t="shared" si="150"/>
        <v>0.4407894736842104</v>
      </c>
      <c r="AI55" s="71">
        <f t="shared" si="150"/>
        <v>0.38728323699421963</v>
      </c>
      <c r="AJ55" s="70">
        <f t="shared" ref="AJ55:AS55" si="151">AJ53/AE53-1</f>
        <v>0.79558011049723754</v>
      </c>
      <c r="AK55" s="23">
        <f t="shared" si="151"/>
        <v>0.79558011049723754</v>
      </c>
      <c r="AL55" s="71">
        <f t="shared" si="151"/>
        <v>0.66000000000000014</v>
      </c>
      <c r="AM55" s="71">
        <f t="shared" si="151"/>
        <v>0.59360730593607314</v>
      </c>
      <c r="AN55" s="71">
        <f t="shared" si="151"/>
        <v>0.52916666666666679</v>
      </c>
      <c r="AO55" s="70">
        <f t="shared" si="151"/>
        <v>0.1630769230769229</v>
      </c>
      <c r="AP55" s="23">
        <f t="shared" si="151"/>
        <v>0.1630769230769229</v>
      </c>
      <c r="AQ55" s="71">
        <f t="shared" si="151"/>
        <v>0.17168674698795172</v>
      </c>
      <c r="AR55" s="71">
        <f t="shared" si="151"/>
        <v>0.15186246418338123</v>
      </c>
      <c r="AS55" s="71">
        <f t="shared" si="151"/>
        <v>0.13896457765667569</v>
      </c>
      <c r="AT55" s="70">
        <f t="shared" ref="AT55" si="152">AT53/AO53-1</f>
        <v>0.14814814814814814</v>
      </c>
      <c r="AU55" s="23">
        <f t="shared" ref="AU55:AX55" si="153">AU53/AP53-1</f>
        <v>0.14814814814814814</v>
      </c>
      <c r="AV55" s="71">
        <f t="shared" si="153"/>
        <v>0.15938303341902316</v>
      </c>
      <c r="AW55" s="71">
        <f t="shared" si="153"/>
        <v>0.17412935323383083</v>
      </c>
      <c r="AX55" s="71">
        <f t="shared" si="153"/>
        <v>0.1842105263157896</v>
      </c>
      <c r="AY55" s="70">
        <f t="shared" ref="AY55" si="154">AY53/AT53-1</f>
        <v>0.18663594470046085</v>
      </c>
      <c r="AZ55" s="23">
        <f t="shared" ref="AZ55:BC55" si="155">AZ53/AU53-1</f>
        <v>0.18663594470046085</v>
      </c>
      <c r="BA55" s="71">
        <f t="shared" si="155"/>
        <v>0.1862527716186253</v>
      </c>
      <c r="BB55" s="71">
        <f t="shared" si="155"/>
        <v>0.17372881355932202</v>
      </c>
      <c r="BC55" s="71">
        <f t="shared" si="155"/>
        <v>0.15979797979797983</v>
      </c>
      <c r="BD55" s="70">
        <f t="shared" ref="BD55" si="156">BD53/AY53-1</f>
        <v>0.14757281553398061</v>
      </c>
      <c r="BE55" s="23">
        <f t="shared" ref="BE55:BH55" si="157">BE53/AZ53-1</f>
        <v>0.14757281553398061</v>
      </c>
      <c r="BF55" s="71">
        <f t="shared" si="157"/>
        <v>0.14953271028037385</v>
      </c>
      <c r="BG55" s="71">
        <f t="shared" si="157"/>
        <v>0.15523465703971118</v>
      </c>
      <c r="BH55" s="71">
        <f t="shared" si="157"/>
        <v>0.15276084305870086</v>
      </c>
      <c r="BI55" s="70">
        <f t="shared" ref="BI55" si="158">BI53/BD53-1</f>
        <v>0.14720812182741105</v>
      </c>
      <c r="BJ55" s="23">
        <f t="shared" ref="BJ55:BK55" si="159">BJ53/BE53-1</f>
        <v>0.14720812182741105</v>
      </c>
      <c r="BK55" s="71">
        <f t="shared" si="159"/>
        <v>0.12357723577235769</v>
      </c>
    </row>
    <row r="56" spans="1:202" ht="7.5" customHeight="1">
      <c r="A56" s="69"/>
      <c r="B56" s="23"/>
      <c r="C56" s="71"/>
      <c r="D56" s="71"/>
      <c r="E56" s="71"/>
      <c r="F56" s="71"/>
      <c r="G56" s="23"/>
      <c r="H56" s="71"/>
      <c r="I56" s="71"/>
      <c r="J56" s="71"/>
      <c r="K56" s="70"/>
      <c r="L56" s="23"/>
      <c r="M56" s="71"/>
      <c r="N56" s="71"/>
      <c r="O56" s="71"/>
      <c r="P56" s="70"/>
      <c r="Q56" s="23"/>
      <c r="R56" s="71"/>
      <c r="S56" s="71"/>
      <c r="T56" s="71"/>
      <c r="U56" s="70"/>
      <c r="V56" s="23"/>
      <c r="W56" s="71"/>
      <c r="X56" s="71"/>
      <c r="Y56" s="71"/>
      <c r="Z56" s="70"/>
      <c r="AA56" s="23"/>
      <c r="AB56" s="71"/>
      <c r="AC56" s="71"/>
      <c r="AD56" s="71"/>
      <c r="AE56" s="70"/>
      <c r="AF56" s="23"/>
      <c r="AG56" s="71"/>
      <c r="AH56" s="71"/>
      <c r="AI56" s="71"/>
      <c r="AJ56" s="70"/>
      <c r="AK56" s="23"/>
      <c r="AL56" s="71"/>
      <c r="AM56" s="71"/>
      <c r="AN56" s="71"/>
      <c r="AO56" s="70"/>
      <c r="AP56" s="23"/>
      <c r="AQ56" s="71"/>
      <c r="AR56" s="71"/>
      <c r="AS56" s="71"/>
      <c r="AT56" s="70"/>
      <c r="AU56" s="23"/>
      <c r="AV56" s="71"/>
      <c r="AW56" s="71"/>
      <c r="AX56" s="71"/>
      <c r="AY56" s="70"/>
      <c r="AZ56" s="23"/>
      <c r="BA56" s="71"/>
      <c r="BB56" s="71"/>
      <c r="BC56" s="71"/>
      <c r="BD56" s="70"/>
      <c r="BE56" s="23"/>
      <c r="BF56" s="71"/>
      <c r="BG56" s="71"/>
      <c r="BH56" s="71"/>
      <c r="BI56" s="70"/>
      <c r="BJ56" s="23"/>
      <c r="BK56" s="71"/>
    </row>
    <row r="57" spans="1:202" s="2" customFormat="1">
      <c r="A57" s="67" t="s">
        <v>17</v>
      </c>
      <c r="B57" s="37">
        <v>7614</v>
      </c>
      <c r="C57" s="78" t="s">
        <v>48</v>
      </c>
      <c r="D57" s="78" t="s">
        <v>48</v>
      </c>
      <c r="E57" s="78" t="s">
        <v>48</v>
      </c>
      <c r="F57" s="78" t="s">
        <v>48</v>
      </c>
      <c r="G57" s="37">
        <v>7530</v>
      </c>
      <c r="H57" s="116" t="s">
        <v>40</v>
      </c>
      <c r="I57" s="116" t="s">
        <v>40</v>
      </c>
      <c r="J57" s="116" t="s">
        <v>40</v>
      </c>
      <c r="K57" s="116" t="s">
        <v>40</v>
      </c>
      <c r="L57" s="37">
        <v>7364</v>
      </c>
      <c r="M57" s="116" t="s">
        <v>40</v>
      </c>
      <c r="N57" s="116" t="s">
        <v>40</v>
      </c>
      <c r="O57" s="116" t="s">
        <v>40</v>
      </c>
      <c r="P57" s="116" t="s">
        <v>40</v>
      </c>
      <c r="Q57" s="37">
        <v>7216</v>
      </c>
      <c r="R57" s="116" t="s">
        <v>40</v>
      </c>
      <c r="S57" s="116" t="s">
        <v>40</v>
      </c>
      <c r="T57" s="116" t="s">
        <v>40</v>
      </c>
      <c r="U57" s="116" t="s">
        <v>40</v>
      </c>
      <c r="V57" s="36">
        <v>7076</v>
      </c>
      <c r="W57" s="116" t="s">
        <v>40</v>
      </c>
      <c r="X57" s="116" t="s">
        <v>40</v>
      </c>
      <c r="Y57" s="116" t="s">
        <v>40</v>
      </c>
      <c r="Z57" s="116" t="s">
        <v>40</v>
      </c>
      <c r="AA57" s="36">
        <v>7422</v>
      </c>
      <c r="AB57" s="134" t="s">
        <v>40</v>
      </c>
      <c r="AC57" s="134" t="s">
        <v>40</v>
      </c>
      <c r="AD57" s="68">
        <v>6576</v>
      </c>
      <c r="AE57" s="68">
        <v>6479</v>
      </c>
      <c r="AF57" s="36">
        <v>6479</v>
      </c>
      <c r="AG57" s="134" t="s">
        <v>40</v>
      </c>
      <c r="AH57" s="134" t="s">
        <v>40</v>
      </c>
      <c r="AI57" s="134" t="s">
        <v>40</v>
      </c>
      <c r="AJ57" s="68">
        <v>5964</v>
      </c>
      <c r="AK57" s="36">
        <v>5964</v>
      </c>
      <c r="AL57" s="134" t="s">
        <v>40</v>
      </c>
      <c r="AM57" s="134" t="s">
        <v>40</v>
      </c>
      <c r="AN57" s="134" t="s">
        <v>40</v>
      </c>
      <c r="AO57" s="68">
        <v>5896</v>
      </c>
      <c r="AP57" s="36">
        <v>5896</v>
      </c>
      <c r="AQ57" s="134" t="s">
        <v>40</v>
      </c>
      <c r="AR57" s="134" t="s">
        <v>40</v>
      </c>
      <c r="AS57" s="134" t="s">
        <v>40</v>
      </c>
      <c r="AT57" s="68">
        <v>5649</v>
      </c>
      <c r="AU57" s="36">
        <v>5649</v>
      </c>
      <c r="AV57" s="134" t="s">
        <v>40</v>
      </c>
      <c r="AW57" s="134" t="s">
        <v>40</v>
      </c>
      <c r="AX57" s="134" t="s">
        <v>40</v>
      </c>
      <c r="AY57" s="68">
        <v>5582</v>
      </c>
      <c r="AZ57" s="36">
        <v>5582</v>
      </c>
      <c r="BA57" s="134" t="s">
        <v>40</v>
      </c>
      <c r="BB57" s="134" t="s">
        <v>40</v>
      </c>
      <c r="BC57" s="134" t="s">
        <v>40</v>
      </c>
      <c r="BD57" s="68">
        <f>BE57</f>
        <v>5494</v>
      </c>
      <c r="BE57" s="36">
        <v>5494</v>
      </c>
      <c r="BF57" s="68">
        <v>5358</v>
      </c>
      <c r="BG57" s="134" t="s">
        <v>40</v>
      </c>
      <c r="BH57" s="134" t="s">
        <v>40</v>
      </c>
      <c r="BI57" s="68">
        <f>BJ57</f>
        <v>5256</v>
      </c>
      <c r="BJ57" s="36">
        <v>5256</v>
      </c>
      <c r="BK57" s="134" t="s">
        <v>40</v>
      </c>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row>
    <row r="58" spans="1:202" ht="13.5" customHeight="1">
      <c r="A58" s="69" t="s">
        <v>8</v>
      </c>
      <c r="B58" s="23"/>
      <c r="C58" s="71"/>
      <c r="D58" s="71"/>
      <c r="E58" s="71"/>
      <c r="F58" s="71"/>
      <c r="G58" s="23">
        <f>G57/B57-1</f>
        <v>-1.1032308904649346E-2</v>
      </c>
      <c r="H58" s="71"/>
      <c r="I58" s="71"/>
      <c r="J58" s="71"/>
      <c r="K58" s="70"/>
      <c r="L58" s="23">
        <f>L57/G57-1</f>
        <v>-2.2045152722443562E-2</v>
      </c>
      <c r="M58" s="71"/>
      <c r="N58" s="71"/>
      <c r="O58" s="71"/>
      <c r="P58" s="70"/>
      <c r="Q58" s="23">
        <f>Q57/L57-1</f>
        <v>-2.0097772949484005E-2</v>
      </c>
      <c r="R58" s="71"/>
      <c r="S58" s="71"/>
      <c r="T58" s="71"/>
      <c r="U58" s="70"/>
      <c r="V58" s="23">
        <f>V57/Q57-1</f>
        <v>-1.940133037694014E-2</v>
      </c>
      <c r="W58" s="71"/>
      <c r="X58" s="71"/>
      <c r="Y58" s="71"/>
      <c r="Z58" s="70"/>
      <c r="AA58" s="23">
        <f>AA57/V57-1</f>
        <v>4.8897682306387802E-2</v>
      </c>
      <c r="AB58" s="71"/>
      <c r="AC58" s="71"/>
      <c r="AD58" s="71"/>
      <c r="AE58" s="70"/>
      <c r="AF58" s="23">
        <f>AF57/AA57-1</f>
        <v>-0.12705470223659387</v>
      </c>
      <c r="AG58" s="71"/>
      <c r="AH58" s="71"/>
      <c r="AI58" s="71"/>
      <c r="AJ58" s="70"/>
      <c r="AK58" s="23">
        <f>AK57/AF57-1</f>
        <v>-7.9487575243093023E-2</v>
      </c>
      <c r="AL58" s="71"/>
      <c r="AM58" s="71"/>
      <c r="AN58" s="71"/>
      <c r="AO58" s="70"/>
      <c r="AP58" s="23">
        <f>AP57/AK57-1</f>
        <v>-1.1401743796110031E-2</v>
      </c>
      <c r="AQ58" s="71"/>
      <c r="AR58" s="71"/>
      <c r="AS58" s="71"/>
      <c r="AT58" s="70"/>
      <c r="AU58" s="23">
        <f>AU57/AP57-1</f>
        <v>-4.1892808683853477E-2</v>
      </c>
      <c r="AV58" s="71"/>
      <c r="AW58" s="71"/>
      <c r="AX58" s="71"/>
      <c r="AY58" s="70"/>
      <c r="AZ58" s="23">
        <f>AZ57/AU57-1</f>
        <v>-1.1860506284298133E-2</v>
      </c>
      <c r="BA58" s="71"/>
      <c r="BB58" s="71"/>
      <c r="BC58" s="71"/>
      <c r="BD58" s="70"/>
      <c r="BE58" s="23">
        <f>BE57/AZ57-1</f>
        <v>-1.5764958796130379E-2</v>
      </c>
      <c r="BF58" s="71"/>
      <c r="BG58" s="71"/>
      <c r="BH58" s="71"/>
      <c r="BI58" s="70"/>
      <c r="BJ58" s="23">
        <f>BJ57/BE57-1</f>
        <v>-4.3319985438660336E-2</v>
      </c>
      <c r="BK58" s="71"/>
    </row>
    <row r="59" spans="1:202" ht="2.25" customHeight="1">
      <c r="A59" s="69"/>
      <c r="B59" s="23"/>
      <c r="C59" s="71"/>
      <c r="D59" s="71"/>
      <c r="E59" s="71"/>
      <c r="F59" s="71"/>
      <c r="G59" s="23"/>
      <c r="H59" s="71"/>
      <c r="I59" s="71"/>
      <c r="J59" s="71"/>
      <c r="K59" s="70"/>
      <c r="L59" s="23"/>
      <c r="M59" s="71"/>
      <c r="N59" s="71"/>
      <c r="O59" s="71"/>
      <c r="P59" s="70"/>
      <c r="Q59" s="23"/>
      <c r="R59" s="71"/>
      <c r="S59" s="71"/>
      <c r="T59" s="71"/>
      <c r="U59" s="70"/>
      <c r="V59" s="23"/>
      <c r="W59" s="71"/>
      <c r="X59" s="71"/>
      <c r="Y59" s="71"/>
      <c r="Z59" s="70"/>
      <c r="AA59" s="23"/>
      <c r="AB59" s="71"/>
      <c r="AC59" s="71"/>
      <c r="AD59" s="71"/>
      <c r="AE59" s="70"/>
      <c r="AF59" s="23"/>
      <c r="AG59" s="71"/>
      <c r="AH59" s="71"/>
      <c r="AI59" s="71"/>
      <c r="AJ59" s="70"/>
      <c r="AK59" s="23"/>
      <c r="AL59" s="71"/>
      <c r="AM59" s="71"/>
      <c r="AN59" s="71"/>
      <c r="AO59" s="70"/>
      <c r="AP59" s="23" t="s">
        <v>155</v>
      </c>
      <c r="AQ59" s="71"/>
      <c r="AR59" s="71"/>
      <c r="AS59" s="71"/>
      <c r="AT59" s="70"/>
      <c r="AU59" s="23" t="s">
        <v>155</v>
      </c>
      <c r="AV59" s="71"/>
      <c r="AW59" s="71"/>
      <c r="AX59" s="71"/>
      <c r="AY59" s="70"/>
      <c r="AZ59" s="23" t="s">
        <v>155</v>
      </c>
      <c r="BA59" s="71"/>
      <c r="BB59" s="71"/>
      <c r="BC59" s="71"/>
      <c r="BD59" s="70"/>
      <c r="BE59" s="23" t="s">
        <v>155</v>
      </c>
      <c r="BF59" s="71"/>
      <c r="BG59" s="71"/>
      <c r="BH59" s="71"/>
      <c r="BI59" s="70"/>
      <c r="BJ59" s="23" t="s">
        <v>155</v>
      </c>
      <c r="BK59" s="71"/>
    </row>
    <row r="60" spans="1:202" s="45" customFormat="1" ht="13.9" customHeight="1">
      <c r="A60" s="67" t="s">
        <v>146</v>
      </c>
      <c r="B60" s="165" t="s">
        <v>40</v>
      </c>
      <c r="C60" s="38"/>
      <c r="D60" s="38"/>
      <c r="E60" s="38"/>
      <c r="F60" s="38"/>
      <c r="G60" s="165" t="s">
        <v>40</v>
      </c>
      <c r="H60" s="38"/>
      <c r="I60" s="38"/>
      <c r="J60" s="38"/>
      <c r="K60" s="38"/>
      <c r="L60" s="166">
        <v>0.59</v>
      </c>
      <c r="M60" s="166"/>
      <c r="N60" s="166"/>
      <c r="O60" s="166"/>
      <c r="P60" s="166"/>
      <c r="Q60" s="166">
        <v>0.59</v>
      </c>
      <c r="R60" s="166"/>
      <c r="S60" s="166"/>
      <c r="T60" s="166"/>
      <c r="U60" s="166"/>
      <c r="V60" s="166">
        <v>0.59</v>
      </c>
      <c r="W60" s="166"/>
      <c r="X60" s="166"/>
      <c r="Y60" s="166"/>
      <c r="Z60" s="166"/>
      <c r="AA60" s="166">
        <v>0.6</v>
      </c>
      <c r="AB60" s="166"/>
      <c r="AC60" s="166"/>
      <c r="AD60" s="166"/>
      <c r="AE60" s="166"/>
      <c r="AF60" s="166">
        <v>0.63</v>
      </c>
      <c r="AG60" s="134" t="s">
        <v>40</v>
      </c>
      <c r="AH60" s="134" t="s">
        <v>40</v>
      </c>
      <c r="AI60" s="134" t="s">
        <v>40</v>
      </c>
      <c r="AJ60" s="134" t="s">
        <v>40</v>
      </c>
      <c r="AK60" s="166">
        <v>0.66</v>
      </c>
      <c r="AL60" s="134" t="s">
        <v>40</v>
      </c>
      <c r="AM60" s="134" t="s">
        <v>40</v>
      </c>
      <c r="AN60" s="134" t="s">
        <v>40</v>
      </c>
      <c r="AO60" s="134" t="s">
        <v>40</v>
      </c>
      <c r="AP60" s="166">
        <v>0.68</v>
      </c>
      <c r="AQ60" s="134" t="s">
        <v>40</v>
      </c>
      <c r="AR60" s="134" t="s">
        <v>40</v>
      </c>
      <c r="AS60" s="134" t="s">
        <v>40</v>
      </c>
      <c r="AT60" s="134" t="s">
        <v>40</v>
      </c>
      <c r="AU60" s="166">
        <v>0.69</v>
      </c>
      <c r="AV60" s="134" t="s">
        <v>40</v>
      </c>
      <c r="AW60" s="134" t="s">
        <v>40</v>
      </c>
      <c r="AX60" s="134" t="s">
        <v>40</v>
      </c>
      <c r="AY60" s="134" t="s">
        <v>40</v>
      </c>
      <c r="AZ60" s="166">
        <v>0.7</v>
      </c>
      <c r="BA60" s="134" t="s">
        <v>40</v>
      </c>
      <c r="BB60" s="134" t="s">
        <v>40</v>
      </c>
      <c r="BC60" s="134" t="s">
        <v>40</v>
      </c>
      <c r="BD60" s="134" t="s">
        <v>40</v>
      </c>
      <c r="BE60" s="166">
        <v>0.69</v>
      </c>
      <c r="BF60" s="134" t="s">
        <v>40</v>
      </c>
      <c r="BG60" s="134" t="s">
        <v>40</v>
      </c>
      <c r="BH60" s="134" t="s">
        <v>40</v>
      </c>
      <c r="BI60" s="134" t="s">
        <v>40</v>
      </c>
      <c r="BJ60" s="166">
        <v>0.63</v>
      </c>
      <c r="BK60" s="134" t="s">
        <v>40</v>
      </c>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row>
    <row r="61" spans="1:202" s="45" customFormat="1" ht="13.5" customHeight="1">
      <c r="A61" s="67" t="s">
        <v>150</v>
      </c>
      <c r="B61" s="165" t="s">
        <v>40</v>
      </c>
      <c r="C61" s="38"/>
      <c r="D61" s="38"/>
      <c r="E61" s="38"/>
      <c r="F61" s="38"/>
      <c r="G61" s="165" t="s">
        <v>40</v>
      </c>
      <c r="H61" s="38"/>
      <c r="I61" s="38"/>
      <c r="J61" s="38"/>
      <c r="K61" s="38"/>
      <c r="L61" s="166">
        <v>0.72</v>
      </c>
      <c r="M61" s="166"/>
      <c r="N61" s="166"/>
      <c r="O61" s="166"/>
      <c r="P61" s="166"/>
      <c r="Q61" s="166">
        <v>0.65</v>
      </c>
      <c r="R61" s="166"/>
      <c r="S61" s="166"/>
      <c r="T61" s="166"/>
      <c r="U61" s="166"/>
      <c r="V61" s="166">
        <v>0.63</v>
      </c>
      <c r="W61" s="166"/>
      <c r="X61" s="166"/>
      <c r="Y61" s="166"/>
      <c r="Z61" s="166"/>
      <c r="AA61" s="166">
        <v>0.59</v>
      </c>
      <c r="AB61" s="166"/>
      <c r="AC61" s="166"/>
      <c r="AD61" s="166"/>
      <c r="AE61" s="166"/>
      <c r="AF61" s="166">
        <v>0.56999999999999995</v>
      </c>
      <c r="AG61" s="134" t="s">
        <v>40</v>
      </c>
      <c r="AH61" s="134" t="s">
        <v>40</v>
      </c>
      <c r="AI61" s="134" t="s">
        <v>40</v>
      </c>
      <c r="AJ61" s="134" t="s">
        <v>40</v>
      </c>
      <c r="AK61" s="166">
        <v>0.56000000000000005</v>
      </c>
      <c r="AL61" s="134" t="s">
        <v>40</v>
      </c>
      <c r="AM61" s="134" t="s">
        <v>40</v>
      </c>
      <c r="AN61" s="134" t="s">
        <v>40</v>
      </c>
      <c r="AO61" s="134" t="s">
        <v>40</v>
      </c>
      <c r="AP61" s="166">
        <v>0.56000000000000005</v>
      </c>
      <c r="AQ61" s="134" t="s">
        <v>40</v>
      </c>
      <c r="AR61" s="134" t="s">
        <v>40</v>
      </c>
      <c r="AS61" s="134" t="s">
        <v>40</v>
      </c>
      <c r="AT61" s="134" t="s">
        <v>40</v>
      </c>
      <c r="AU61" s="166">
        <v>0.55000000000000004</v>
      </c>
      <c r="AV61" s="134" t="s">
        <v>40</v>
      </c>
      <c r="AW61" s="134" t="s">
        <v>40</v>
      </c>
      <c r="AX61" s="134" t="s">
        <v>40</v>
      </c>
      <c r="AY61" s="134" t="s">
        <v>40</v>
      </c>
      <c r="AZ61" s="166">
        <v>0.53</v>
      </c>
      <c r="BA61" s="134" t="s">
        <v>40</v>
      </c>
      <c r="BB61" s="134" t="s">
        <v>40</v>
      </c>
      <c r="BC61" s="134" t="s">
        <v>40</v>
      </c>
      <c r="BD61" s="134" t="s">
        <v>40</v>
      </c>
      <c r="BE61" s="166">
        <v>0.52</v>
      </c>
      <c r="BF61" s="134" t="s">
        <v>40</v>
      </c>
      <c r="BG61" s="134" t="s">
        <v>40</v>
      </c>
      <c r="BH61" s="134" t="s">
        <v>40</v>
      </c>
      <c r="BI61" s="134" t="s">
        <v>40</v>
      </c>
      <c r="BJ61" s="166">
        <v>0.53</v>
      </c>
      <c r="BK61" s="134" t="s">
        <v>40</v>
      </c>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row>
    <row r="62" spans="1:202" s="45" customFormat="1" ht="14.25" customHeight="1">
      <c r="A62" s="67" t="s">
        <v>153</v>
      </c>
      <c r="B62" s="165" t="s">
        <v>40</v>
      </c>
      <c r="C62" s="38"/>
      <c r="D62" s="38"/>
      <c r="E62" s="38"/>
      <c r="F62" s="38"/>
      <c r="G62" s="165" t="s">
        <v>40</v>
      </c>
      <c r="H62" s="38"/>
      <c r="I62" s="38"/>
      <c r="J62" s="38"/>
      <c r="K62" s="38"/>
      <c r="L62" s="166">
        <v>0.82</v>
      </c>
      <c r="M62" s="166"/>
      <c r="N62" s="166"/>
      <c r="O62" s="166"/>
      <c r="P62" s="166"/>
      <c r="Q62" s="166">
        <v>0.78</v>
      </c>
      <c r="R62" s="166"/>
      <c r="S62" s="166"/>
      <c r="T62" s="166"/>
      <c r="U62" s="166"/>
      <c r="V62" s="166">
        <v>0.76</v>
      </c>
      <c r="W62" s="166"/>
      <c r="X62" s="166"/>
      <c r="Y62" s="166"/>
      <c r="Z62" s="166"/>
      <c r="AA62" s="166">
        <v>0.75</v>
      </c>
      <c r="AB62" s="166"/>
      <c r="AC62" s="166"/>
      <c r="AD62" s="166"/>
      <c r="AE62" s="166"/>
      <c r="AF62" s="166">
        <v>0.74</v>
      </c>
      <c r="AG62" s="134" t="s">
        <v>40</v>
      </c>
      <c r="AH62" s="134" t="s">
        <v>40</v>
      </c>
      <c r="AI62" s="134" t="s">
        <v>40</v>
      </c>
      <c r="AJ62" s="134" t="s">
        <v>40</v>
      </c>
      <c r="AK62" s="166">
        <v>0.74</v>
      </c>
      <c r="AL62" s="134" t="s">
        <v>40</v>
      </c>
      <c r="AM62" s="134" t="s">
        <v>40</v>
      </c>
      <c r="AN62" s="134" t="s">
        <v>40</v>
      </c>
      <c r="AO62" s="134" t="s">
        <v>40</v>
      </c>
      <c r="AP62" s="166">
        <v>0.74</v>
      </c>
      <c r="AQ62" s="134" t="s">
        <v>40</v>
      </c>
      <c r="AR62" s="134" t="s">
        <v>40</v>
      </c>
      <c r="AS62" s="134" t="s">
        <v>40</v>
      </c>
      <c r="AT62" s="134" t="s">
        <v>40</v>
      </c>
      <c r="AU62" s="166">
        <v>0.73</v>
      </c>
      <c r="AV62" s="134" t="s">
        <v>40</v>
      </c>
      <c r="AW62" s="134" t="s">
        <v>40</v>
      </c>
      <c r="AX62" s="134" t="s">
        <v>40</v>
      </c>
      <c r="AY62" s="134" t="s">
        <v>40</v>
      </c>
      <c r="AZ62" s="166">
        <v>0.72</v>
      </c>
      <c r="BA62" s="134" t="s">
        <v>40</v>
      </c>
      <c r="BB62" s="134" t="s">
        <v>40</v>
      </c>
      <c r="BC62" s="134" t="s">
        <v>40</v>
      </c>
      <c r="BD62" s="134" t="s">
        <v>40</v>
      </c>
      <c r="BE62" s="166">
        <v>0.71</v>
      </c>
      <c r="BF62" s="134" t="s">
        <v>40</v>
      </c>
      <c r="BG62" s="134" t="s">
        <v>40</v>
      </c>
      <c r="BH62" s="134" t="s">
        <v>40</v>
      </c>
      <c r="BI62" s="134" t="s">
        <v>40</v>
      </c>
      <c r="BJ62" s="166">
        <v>0.71</v>
      </c>
      <c r="BK62" s="134" t="s">
        <v>40</v>
      </c>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row>
    <row r="63" spans="1:202" s="45" customFormat="1" ht="3.75" customHeight="1">
      <c r="A63" s="43"/>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row>
    <row r="64" spans="1:202" s="45" customFormat="1" ht="11.25" customHeight="1">
      <c r="A64" s="92"/>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row>
    <row r="65" spans="1:202" s="45" customFormat="1" ht="4.5" customHeight="1">
      <c r="A65" s="43"/>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row>
    <row r="66" spans="1:202" ht="20.25">
      <c r="A66" s="34" t="s">
        <v>3</v>
      </c>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202" s="42" customFormat="1">
      <c r="A67" s="39" t="s">
        <v>25</v>
      </c>
      <c r="B67" s="93"/>
      <c r="C67" s="41"/>
      <c r="D67" s="41"/>
      <c r="E67" s="41"/>
      <c r="F67" s="41"/>
      <c r="G67" s="40"/>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row>
    <row r="68" spans="1:202" s="33" customFormat="1">
      <c r="A68" s="67"/>
      <c r="B68" s="28"/>
      <c r="C68" s="67"/>
      <c r="D68" s="67"/>
      <c r="E68" s="67"/>
      <c r="F68" s="67"/>
      <c r="G68" s="28"/>
      <c r="H68" s="67"/>
      <c r="I68" s="67"/>
      <c r="J68" s="67"/>
      <c r="K68" s="67"/>
      <c r="L68" s="20"/>
      <c r="M68" s="67"/>
      <c r="N68" s="67"/>
      <c r="O68" s="67"/>
      <c r="P68" s="67"/>
      <c r="Q68" s="20"/>
      <c r="R68" s="67"/>
      <c r="S68" s="67"/>
      <c r="T68" s="67"/>
      <c r="U68" s="67"/>
      <c r="V68" s="20"/>
      <c r="W68" s="67"/>
      <c r="X68" s="67"/>
      <c r="Y68" s="67"/>
      <c r="Z68" s="67"/>
      <c r="AA68" s="20"/>
      <c r="AB68" s="67"/>
      <c r="AC68" s="67"/>
      <c r="AD68" s="67"/>
      <c r="AE68" s="67"/>
      <c r="AF68" s="20"/>
      <c r="AG68" s="67"/>
      <c r="AH68" s="67"/>
      <c r="AI68" s="67"/>
      <c r="AJ68" s="67"/>
      <c r="AK68" s="20"/>
      <c r="AL68" s="67"/>
      <c r="AM68" s="67"/>
      <c r="AN68" s="67"/>
      <c r="AO68" s="67"/>
      <c r="AP68" s="20"/>
      <c r="AQ68" s="67"/>
      <c r="AR68" s="67"/>
      <c r="AS68" s="67"/>
      <c r="AT68" s="67"/>
      <c r="AU68" s="20"/>
      <c r="AV68" s="219"/>
      <c r="AW68" s="219"/>
      <c r="AX68" s="219"/>
      <c r="AY68" s="219"/>
      <c r="AZ68" s="26"/>
      <c r="BA68" s="219"/>
      <c r="BB68" s="219"/>
      <c r="BC68" s="219"/>
      <c r="BD68" s="219"/>
      <c r="BE68" s="26"/>
      <c r="BF68" s="219"/>
      <c r="BG68" s="219"/>
      <c r="BH68" s="219"/>
      <c r="BI68" s="219"/>
      <c r="BJ68" s="26"/>
      <c r="BK68" s="219"/>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row>
    <row r="69" spans="1:202" s="2" customFormat="1">
      <c r="A69" s="67" t="s">
        <v>265</v>
      </c>
      <c r="B69" s="37">
        <v>2622</v>
      </c>
      <c r="C69" s="68">
        <v>2595</v>
      </c>
      <c r="D69" s="68">
        <v>2636</v>
      </c>
      <c r="E69" s="68">
        <v>2698</v>
      </c>
      <c r="F69" s="68">
        <v>2649</v>
      </c>
      <c r="G69" s="37">
        <v>2649</v>
      </c>
      <c r="H69" s="68">
        <v>2669</v>
      </c>
      <c r="I69" s="68">
        <v>2694</v>
      </c>
      <c r="J69" s="68">
        <v>2721</v>
      </c>
      <c r="K69" s="68">
        <f>L69</f>
        <v>2766</v>
      </c>
      <c r="L69" s="89">
        <v>2766</v>
      </c>
      <c r="M69" s="68">
        <v>2789</v>
      </c>
      <c r="N69" s="68">
        <v>2807</v>
      </c>
      <c r="O69" s="68">
        <v>2825</v>
      </c>
      <c r="P69" s="68">
        <f>Q69</f>
        <v>2857</v>
      </c>
      <c r="Q69" s="89">
        <v>2857</v>
      </c>
      <c r="R69" s="68">
        <v>2861</v>
      </c>
      <c r="S69" s="68">
        <v>2827</v>
      </c>
      <c r="T69" s="68">
        <v>2842</v>
      </c>
      <c r="U69" s="68">
        <v>2847</v>
      </c>
      <c r="V69" s="89">
        <v>2847</v>
      </c>
      <c r="W69" s="68">
        <v>2876</v>
      </c>
      <c r="X69" s="68">
        <v>2859</v>
      </c>
      <c r="Y69" s="68">
        <v>2839</v>
      </c>
      <c r="Z69" s="68">
        <v>2800</v>
      </c>
      <c r="AA69" s="89">
        <v>2800</v>
      </c>
      <c r="AB69" s="68">
        <v>2741</v>
      </c>
      <c r="AC69" s="68">
        <v>2702</v>
      </c>
      <c r="AD69" s="68">
        <v>2683</v>
      </c>
      <c r="AE69" s="68">
        <v>2642</v>
      </c>
      <c r="AF69" s="89">
        <v>2642</v>
      </c>
      <c r="AG69" s="68">
        <v>2631</v>
      </c>
      <c r="AH69" s="68">
        <v>2610</v>
      </c>
      <c r="AI69" s="68">
        <v>2600</v>
      </c>
      <c r="AJ69" s="68">
        <v>2586</v>
      </c>
      <c r="AK69" s="89">
        <v>2586</v>
      </c>
      <c r="AL69" s="68">
        <v>2565</v>
      </c>
      <c r="AM69" s="68">
        <v>2566</v>
      </c>
      <c r="AN69" s="68">
        <v>2569</v>
      </c>
      <c r="AO69" s="68">
        <v>2651</v>
      </c>
      <c r="AP69" s="89">
        <v>2651</v>
      </c>
      <c r="AQ69" s="68">
        <v>2692</v>
      </c>
      <c r="AR69" s="68">
        <v>2260</v>
      </c>
      <c r="AS69" s="68">
        <v>2348</v>
      </c>
      <c r="AT69" s="68">
        <v>2402</v>
      </c>
      <c r="AU69" s="89">
        <v>2402</v>
      </c>
      <c r="AV69" s="68">
        <v>2430</v>
      </c>
      <c r="AW69" s="68">
        <v>2410</v>
      </c>
      <c r="AX69" s="68">
        <v>2475</v>
      </c>
      <c r="AY69" s="68">
        <v>2525</v>
      </c>
      <c r="AZ69" s="89">
        <v>2525</v>
      </c>
      <c r="BA69" s="68">
        <v>2546</v>
      </c>
      <c r="BB69" s="68">
        <v>2601</v>
      </c>
      <c r="BC69" s="68">
        <f>BC74+BC79</f>
        <v>2185</v>
      </c>
      <c r="BD69" s="68">
        <f>BE69</f>
        <v>2205</v>
      </c>
      <c r="BE69" s="89">
        <v>2205</v>
      </c>
      <c r="BF69" s="68">
        <f>BF74+BF79</f>
        <v>2224</v>
      </c>
      <c r="BG69" s="68">
        <f>BG74+BG79</f>
        <v>2263</v>
      </c>
      <c r="BH69" s="68">
        <f>BH74+BH79</f>
        <v>2310</v>
      </c>
      <c r="BI69" s="68">
        <f>BJ69</f>
        <v>2336</v>
      </c>
      <c r="BJ69" s="89">
        <f>BJ74+BJ79</f>
        <v>2336</v>
      </c>
      <c r="BK69" s="68">
        <v>2367</v>
      </c>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35"/>
      <c r="GF69" s="35"/>
      <c r="GG69" s="35"/>
      <c r="GH69" s="35"/>
      <c r="GI69" s="35"/>
      <c r="GJ69" s="35"/>
      <c r="GK69" s="35"/>
      <c r="GL69" s="35"/>
      <c r="GM69" s="35"/>
      <c r="GN69" s="35"/>
      <c r="GO69" s="35"/>
      <c r="GP69" s="35"/>
      <c r="GQ69" s="35"/>
      <c r="GR69" s="35"/>
      <c r="GS69" s="35"/>
      <c r="GT69" s="35"/>
    </row>
    <row r="70" spans="1:202">
      <c r="A70" s="69" t="s">
        <v>7</v>
      </c>
      <c r="B70" s="23"/>
      <c r="C70" s="70"/>
      <c r="D70" s="70">
        <f>D69/C69-1</f>
        <v>1.579961464354529E-2</v>
      </c>
      <c r="E70" s="70">
        <f>E69/D69-1</f>
        <v>2.3520485584218598E-2</v>
      </c>
      <c r="F70" s="70">
        <f>F69/E69-1</f>
        <v>-1.8161601186063803E-2</v>
      </c>
      <c r="G70" s="23"/>
      <c r="H70" s="70">
        <f>H69/F69-1</f>
        <v>7.5500188750472486E-3</v>
      </c>
      <c r="I70" s="70">
        <f>I69/H69-1</f>
        <v>9.3668040464593982E-3</v>
      </c>
      <c r="J70" s="70">
        <f>J69/I69-1</f>
        <v>1.0022271714922093E-2</v>
      </c>
      <c r="K70" s="70">
        <f>K69/J69-1</f>
        <v>1.6538037486218293E-2</v>
      </c>
      <c r="L70" s="26"/>
      <c r="M70" s="70">
        <f>M69/K69-1</f>
        <v>8.315256688358641E-3</v>
      </c>
      <c r="N70" s="70">
        <f>N69/M69-1</f>
        <v>6.4539261384009006E-3</v>
      </c>
      <c r="O70" s="70">
        <f>O69/N69-1</f>
        <v>6.4125400783754394E-3</v>
      </c>
      <c r="P70" s="70">
        <f>P69/O69-1</f>
        <v>1.1327433628318673E-2</v>
      </c>
      <c r="Q70" s="26"/>
      <c r="R70" s="70">
        <f>R69/P69-1</f>
        <v>1.4000700035001756E-3</v>
      </c>
      <c r="S70" s="70">
        <f>S69/R69-1</f>
        <v>-1.1883956658511052E-2</v>
      </c>
      <c r="T70" s="70">
        <f>T69/S69-1</f>
        <v>5.3059780686239844E-3</v>
      </c>
      <c r="U70" s="70">
        <f>U69/T69-1</f>
        <v>1.7593244194229474E-3</v>
      </c>
      <c r="V70" s="26"/>
      <c r="W70" s="70">
        <f>W69/U69-1</f>
        <v>1.0186160871092476E-2</v>
      </c>
      <c r="X70" s="70">
        <f>X69/W69-1</f>
        <v>-5.9109874826147601E-3</v>
      </c>
      <c r="Y70" s="70">
        <f>Y69/X69-1</f>
        <v>-6.9954529555789069E-3</v>
      </c>
      <c r="Z70" s="70">
        <f>Z69/Y69-1</f>
        <v>-1.3737231419513884E-2</v>
      </c>
      <c r="AA70" s="26"/>
      <c r="AB70" s="70">
        <f>AB69/Z69-1</f>
        <v>-2.1071428571428519E-2</v>
      </c>
      <c r="AC70" s="70">
        <f>AC69/AB69-1</f>
        <v>-1.4228383801532241E-2</v>
      </c>
      <c r="AD70" s="70">
        <f>AD69/AC69-1</f>
        <v>-7.0318282753515371E-3</v>
      </c>
      <c r="AE70" s="70">
        <f>AE69/AD69-1</f>
        <v>-1.5281401416325058E-2</v>
      </c>
      <c r="AF70" s="26"/>
      <c r="AG70" s="70">
        <f>AG69/AE69-1</f>
        <v>-4.1635124905374798E-3</v>
      </c>
      <c r="AH70" s="70">
        <f>AH69/AG69-1</f>
        <v>-7.9817559863170073E-3</v>
      </c>
      <c r="AI70" s="70">
        <f>AI69/AH69-1</f>
        <v>-3.8314176245211051E-3</v>
      </c>
      <c r="AJ70" s="70">
        <f>AJ69/AI69-1</f>
        <v>-5.3846153846154321E-3</v>
      </c>
      <c r="AK70" s="26"/>
      <c r="AL70" s="70">
        <f>AL69/AJ69-1</f>
        <v>-8.1206496519721227E-3</v>
      </c>
      <c r="AM70" s="70">
        <f>AM69/AL69-1</f>
        <v>3.898635477583845E-4</v>
      </c>
      <c r="AN70" s="70">
        <f>AN69/AM69-1</f>
        <v>1.1691348402182999E-3</v>
      </c>
      <c r="AO70" s="70">
        <f>AO69/AN69-1</f>
        <v>3.191903464383028E-2</v>
      </c>
      <c r="AP70" s="26"/>
      <c r="AQ70" s="70">
        <f>AQ69/AO69-1</f>
        <v>1.546586193889099E-2</v>
      </c>
      <c r="AR70" s="70">
        <f>AR69/AQ69-1</f>
        <v>-0.16047548291233282</v>
      </c>
      <c r="AS70" s="70">
        <f>AS69/AR69-1</f>
        <v>3.8938053097345104E-2</v>
      </c>
      <c r="AT70" s="70">
        <f>AT69/AS69-1</f>
        <v>2.2998296422487297E-2</v>
      </c>
      <c r="AU70" s="26"/>
      <c r="AV70" s="70">
        <f>AV69/AT69-1</f>
        <v>1.1656952539550458E-2</v>
      </c>
      <c r="AW70" s="70">
        <f>AW69/AV69-1</f>
        <v>-8.2304526748970819E-3</v>
      </c>
      <c r="AX70" s="70">
        <f>AX69/AW69-1</f>
        <v>2.6970954356846377E-2</v>
      </c>
      <c r="AY70" s="70">
        <f>AY69/AX69-1</f>
        <v>2.020202020202011E-2</v>
      </c>
      <c r="AZ70" s="26"/>
      <c r="BA70" s="70">
        <f>BA69/AY69-1</f>
        <v>8.3168316831683242E-3</v>
      </c>
      <c r="BB70" s="70">
        <f>BB69/BA69-1</f>
        <v>2.1602513747054131E-2</v>
      </c>
      <c r="BC70" s="70">
        <f>BC69/BB69-1</f>
        <v>-0.1599384851980008</v>
      </c>
      <c r="BD70" s="70">
        <f>BD69/BC69-1</f>
        <v>9.1533180778031742E-3</v>
      </c>
      <c r="BE70" s="26"/>
      <c r="BF70" s="70">
        <f>BF69/BD69-1</f>
        <v>8.6167800453513799E-3</v>
      </c>
      <c r="BG70" s="70">
        <f>BG69/BF69-1</f>
        <v>1.753597122302164E-2</v>
      </c>
      <c r="BH70" s="70">
        <f>BH69/BG69-1</f>
        <v>2.0768890852850275E-2</v>
      </c>
      <c r="BI70" s="70">
        <f>BI69/BH69-1</f>
        <v>1.1255411255411296E-2</v>
      </c>
      <c r="BJ70" s="26"/>
      <c r="BK70" s="70">
        <f>BK69/BI69-1</f>
        <v>1.3270547945205546E-2</v>
      </c>
    </row>
    <row r="71" spans="1:202">
      <c r="A71" s="69" t="s">
        <v>8</v>
      </c>
      <c r="B71" s="23"/>
      <c r="C71" s="71"/>
      <c r="D71" s="71"/>
      <c r="E71" s="71"/>
      <c r="F71" s="71"/>
      <c r="G71" s="23">
        <f t="shared" ref="G71:N71" si="160">G69/B69-1</f>
        <v>1.0297482837528626E-2</v>
      </c>
      <c r="H71" s="71">
        <f t="shared" si="160"/>
        <v>2.8516377649325575E-2</v>
      </c>
      <c r="I71" s="71">
        <f t="shared" si="160"/>
        <v>2.2003034901365792E-2</v>
      </c>
      <c r="J71" s="71">
        <f t="shared" si="160"/>
        <v>8.5248332097849211E-3</v>
      </c>
      <c r="K71" s="70">
        <f t="shared" si="160"/>
        <v>4.416761041902606E-2</v>
      </c>
      <c r="L71" s="23">
        <f t="shared" si="160"/>
        <v>4.416761041902606E-2</v>
      </c>
      <c r="M71" s="71">
        <f t="shared" si="160"/>
        <v>4.4960659423004978E-2</v>
      </c>
      <c r="N71" s="71">
        <f t="shared" si="160"/>
        <v>4.1945063103192348E-2</v>
      </c>
      <c r="O71" s="71">
        <f t="shared" ref="O71:Y71" si="161">O69/J69-1</f>
        <v>3.8221242190371152E-2</v>
      </c>
      <c r="P71" s="70">
        <f t="shared" si="161"/>
        <v>3.2899493853940642E-2</v>
      </c>
      <c r="Q71" s="23">
        <f t="shared" si="161"/>
        <v>3.2899493853940642E-2</v>
      </c>
      <c r="R71" s="71">
        <f t="shared" si="161"/>
        <v>2.581570455360338E-2</v>
      </c>
      <c r="S71" s="71">
        <f t="shared" si="161"/>
        <v>7.1250445315282906E-3</v>
      </c>
      <c r="T71" s="71">
        <f t="shared" si="161"/>
        <v>6.0176991150442394E-3</v>
      </c>
      <c r="U71" s="70">
        <f t="shared" si="161"/>
        <v>-3.5001750087504391E-3</v>
      </c>
      <c r="V71" s="23">
        <f t="shared" si="161"/>
        <v>-3.5001750087504391E-3</v>
      </c>
      <c r="W71" s="71">
        <f t="shared" si="161"/>
        <v>5.2429220552254741E-3</v>
      </c>
      <c r="X71" s="71">
        <f t="shared" si="161"/>
        <v>1.1319419879731063E-2</v>
      </c>
      <c r="Y71" s="71">
        <f t="shared" si="161"/>
        <v>-1.055594651653724E-3</v>
      </c>
      <c r="Z71" s="70">
        <f t="shared" ref="Z71:AI71" si="162">Z69/U69-1</f>
        <v>-1.6508605549701461E-2</v>
      </c>
      <c r="AA71" s="23">
        <f t="shared" si="162"/>
        <v>-1.6508605549701461E-2</v>
      </c>
      <c r="AB71" s="71">
        <f t="shared" si="162"/>
        <v>-4.6940194714881756E-2</v>
      </c>
      <c r="AC71" s="71">
        <f t="shared" si="162"/>
        <v>-5.4914305701294186E-2</v>
      </c>
      <c r="AD71" s="71">
        <f t="shared" si="162"/>
        <v>-5.4948925678055649E-2</v>
      </c>
      <c r="AE71" s="70">
        <f t="shared" si="162"/>
        <v>-5.6428571428571384E-2</v>
      </c>
      <c r="AF71" s="23">
        <f t="shared" si="162"/>
        <v>-5.6428571428571384E-2</v>
      </c>
      <c r="AG71" s="71">
        <f t="shared" si="162"/>
        <v>-4.013133892739873E-2</v>
      </c>
      <c r="AH71" s="71">
        <f t="shared" si="162"/>
        <v>-3.4048852701702437E-2</v>
      </c>
      <c r="AI71" s="71">
        <f t="shared" si="162"/>
        <v>-3.0935519940365253E-2</v>
      </c>
      <c r="AJ71" s="70">
        <f t="shared" ref="AJ71:AS71" si="163">AJ69/AE69-1</f>
        <v>-2.1196063588190817E-2</v>
      </c>
      <c r="AK71" s="23">
        <f t="shared" si="163"/>
        <v>-2.1196063588190817E-2</v>
      </c>
      <c r="AL71" s="71">
        <f t="shared" si="163"/>
        <v>-2.5085518814139118E-2</v>
      </c>
      <c r="AM71" s="71">
        <f t="shared" si="163"/>
        <v>-1.6858237547892729E-2</v>
      </c>
      <c r="AN71" s="71">
        <f t="shared" si="163"/>
        <v>-1.1923076923076925E-2</v>
      </c>
      <c r="AO71" s="70">
        <f t="shared" si="163"/>
        <v>2.5135344160866158E-2</v>
      </c>
      <c r="AP71" s="23">
        <f t="shared" si="163"/>
        <v>2.5135344160866158E-2</v>
      </c>
      <c r="AQ71" s="71">
        <f t="shared" si="163"/>
        <v>4.9512670565302175E-2</v>
      </c>
      <c r="AR71" s="71">
        <f t="shared" si="163"/>
        <v>-0.11925175370226038</v>
      </c>
      <c r="AS71" s="71">
        <f t="shared" si="163"/>
        <v>-8.6025690930323084E-2</v>
      </c>
      <c r="AT71" s="70">
        <f t="shared" ref="AT71" si="164">AT69/AO69-1</f>
        <v>-9.3926820067898875E-2</v>
      </c>
      <c r="AU71" s="23">
        <f t="shared" ref="AU71:AX71" si="165">AU69/AP69-1</f>
        <v>-9.3926820067898875E-2</v>
      </c>
      <c r="AV71" s="71">
        <f t="shared" si="165"/>
        <v>-9.7325408618127773E-2</v>
      </c>
      <c r="AW71" s="71">
        <f t="shared" si="165"/>
        <v>6.6371681415929196E-2</v>
      </c>
      <c r="AX71" s="71">
        <f t="shared" si="165"/>
        <v>5.4088586030664354E-2</v>
      </c>
      <c r="AY71" s="70">
        <f t="shared" ref="AY71" si="166">AY69/AT69-1</f>
        <v>5.1207327227310584E-2</v>
      </c>
      <c r="AZ71" s="23">
        <f t="shared" ref="AZ71:BC71" si="167">AZ69/AU69-1</f>
        <v>5.1207327227310584E-2</v>
      </c>
      <c r="BA71" s="71">
        <f t="shared" si="167"/>
        <v>4.7736625514403386E-2</v>
      </c>
      <c r="BB71" s="71">
        <f t="shared" si="167"/>
        <v>7.9253112033194961E-2</v>
      </c>
      <c r="BC71" s="71">
        <f t="shared" si="167"/>
        <v>-0.11717171717171715</v>
      </c>
      <c r="BD71" s="70">
        <f t="shared" ref="BD71" si="168">BD69/AY69-1</f>
        <v>-0.12673267326732673</v>
      </c>
      <c r="BE71" s="23">
        <f t="shared" ref="BE71:BH71" si="169">BE69/AZ69-1</f>
        <v>-0.12673267326732673</v>
      </c>
      <c r="BF71" s="71">
        <f t="shared" si="169"/>
        <v>-0.1264728986645719</v>
      </c>
      <c r="BG71" s="71">
        <f t="shared" si="169"/>
        <v>-0.12995001922337568</v>
      </c>
      <c r="BH71" s="71">
        <f t="shared" si="169"/>
        <v>5.720823798626995E-2</v>
      </c>
      <c r="BI71" s="70">
        <f t="shared" ref="BI71" si="170">BI69/BD69-1</f>
        <v>5.9410430839002215E-2</v>
      </c>
      <c r="BJ71" s="23">
        <f t="shared" ref="BJ71:BK71" si="171">BJ69/BE69-1</f>
        <v>5.9410430839002215E-2</v>
      </c>
      <c r="BK71" s="71">
        <f t="shared" si="171"/>
        <v>6.4298561151079126E-2</v>
      </c>
    </row>
    <row r="72" spans="1:202">
      <c r="A72" s="69" t="s">
        <v>195</v>
      </c>
      <c r="B72" s="23"/>
      <c r="C72" s="71"/>
      <c r="D72" s="71"/>
      <c r="E72" s="71"/>
      <c r="F72" s="71"/>
      <c r="G72" s="23"/>
      <c r="H72" s="71"/>
      <c r="I72" s="71"/>
      <c r="J72" s="71"/>
      <c r="K72" s="70"/>
      <c r="L72" s="23"/>
      <c r="M72" s="71"/>
      <c r="N72" s="71"/>
      <c r="O72" s="71"/>
      <c r="P72" s="70"/>
      <c r="Q72" s="196">
        <f>Q69-L69</f>
        <v>91</v>
      </c>
      <c r="R72" s="71"/>
      <c r="S72" s="71"/>
      <c r="T72" s="71"/>
      <c r="U72" s="70"/>
      <c r="V72" s="196">
        <f>V69-Q69</f>
        <v>-10</v>
      </c>
      <c r="W72" s="71"/>
      <c r="X72" s="71"/>
      <c r="Y72" s="71"/>
      <c r="Z72" s="70"/>
      <c r="AA72" s="196">
        <f>AA69-V69</f>
        <v>-47</v>
      </c>
      <c r="AB72" s="71"/>
      <c r="AC72" s="71"/>
      <c r="AD72" s="71"/>
      <c r="AE72" s="70"/>
      <c r="AF72" s="196">
        <f>AF69-AA69</f>
        <v>-158</v>
      </c>
      <c r="AG72" s="71"/>
      <c r="AH72" s="71"/>
      <c r="AI72" s="71"/>
      <c r="AJ72" s="70"/>
      <c r="AK72" s="196">
        <f>AK69-AF69</f>
        <v>-56</v>
      </c>
      <c r="AL72" s="71"/>
      <c r="AM72" s="193">
        <f>AM69-AL69</f>
        <v>1</v>
      </c>
      <c r="AN72" s="193">
        <f t="shared" ref="AN72:AO72" si="172">AN69-AM69</f>
        <v>3</v>
      </c>
      <c r="AO72" s="193">
        <f t="shared" si="172"/>
        <v>82</v>
      </c>
      <c r="AP72" s="196">
        <f>AP69-AK69</f>
        <v>65</v>
      </c>
      <c r="AQ72" s="195">
        <f>AQ69-AO69</f>
        <v>41</v>
      </c>
      <c r="AR72" s="195">
        <f>AR69-AQ69</f>
        <v>-432</v>
      </c>
      <c r="AS72" s="195">
        <f t="shared" ref="AS72:AT72" si="173">AS69-AR69</f>
        <v>88</v>
      </c>
      <c r="AT72" s="195">
        <f t="shared" si="173"/>
        <v>54</v>
      </c>
      <c r="AU72" s="196">
        <f>AU69-AP69</f>
        <v>-249</v>
      </c>
      <c r="AV72" s="195">
        <f>AV69-AT69</f>
        <v>28</v>
      </c>
      <c r="AW72" s="195">
        <f>AW69-AV69</f>
        <v>-20</v>
      </c>
      <c r="AX72" s="195">
        <f>AX69-AW69</f>
        <v>65</v>
      </c>
      <c r="AY72" s="195">
        <f t="shared" ref="AY72" si="174">AY69-AX69</f>
        <v>50</v>
      </c>
      <c r="AZ72" s="196">
        <f>AZ69-AU69</f>
        <v>123</v>
      </c>
      <c r="BA72" s="195">
        <f>BA69-AY69</f>
        <v>21</v>
      </c>
      <c r="BB72" s="195">
        <f>BB69-BA69</f>
        <v>55</v>
      </c>
      <c r="BC72" s="195">
        <f>BC69-BB69</f>
        <v>-416</v>
      </c>
      <c r="BD72" s="195">
        <f t="shared" ref="BD72" si="175">BD69-BC69</f>
        <v>20</v>
      </c>
      <c r="BE72" s="196">
        <f>BE69-AZ69</f>
        <v>-320</v>
      </c>
      <c r="BF72" s="195">
        <f>BF69-BD69</f>
        <v>19</v>
      </c>
      <c r="BG72" s="195">
        <f>BG69-BF69</f>
        <v>39</v>
      </c>
      <c r="BH72" s="195">
        <f>BH69-BG69</f>
        <v>47</v>
      </c>
      <c r="BI72" s="195">
        <f t="shared" ref="BI72" si="176">BI69-BH69</f>
        <v>26</v>
      </c>
      <c r="BJ72" s="196">
        <f>BJ69-BE69</f>
        <v>131</v>
      </c>
      <c r="BK72" s="195">
        <f>BK69-BI69</f>
        <v>31</v>
      </c>
    </row>
    <row r="73" spans="1:202" ht="4.1500000000000004" customHeight="1">
      <c r="A73" s="69"/>
      <c r="B73" s="23"/>
      <c r="C73" s="71"/>
      <c r="D73" s="71"/>
      <c r="E73" s="71"/>
      <c r="F73" s="71"/>
      <c r="G73" s="23"/>
      <c r="H73" s="71"/>
      <c r="I73" s="71"/>
      <c r="J73" s="71"/>
      <c r="K73" s="70"/>
      <c r="L73" s="23"/>
      <c r="M73" s="71"/>
      <c r="N73" s="71"/>
      <c r="O73" s="71"/>
      <c r="P73" s="70"/>
      <c r="Q73" s="23"/>
      <c r="R73" s="71"/>
      <c r="S73" s="71"/>
      <c r="T73" s="71"/>
      <c r="U73" s="70"/>
      <c r="V73" s="23"/>
      <c r="W73" s="71"/>
      <c r="X73" s="71"/>
      <c r="Y73" s="71"/>
      <c r="Z73" s="70"/>
      <c r="AA73" s="23"/>
      <c r="AB73" s="71"/>
      <c r="AC73" s="71"/>
      <c r="AD73" s="71"/>
      <c r="AE73" s="70"/>
      <c r="AF73" s="23"/>
      <c r="AG73" s="71"/>
      <c r="AH73" s="71"/>
      <c r="AI73" s="71"/>
      <c r="AJ73" s="70"/>
      <c r="AK73" s="23"/>
      <c r="AL73" s="71"/>
      <c r="AM73" s="193"/>
      <c r="AN73" s="193"/>
      <c r="AO73" s="193"/>
      <c r="AP73" s="194"/>
      <c r="AQ73" s="195"/>
      <c r="AR73" s="195"/>
      <c r="AS73" s="195"/>
      <c r="AT73" s="195"/>
      <c r="AU73" s="196"/>
      <c r="AV73" s="195"/>
      <c r="AW73" s="195"/>
      <c r="AX73" s="195"/>
      <c r="AY73" s="195"/>
      <c r="AZ73" s="196"/>
      <c r="BA73" s="195"/>
      <c r="BB73" s="195"/>
      <c r="BC73" s="195"/>
      <c r="BD73" s="195"/>
      <c r="BE73" s="196"/>
      <c r="BF73" s="195"/>
      <c r="BG73" s="195"/>
      <c r="BH73" s="195"/>
      <c r="BI73" s="195"/>
      <c r="BJ73" s="196"/>
      <c r="BK73" s="195"/>
    </row>
    <row r="74" spans="1:202">
      <c r="A74" s="67" t="s">
        <v>266</v>
      </c>
      <c r="B74" s="98" t="s">
        <v>40</v>
      </c>
      <c r="C74" s="78" t="s">
        <v>48</v>
      </c>
      <c r="D74" s="78" t="s">
        <v>48</v>
      </c>
      <c r="E74" s="78" t="s">
        <v>48</v>
      </c>
      <c r="F74" s="78" t="s">
        <v>48</v>
      </c>
      <c r="G74" s="98" t="s">
        <v>40</v>
      </c>
      <c r="H74" s="78" t="s">
        <v>48</v>
      </c>
      <c r="I74" s="78" t="s">
        <v>48</v>
      </c>
      <c r="J74" s="78" t="s">
        <v>48</v>
      </c>
      <c r="K74" s="78" t="s">
        <v>48</v>
      </c>
      <c r="L74" s="98" t="s">
        <v>40</v>
      </c>
      <c r="M74" s="78" t="s">
        <v>48</v>
      </c>
      <c r="N74" s="78" t="s">
        <v>48</v>
      </c>
      <c r="O74" s="78" t="s">
        <v>48</v>
      </c>
      <c r="P74" s="78" t="s">
        <v>48</v>
      </c>
      <c r="Q74" s="98" t="s">
        <v>40</v>
      </c>
      <c r="R74" s="78" t="s">
        <v>48</v>
      </c>
      <c r="S74" s="78" t="s">
        <v>48</v>
      </c>
      <c r="T74" s="78" t="s">
        <v>48</v>
      </c>
      <c r="U74" s="78" t="s">
        <v>48</v>
      </c>
      <c r="V74" s="98" t="s">
        <v>40</v>
      </c>
      <c r="W74" s="78" t="s">
        <v>48</v>
      </c>
      <c r="X74" s="78" t="s">
        <v>48</v>
      </c>
      <c r="Y74" s="78" t="s">
        <v>48</v>
      </c>
      <c r="Z74" s="78" t="s">
        <v>48</v>
      </c>
      <c r="AA74" s="98" t="s">
        <v>40</v>
      </c>
      <c r="AB74" s="78" t="s">
        <v>48</v>
      </c>
      <c r="AC74" s="78" t="s">
        <v>48</v>
      </c>
      <c r="AD74" s="78" t="s">
        <v>48</v>
      </c>
      <c r="AE74" s="78" t="s">
        <v>48</v>
      </c>
      <c r="AF74" s="98" t="s">
        <v>40</v>
      </c>
      <c r="AG74" s="78" t="s">
        <v>48</v>
      </c>
      <c r="AH74" s="78" t="s">
        <v>48</v>
      </c>
      <c r="AI74" s="78" t="s">
        <v>48</v>
      </c>
      <c r="AJ74" s="68">
        <v>1750</v>
      </c>
      <c r="AK74" s="89">
        <f>AK69-AK79</f>
        <v>1750</v>
      </c>
      <c r="AL74" s="78" t="s">
        <v>48</v>
      </c>
      <c r="AM74" s="78" t="s">
        <v>48</v>
      </c>
      <c r="AN74" s="78" t="s">
        <v>48</v>
      </c>
      <c r="AO74" s="68">
        <f>AO69-AO79</f>
        <v>1726</v>
      </c>
      <c r="AP74" s="89">
        <f>AP69-AP79</f>
        <v>1726</v>
      </c>
      <c r="AQ74" s="78" t="s">
        <v>48</v>
      </c>
      <c r="AR74" s="78" t="s">
        <v>48</v>
      </c>
      <c r="AS74" s="78" t="s">
        <v>48</v>
      </c>
      <c r="AT74" s="68">
        <v>1669</v>
      </c>
      <c r="AU74" s="89">
        <f>AU69-AU79</f>
        <v>1669</v>
      </c>
      <c r="AV74" s="68">
        <v>1659</v>
      </c>
      <c r="AW74" s="68">
        <v>1663</v>
      </c>
      <c r="AX74" s="68">
        <v>1697</v>
      </c>
      <c r="AY74" s="68">
        <v>1729</v>
      </c>
      <c r="AZ74" s="89">
        <v>1729</v>
      </c>
      <c r="BA74" s="68">
        <v>1760</v>
      </c>
      <c r="BB74" s="68">
        <v>1800</v>
      </c>
      <c r="BC74" s="68">
        <v>1817</v>
      </c>
      <c r="BD74" s="68">
        <f>BE74</f>
        <v>1831</v>
      </c>
      <c r="BE74" s="89">
        <v>1831</v>
      </c>
      <c r="BF74" s="68">
        <v>1842</v>
      </c>
      <c r="BG74" s="68">
        <v>1866</v>
      </c>
      <c r="BH74" s="68">
        <v>1895</v>
      </c>
      <c r="BI74" s="68">
        <f>BJ74</f>
        <v>1911</v>
      </c>
      <c r="BJ74" s="89">
        <v>1911</v>
      </c>
      <c r="BK74" s="68">
        <f>BJ74+28</f>
        <v>1939</v>
      </c>
    </row>
    <row r="75" spans="1:202">
      <c r="A75" s="69" t="s">
        <v>7</v>
      </c>
      <c r="B75" s="23"/>
      <c r="C75" s="71"/>
      <c r="D75" s="71"/>
      <c r="E75" s="71"/>
      <c r="F75" s="71"/>
      <c r="G75" s="23"/>
      <c r="H75" s="71"/>
      <c r="I75" s="71"/>
      <c r="J75" s="71"/>
      <c r="K75" s="70"/>
      <c r="L75" s="23"/>
      <c r="M75" s="71"/>
      <c r="N75" s="71"/>
      <c r="O75" s="71"/>
      <c r="P75" s="70"/>
      <c r="Q75" s="23"/>
      <c r="R75" s="71"/>
      <c r="S75" s="71"/>
      <c r="T75" s="71"/>
      <c r="U75" s="70"/>
      <c r="V75" s="23"/>
      <c r="W75" s="71"/>
      <c r="X75" s="71"/>
      <c r="Y75" s="71"/>
      <c r="Z75" s="70"/>
      <c r="AA75" s="23"/>
      <c r="AB75" s="71"/>
      <c r="AC75" s="71"/>
      <c r="AD75" s="71"/>
      <c r="AE75" s="70"/>
      <c r="AF75" s="23"/>
      <c r="AG75" s="71"/>
      <c r="AH75" s="71"/>
      <c r="AI75" s="71"/>
      <c r="AJ75" s="70"/>
      <c r="AK75" s="23"/>
      <c r="AL75" s="70"/>
      <c r="AM75" s="70"/>
      <c r="AN75" s="70"/>
      <c r="AO75" s="70"/>
      <c r="AP75" s="23"/>
      <c r="AQ75" s="71"/>
      <c r="AR75" s="71"/>
      <c r="AS75" s="71"/>
      <c r="AT75" s="70"/>
      <c r="AU75" s="23"/>
      <c r="AV75" s="70">
        <f>AV74/AT74-1</f>
        <v>-5.9916117435589999E-3</v>
      </c>
      <c r="AW75" s="70">
        <f>AW74/AV74-1</f>
        <v>2.4110910186858625E-3</v>
      </c>
      <c r="AX75" s="70">
        <f>AX74/AW74-1</f>
        <v>2.0444978953698234E-2</v>
      </c>
      <c r="AY75" s="70">
        <f>AY74/AX74-1</f>
        <v>1.8856806128461967E-2</v>
      </c>
      <c r="AZ75" s="23"/>
      <c r="BA75" s="70">
        <f>BA74/AY74-1</f>
        <v>1.7929438982070556E-2</v>
      </c>
      <c r="BB75" s="70">
        <f>BB74/BA74-1</f>
        <v>2.2727272727272707E-2</v>
      </c>
      <c r="BC75" s="70">
        <f>BC74/BB74-1</f>
        <v>9.4444444444443665E-3</v>
      </c>
      <c r="BD75" s="70">
        <f>BD74/BC74-1</f>
        <v>7.7050082553660193E-3</v>
      </c>
      <c r="BE75" s="23"/>
      <c r="BF75" s="70">
        <f>BF74/BD74-1</f>
        <v>6.007646095030017E-3</v>
      </c>
      <c r="BG75" s="70">
        <f>BG74/BF74-1</f>
        <v>1.3029315960912058E-2</v>
      </c>
      <c r="BH75" s="70">
        <f>BH74/BG74-1</f>
        <v>1.5541264737406246E-2</v>
      </c>
      <c r="BI75" s="70">
        <f>BI74/BH74-1</f>
        <v>8.4432717678100122E-3</v>
      </c>
      <c r="BJ75" s="23"/>
      <c r="BK75" s="70">
        <f>BK74/BI74-1</f>
        <v>1.46520146520146E-2</v>
      </c>
    </row>
    <row r="76" spans="1:202">
      <c r="A76" s="69" t="s">
        <v>8</v>
      </c>
      <c r="B76" s="23"/>
      <c r="C76" s="71"/>
      <c r="D76" s="71"/>
      <c r="E76" s="71"/>
      <c r="F76" s="71"/>
      <c r="G76" s="23"/>
      <c r="H76" s="71"/>
      <c r="I76" s="71"/>
      <c r="J76" s="71"/>
      <c r="K76" s="70"/>
      <c r="L76" s="23"/>
      <c r="M76" s="71"/>
      <c r="N76" s="71"/>
      <c r="O76" s="71"/>
      <c r="P76" s="70"/>
      <c r="Q76" s="23"/>
      <c r="R76" s="71"/>
      <c r="S76" s="71"/>
      <c r="T76" s="71"/>
      <c r="U76" s="70"/>
      <c r="V76" s="23"/>
      <c r="W76" s="71"/>
      <c r="X76" s="71"/>
      <c r="Y76" s="71"/>
      <c r="Z76" s="70"/>
      <c r="AA76" s="23"/>
      <c r="AB76" s="71"/>
      <c r="AC76" s="71"/>
      <c r="AD76" s="71"/>
      <c r="AE76" s="70"/>
      <c r="AF76" s="23"/>
      <c r="AG76" s="71"/>
      <c r="AH76" s="71"/>
      <c r="AI76" s="71"/>
      <c r="AJ76" s="70"/>
      <c r="AK76" s="23"/>
      <c r="AL76" s="71"/>
      <c r="AM76" s="71"/>
      <c r="AN76" s="71"/>
      <c r="AO76" s="70">
        <f t="shared" ref="AO76:AP76" si="177">AO74/AJ74-1</f>
        <v>-1.3714285714285679E-2</v>
      </c>
      <c r="AP76" s="23">
        <f t="shared" si="177"/>
        <v>-1.3714285714285679E-2</v>
      </c>
      <c r="AQ76" s="71"/>
      <c r="AR76" s="71"/>
      <c r="AS76" s="71"/>
      <c r="AT76" s="70">
        <f t="shared" ref="AT76" si="178">AT74/AO74-1</f>
        <v>-3.3024333719582799E-2</v>
      </c>
      <c r="AU76" s="23">
        <f t="shared" ref="AU76" si="179">AU74/AP74-1</f>
        <v>-3.3024333719582799E-2</v>
      </c>
      <c r="AV76" s="71"/>
      <c r="AW76" s="71"/>
      <c r="AX76" s="71"/>
      <c r="AY76" s="70">
        <f t="shared" ref="AY76" si="180">AY74/AT74-1</f>
        <v>3.5949670461354E-2</v>
      </c>
      <c r="AZ76" s="23"/>
      <c r="BA76" s="71">
        <f t="shared" ref="BA76" si="181">BA74/AV74-1</f>
        <v>6.088004822182036E-2</v>
      </c>
      <c r="BB76" s="71">
        <f t="shared" ref="BB76" si="182">BB74/AW74-1</f>
        <v>8.2381238725195427E-2</v>
      </c>
      <c r="BC76" s="71">
        <f t="shared" ref="BC76" si="183">BC74/AX74-1</f>
        <v>7.0713022981732543E-2</v>
      </c>
      <c r="BD76" s="70">
        <f t="shared" ref="BD76" si="184">BD74/AY74-1</f>
        <v>5.8993637941006316E-2</v>
      </c>
      <c r="BE76" s="23"/>
      <c r="BF76" s="71">
        <f t="shared" ref="BF76:BH76" si="185">BF74/BA74-1</f>
        <v>4.6590909090909127E-2</v>
      </c>
      <c r="BG76" s="71">
        <f t="shared" si="185"/>
        <v>3.6666666666666625E-2</v>
      </c>
      <c r="BH76" s="71">
        <f t="shared" si="185"/>
        <v>4.2927903137039092E-2</v>
      </c>
      <c r="BI76" s="70">
        <f t="shared" ref="BI76" si="186">BI74/BD74-1</f>
        <v>4.3691971600218427E-2</v>
      </c>
      <c r="BJ76" s="23"/>
      <c r="BK76" s="71">
        <f t="shared" ref="BK76" si="187">BK74/BF74-1</f>
        <v>5.2660152008686234E-2</v>
      </c>
    </row>
    <row r="77" spans="1:202">
      <c r="A77" s="69" t="s">
        <v>195</v>
      </c>
      <c r="B77" s="23"/>
      <c r="C77" s="71"/>
      <c r="D77" s="71"/>
      <c r="E77" s="71"/>
      <c r="F77" s="71"/>
      <c r="G77" s="23"/>
      <c r="H77" s="71"/>
      <c r="I77" s="71"/>
      <c r="J77" s="71"/>
      <c r="K77" s="70"/>
      <c r="L77" s="23"/>
      <c r="M77" s="71"/>
      <c r="N77" s="71"/>
      <c r="O77" s="71"/>
      <c r="P77" s="70"/>
      <c r="Q77" s="23"/>
      <c r="R77" s="71"/>
      <c r="S77" s="71"/>
      <c r="T77" s="71"/>
      <c r="U77" s="70"/>
      <c r="V77" s="23"/>
      <c r="W77" s="71"/>
      <c r="X77" s="71"/>
      <c r="Y77" s="71"/>
      <c r="Z77" s="70"/>
      <c r="AA77" s="23"/>
      <c r="AB77" s="71"/>
      <c r="AC77" s="71"/>
      <c r="AD77" s="71"/>
      <c r="AE77" s="70"/>
      <c r="AF77" s="23"/>
      <c r="AG77" s="71"/>
      <c r="AH77" s="71"/>
      <c r="AI77" s="71"/>
      <c r="AJ77" s="70"/>
      <c r="AK77" s="196"/>
      <c r="AL77" s="71"/>
      <c r="AM77" s="193"/>
      <c r="AN77" s="193"/>
      <c r="AO77" s="193"/>
      <c r="AP77" s="196">
        <f>AP74-AK74</f>
        <v>-24</v>
      </c>
      <c r="AQ77" s="195"/>
      <c r="AR77" s="195"/>
      <c r="AS77" s="195"/>
      <c r="AT77" s="195"/>
      <c r="AU77" s="196">
        <f>AU74-AP74</f>
        <v>-57</v>
      </c>
      <c r="AV77" s="195">
        <f>AV74-AT74</f>
        <v>-10</v>
      </c>
      <c r="AW77" s="195">
        <f>AW74-AV74</f>
        <v>4</v>
      </c>
      <c r="AX77" s="195">
        <f>AX74-AW74</f>
        <v>34</v>
      </c>
      <c r="AY77" s="195">
        <f t="shared" ref="AY77" si="188">AY74-AX74</f>
        <v>32</v>
      </c>
      <c r="AZ77" s="196">
        <f>AZ74-AU74</f>
        <v>60</v>
      </c>
      <c r="BA77" s="195">
        <f>BA74-AY74</f>
        <v>31</v>
      </c>
      <c r="BB77" s="195">
        <f>BB74-BA74</f>
        <v>40</v>
      </c>
      <c r="BC77" s="195">
        <f>BC74-BB74</f>
        <v>17</v>
      </c>
      <c r="BD77" s="195">
        <f t="shared" ref="BD77" si="189">BD74-BC74</f>
        <v>14</v>
      </c>
      <c r="BE77" s="196">
        <f>BE74-AZ74</f>
        <v>102</v>
      </c>
      <c r="BF77" s="195">
        <f>BF74-BD74</f>
        <v>11</v>
      </c>
      <c r="BG77" s="195">
        <f>BG74-BF74</f>
        <v>24</v>
      </c>
      <c r="BH77" s="195">
        <f>BH74-BG74</f>
        <v>29</v>
      </c>
      <c r="BI77" s="195">
        <f t="shared" ref="BI77" si="190">BI74-BH74</f>
        <v>16</v>
      </c>
      <c r="BJ77" s="196">
        <f>BJ74-BE74</f>
        <v>80</v>
      </c>
      <c r="BK77" s="195">
        <f>BK74-BI74</f>
        <v>28</v>
      </c>
    </row>
    <row r="78" spans="1:202" ht="8.4499999999999993" customHeight="1">
      <c r="A78" s="69"/>
      <c r="B78" s="23"/>
      <c r="C78" s="71"/>
      <c r="D78" s="71"/>
      <c r="E78" s="71"/>
      <c r="F78" s="71"/>
      <c r="G78" s="23"/>
      <c r="H78" s="71"/>
      <c r="I78" s="71"/>
      <c r="J78" s="71"/>
      <c r="K78" s="70"/>
      <c r="L78" s="23"/>
      <c r="M78" s="71"/>
      <c r="N78" s="71"/>
      <c r="O78" s="71"/>
      <c r="P78" s="70"/>
      <c r="Q78" s="23"/>
      <c r="R78" s="71"/>
      <c r="S78" s="71"/>
      <c r="T78" s="71"/>
      <c r="U78" s="70"/>
      <c r="V78" s="23"/>
      <c r="W78" s="71"/>
      <c r="X78" s="71"/>
      <c r="Y78" s="71"/>
      <c r="Z78" s="70"/>
      <c r="AA78" s="23"/>
      <c r="AB78" s="71"/>
      <c r="AC78" s="71"/>
      <c r="AD78" s="71"/>
      <c r="AE78" s="70"/>
      <c r="AF78" s="23"/>
      <c r="AG78" s="71"/>
      <c r="AH78" s="71"/>
      <c r="AI78" s="71"/>
      <c r="AJ78" s="70"/>
      <c r="AK78" s="23"/>
      <c r="AL78" s="71"/>
      <c r="AM78" s="193"/>
      <c r="AN78" s="193"/>
      <c r="AO78" s="193"/>
      <c r="AP78" s="23"/>
      <c r="AQ78" s="195"/>
      <c r="AR78" s="195"/>
      <c r="AS78" s="195"/>
      <c r="AT78" s="195"/>
      <c r="AU78" s="196"/>
      <c r="AV78" s="195"/>
      <c r="AW78" s="195"/>
      <c r="AX78" s="195"/>
      <c r="AY78" s="195"/>
      <c r="AZ78" s="23"/>
      <c r="BA78" s="195"/>
      <c r="BB78" s="195"/>
      <c r="BC78" s="195"/>
      <c r="BD78" s="195"/>
      <c r="BE78" s="23"/>
      <c r="BF78" s="195"/>
      <c r="BG78" s="195"/>
      <c r="BH78" s="195"/>
      <c r="BI78" s="195"/>
      <c r="BJ78" s="23"/>
      <c r="BK78" s="195"/>
    </row>
    <row r="79" spans="1:202">
      <c r="A79" s="67" t="s">
        <v>267</v>
      </c>
      <c r="B79" s="98" t="s">
        <v>40</v>
      </c>
      <c r="C79" s="78" t="s">
        <v>48</v>
      </c>
      <c r="D79" s="78" t="s">
        <v>48</v>
      </c>
      <c r="E79" s="78" t="s">
        <v>48</v>
      </c>
      <c r="F79" s="78" t="s">
        <v>48</v>
      </c>
      <c r="G79" s="98" t="s">
        <v>40</v>
      </c>
      <c r="H79" s="78" t="s">
        <v>48</v>
      </c>
      <c r="I79" s="78" t="s">
        <v>48</v>
      </c>
      <c r="J79" s="78" t="s">
        <v>48</v>
      </c>
      <c r="K79" s="78" t="s">
        <v>48</v>
      </c>
      <c r="L79" s="98" t="s">
        <v>40</v>
      </c>
      <c r="M79" s="78" t="s">
        <v>48</v>
      </c>
      <c r="N79" s="78" t="s">
        <v>48</v>
      </c>
      <c r="O79" s="78" t="s">
        <v>48</v>
      </c>
      <c r="P79" s="78" t="s">
        <v>48</v>
      </c>
      <c r="Q79" s="98" t="s">
        <v>40</v>
      </c>
      <c r="R79" s="78" t="s">
        <v>48</v>
      </c>
      <c r="S79" s="78" t="s">
        <v>48</v>
      </c>
      <c r="T79" s="78" t="s">
        <v>48</v>
      </c>
      <c r="U79" s="78" t="s">
        <v>48</v>
      </c>
      <c r="V79" s="98" t="s">
        <v>40</v>
      </c>
      <c r="W79" s="78" t="s">
        <v>48</v>
      </c>
      <c r="X79" s="78" t="s">
        <v>48</v>
      </c>
      <c r="Y79" s="78" t="s">
        <v>48</v>
      </c>
      <c r="Z79" s="78" t="s">
        <v>48</v>
      </c>
      <c r="AA79" s="98" t="s">
        <v>40</v>
      </c>
      <c r="AB79" s="78" t="s">
        <v>48</v>
      </c>
      <c r="AC79" s="78" t="s">
        <v>48</v>
      </c>
      <c r="AD79" s="78" t="s">
        <v>48</v>
      </c>
      <c r="AE79" s="78" t="s">
        <v>48</v>
      </c>
      <c r="AF79" s="98" t="s">
        <v>40</v>
      </c>
      <c r="AG79" s="78" t="s">
        <v>48</v>
      </c>
      <c r="AH79" s="78" t="s">
        <v>48</v>
      </c>
      <c r="AI79" s="78" t="s">
        <v>48</v>
      </c>
      <c r="AJ79" s="68">
        <v>836</v>
      </c>
      <c r="AK79" s="89">
        <v>836</v>
      </c>
      <c r="AL79" s="78" t="s">
        <v>48</v>
      </c>
      <c r="AM79" s="78" t="s">
        <v>48</v>
      </c>
      <c r="AN79" s="78" t="s">
        <v>48</v>
      </c>
      <c r="AO79" s="68">
        <v>925</v>
      </c>
      <c r="AP79" s="89">
        <v>925</v>
      </c>
      <c r="AQ79" s="78" t="s">
        <v>48</v>
      </c>
      <c r="AR79" s="78" t="s">
        <v>48</v>
      </c>
      <c r="AS79" s="78" t="s">
        <v>48</v>
      </c>
      <c r="AT79" s="68">
        <v>733</v>
      </c>
      <c r="AU79" s="89">
        <v>733</v>
      </c>
      <c r="AV79" s="68">
        <v>771</v>
      </c>
      <c r="AW79" s="68">
        <v>747</v>
      </c>
      <c r="AX79" s="68">
        <v>778</v>
      </c>
      <c r="AY79" s="68">
        <v>796</v>
      </c>
      <c r="AZ79" s="89">
        <v>796</v>
      </c>
      <c r="BA79" s="68">
        <v>786</v>
      </c>
      <c r="BB79" s="68">
        <v>801</v>
      </c>
      <c r="BC79" s="68">
        <v>368</v>
      </c>
      <c r="BD79" s="68">
        <f>BE79</f>
        <v>374</v>
      </c>
      <c r="BE79" s="89">
        <v>374</v>
      </c>
      <c r="BF79" s="68">
        <v>382</v>
      </c>
      <c r="BG79" s="68">
        <v>397</v>
      </c>
      <c r="BH79" s="68">
        <v>415</v>
      </c>
      <c r="BI79" s="68">
        <f>BJ79</f>
        <v>425</v>
      </c>
      <c r="BJ79" s="89">
        <v>425</v>
      </c>
      <c r="BK79" s="68">
        <f>BJ79+3</f>
        <v>428</v>
      </c>
    </row>
    <row r="80" spans="1:202">
      <c r="A80" s="69" t="s">
        <v>7</v>
      </c>
      <c r="B80" s="23"/>
      <c r="C80" s="71"/>
      <c r="D80" s="71"/>
      <c r="E80" s="71"/>
      <c r="F80" s="71"/>
      <c r="G80" s="23"/>
      <c r="H80" s="71"/>
      <c r="I80" s="71"/>
      <c r="J80" s="71"/>
      <c r="K80" s="70"/>
      <c r="L80" s="23"/>
      <c r="M80" s="71"/>
      <c r="N80" s="71"/>
      <c r="O80" s="71"/>
      <c r="P80" s="70"/>
      <c r="Q80" s="23"/>
      <c r="R80" s="71"/>
      <c r="S80" s="71"/>
      <c r="T80" s="71"/>
      <c r="U80" s="70"/>
      <c r="V80" s="23"/>
      <c r="W80" s="71"/>
      <c r="X80" s="71"/>
      <c r="Y80" s="71"/>
      <c r="Z80" s="70"/>
      <c r="AA80" s="23"/>
      <c r="AB80" s="71"/>
      <c r="AC80" s="71"/>
      <c r="AD80" s="71"/>
      <c r="AE80" s="70"/>
      <c r="AF80" s="23"/>
      <c r="AG80" s="71"/>
      <c r="AH80" s="71"/>
      <c r="AI80" s="71"/>
      <c r="AJ80" s="70"/>
      <c r="AK80" s="23"/>
      <c r="AL80" s="71"/>
      <c r="AM80" s="71"/>
      <c r="AN80" s="71"/>
      <c r="AO80" s="70"/>
      <c r="AP80" s="23"/>
      <c r="AQ80" s="70"/>
      <c r="AR80" s="70"/>
      <c r="AS80" s="70"/>
      <c r="AT80" s="70"/>
      <c r="AU80" s="23"/>
      <c r="AV80" s="70">
        <f>AV79/AT79-1</f>
        <v>5.184174624829474E-2</v>
      </c>
      <c r="AW80" s="70">
        <f>AW79/AV79-1</f>
        <v>-3.1128404669260701E-2</v>
      </c>
      <c r="AX80" s="70">
        <f>AX79/AW79-1</f>
        <v>4.1499330655957234E-2</v>
      </c>
      <c r="AY80" s="70">
        <f>AY79/AX79-1</f>
        <v>2.3136246786632286E-2</v>
      </c>
      <c r="AZ80" s="23"/>
      <c r="BA80" s="70">
        <f>BA79/AY79-1</f>
        <v>-1.2562814070351758E-2</v>
      </c>
      <c r="BB80" s="70">
        <f>BB79/BA79-1</f>
        <v>1.9083969465648831E-2</v>
      </c>
      <c r="BC80" s="71">
        <f>BC79/BB79-1</f>
        <v>-0.54057428214731584</v>
      </c>
      <c r="BD80" s="70">
        <f>BD79/BC79-1</f>
        <v>1.6304347826086918E-2</v>
      </c>
      <c r="BE80" s="23"/>
      <c r="BF80" s="70">
        <f>BF79/BD79-1</f>
        <v>2.1390374331550888E-2</v>
      </c>
      <c r="BG80" s="70">
        <f>BG79/BF79-1</f>
        <v>3.9267015706806241E-2</v>
      </c>
      <c r="BH80" s="70">
        <f>BH79/BG79-1</f>
        <v>4.534005037783384E-2</v>
      </c>
      <c r="BI80" s="70">
        <f>BI79/BH79-1</f>
        <v>2.4096385542168752E-2</v>
      </c>
      <c r="BJ80" s="23"/>
      <c r="BK80" s="70">
        <f>BK79/BI79-1</f>
        <v>7.058823529411784E-3</v>
      </c>
    </row>
    <row r="81" spans="1:202">
      <c r="A81" s="69" t="s">
        <v>8</v>
      </c>
      <c r="B81" s="23"/>
      <c r="C81" s="71"/>
      <c r="D81" s="71"/>
      <c r="E81" s="71"/>
      <c r="F81" s="71"/>
      <c r="G81" s="23"/>
      <c r="H81" s="71"/>
      <c r="I81" s="71"/>
      <c r="J81" s="71"/>
      <c r="K81" s="70"/>
      <c r="L81" s="23"/>
      <c r="M81" s="71"/>
      <c r="N81" s="71"/>
      <c r="O81" s="71"/>
      <c r="P81" s="70"/>
      <c r="Q81" s="27"/>
      <c r="R81" s="71"/>
      <c r="S81" s="71"/>
      <c r="T81" s="71"/>
      <c r="U81" s="70"/>
      <c r="V81" s="23"/>
      <c r="W81" s="71"/>
      <c r="X81" s="71"/>
      <c r="Y81" s="71"/>
      <c r="Z81" s="70"/>
      <c r="AA81" s="23"/>
      <c r="AB81" s="71"/>
      <c r="AC81" s="71"/>
      <c r="AD81" s="71"/>
      <c r="AE81" s="70"/>
      <c r="AF81" s="23"/>
      <c r="AG81" s="71"/>
      <c r="AH81" s="71"/>
      <c r="AI81" s="71"/>
      <c r="AJ81" s="70"/>
      <c r="AK81" s="23"/>
      <c r="AL81" s="71"/>
      <c r="AM81" s="71"/>
      <c r="AN81" s="71"/>
      <c r="AO81" s="70"/>
      <c r="AP81" s="23">
        <f>AP79/AK79-1</f>
        <v>0.10645933014354059</v>
      </c>
      <c r="AQ81" s="71"/>
      <c r="AR81" s="71"/>
      <c r="AS81" s="71"/>
      <c r="AT81" s="70">
        <f t="shared" ref="AT81" si="191">AT79/AO79-1</f>
        <v>-0.20756756756756756</v>
      </c>
      <c r="AU81" s="23">
        <f>AU79/AP79-1</f>
        <v>-0.20756756756756756</v>
      </c>
      <c r="AV81" s="71"/>
      <c r="AW81" s="71"/>
      <c r="AX81" s="71"/>
      <c r="AY81" s="70">
        <f t="shared" ref="AY81" si="192">AY79/AT79-1</f>
        <v>8.5948158253751794E-2</v>
      </c>
      <c r="AZ81" s="23">
        <f>AZ79/AU79-1</f>
        <v>8.5948158253751794E-2</v>
      </c>
      <c r="BA81" s="71">
        <f t="shared" ref="BA81" si="193">BA79/AV79-1</f>
        <v>1.9455252918287869E-2</v>
      </c>
      <c r="BB81" s="71">
        <f t="shared" ref="BB81" si="194">BB79/AW79-1</f>
        <v>7.2289156626506035E-2</v>
      </c>
      <c r="BC81" s="71">
        <f>BC79/AX79-1</f>
        <v>-0.52699228791773778</v>
      </c>
      <c r="BD81" s="70">
        <f t="shared" ref="BD81" si="195">BD79/AY79-1</f>
        <v>-0.53015075376884424</v>
      </c>
      <c r="BE81" s="23">
        <f>BE79/AZ79-1</f>
        <v>-0.53015075376884424</v>
      </c>
      <c r="BF81" s="71">
        <f t="shared" ref="BF81:BH81" si="196">BF79/BA79-1</f>
        <v>-0.51399491094147587</v>
      </c>
      <c r="BG81" s="71">
        <f t="shared" si="196"/>
        <v>-0.50436953807740326</v>
      </c>
      <c r="BH81" s="71">
        <f t="shared" si="196"/>
        <v>0.12771739130434789</v>
      </c>
      <c r="BI81" s="70">
        <f t="shared" ref="BI81" si="197">BI79/BD79-1</f>
        <v>0.13636363636363646</v>
      </c>
      <c r="BJ81" s="23">
        <f>BJ79/BE79-1</f>
        <v>0.13636363636363646</v>
      </c>
      <c r="BK81" s="71">
        <f t="shared" ref="BK81" si="198">BK79/BF79-1</f>
        <v>0.12041884816753923</v>
      </c>
    </row>
    <row r="82" spans="1:202">
      <c r="A82" s="69" t="s">
        <v>195</v>
      </c>
      <c r="B82" s="23"/>
      <c r="C82" s="71"/>
      <c r="D82" s="71"/>
      <c r="E82" s="71"/>
      <c r="F82" s="71"/>
      <c r="G82" s="23"/>
      <c r="H82" s="71"/>
      <c r="I82" s="71"/>
      <c r="J82" s="71"/>
      <c r="K82" s="70"/>
      <c r="L82" s="23"/>
      <c r="M82" s="71"/>
      <c r="N82" s="71"/>
      <c r="O82" s="71"/>
      <c r="P82" s="70"/>
      <c r="Q82" s="23"/>
      <c r="R82" s="71"/>
      <c r="S82" s="71"/>
      <c r="T82" s="71"/>
      <c r="U82" s="70"/>
      <c r="V82" s="23"/>
      <c r="W82" s="71"/>
      <c r="X82" s="71"/>
      <c r="Y82" s="71"/>
      <c r="Z82" s="70"/>
      <c r="AA82" s="23"/>
      <c r="AB82" s="71"/>
      <c r="AC82" s="71"/>
      <c r="AD82" s="71"/>
      <c r="AE82" s="70"/>
      <c r="AF82" s="23"/>
      <c r="AG82" s="71"/>
      <c r="AH82" s="71"/>
      <c r="AI82" s="71"/>
      <c r="AJ82" s="70"/>
      <c r="AK82" s="23"/>
      <c r="AL82" s="71"/>
      <c r="AM82" s="71"/>
      <c r="AN82" s="71"/>
      <c r="AO82" s="195"/>
      <c r="AP82" s="196">
        <f>AP79-AK79</f>
        <v>89</v>
      </c>
      <c r="AQ82" s="195"/>
      <c r="AR82" s="195"/>
      <c r="AS82" s="195"/>
      <c r="AT82" s="195"/>
      <c r="AU82" s="196">
        <f>AU79-AP79</f>
        <v>-192</v>
      </c>
      <c r="AV82" s="195">
        <f>AV79-AT79</f>
        <v>38</v>
      </c>
      <c r="AW82" s="195">
        <f>AW79-AV79</f>
        <v>-24</v>
      </c>
      <c r="AX82" s="195">
        <f>AX79-AW79</f>
        <v>31</v>
      </c>
      <c r="AY82" s="195">
        <f t="shared" ref="AY82" si="199">AY79-AX79</f>
        <v>18</v>
      </c>
      <c r="AZ82" s="196">
        <f>AZ79-AU79</f>
        <v>63</v>
      </c>
      <c r="BA82" s="195">
        <f>BA79-AY79</f>
        <v>-10</v>
      </c>
      <c r="BB82" s="195">
        <f>BB79-BA79</f>
        <v>15</v>
      </c>
      <c r="BC82" s="195">
        <f>BC79-BB79</f>
        <v>-433</v>
      </c>
      <c r="BD82" s="195">
        <f t="shared" ref="BD82" si="200">BD79-BC79</f>
        <v>6</v>
      </c>
      <c r="BE82" s="196">
        <f>BE79-AZ79</f>
        <v>-422</v>
      </c>
      <c r="BF82" s="195">
        <f>BF79-BD79</f>
        <v>8</v>
      </c>
      <c r="BG82" s="195">
        <f>BG79-BF79</f>
        <v>15</v>
      </c>
      <c r="BH82" s="195">
        <f>BH79-BG79</f>
        <v>18</v>
      </c>
      <c r="BI82" s="195">
        <f t="shared" ref="BI82" si="201">BI79-BH79</f>
        <v>10</v>
      </c>
      <c r="BJ82" s="196">
        <f>BJ79-BE79</f>
        <v>51</v>
      </c>
      <c r="BK82" s="195">
        <f>BK79-BI79</f>
        <v>3</v>
      </c>
    </row>
    <row r="83" spans="1:202" ht="6.6" customHeight="1">
      <c r="A83" s="69"/>
      <c r="B83" s="23"/>
      <c r="C83" s="71"/>
      <c r="D83" s="71"/>
      <c r="E83" s="71"/>
      <c r="F83" s="71"/>
      <c r="G83" s="23"/>
      <c r="H83" s="71"/>
      <c r="I83" s="71"/>
      <c r="J83" s="71"/>
      <c r="K83" s="70"/>
      <c r="L83" s="23"/>
      <c r="M83" s="71"/>
      <c r="N83" s="71"/>
      <c r="O83" s="71"/>
      <c r="P83" s="70"/>
      <c r="Q83" s="23"/>
      <c r="R83" s="71"/>
      <c r="S83" s="71"/>
      <c r="T83" s="71"/>
      <c r="U83" s="70"/>
      <c r="V83" s="23"/>
      <c r="W83" s="71"/>
      <c r="X83" s="71"/>
      <c r="Y83" s="71"/>
      <c r="Z83" s="70"/>
      <c r="AA83" s="23"/>
      <c r="AB83" s="71"/>
      <c r="AC83" s="71"/>
      <c r="AD83" s="71"/>
      <c r="AE83" s="70"/>
      <c r="AF83" s="23"/>
      <c r="AG83" s="71"/>
      <c r="AH83" s="71"/>
      <c r="AI83" s="71"/>
      <c r="AJ83" s="70"/>
      <c r="AK83" s="23"/>
      <c r="AL83" s="71"/>
      <c r="AM83" s="71"/>
      <c r="AN83" s="71"/>
      <c r="AO83" s="195"/>
      <c r="AP83" s="196"/>
      <c r="AQ83" s="195"/>
      <c r="AR83" s="195"/>
      <c r="AS83" s="195"/>
      <c r="AT83" s="195"/>
      <c r="AU83" s="196"/>
      <c r="AV83" s="195"/>
      <c r="AW83" s="195"/>
      <c r="AX83" s="195"/>
      <c r="AY83" s="195"/>
      <c r="AZ83" s="196"/>
      <c r="BA83" s="195"/>
      <c r="BB83" s="195"/>
      <c r="BC83" s="195"/>
      <c r="BD83" s="195"/>
      <c r="BE83" s="196"/>
      <c r="BF83" s="195"/>
      <c r="BG83" s="195"/>
      <c r="BH83" s="195"/>
      <c r="BI83" s="195"/>
      <c r="BJ83" s="196"/>
      <c r="BK83" s="195"/>
    </row>
    <row r="84" spans="1:202">
      <c r="A84" s="67" t="s">
        <v>70</v>
      </c>
      <c r="B84" s="98" t="s">
        <v>48</v>
      </c>
      <c r="C84" s="78" t="s">
        <v>48</v>
      </c>
      <c r="D84" s="78" t="s">
        <v>48</v>
      </c>
      <c r="E84" s="78" t="s">
        <v>48</v>
      </c>
      <c r="F84" s="78" t="s">
        <v>48</v>
      </c>
      <c r="G84" s="98" t="s">
        <v>48</v>
      </c>
      <c r="H84" s="78" t="s">
        <v>48</v>
      </c>
      <c r="I84" s="78" t="s">
        <v>48</v>
      </c>
      <c r="J84" s="78" t="s">
        <v>48</v>
      </c>
      <c r="K84" s="78" t="s">
        <v>48</v>
      </c>
      <c r="L84" s="98" t="s">
        <v>48</v>
      </c>
      <c r="M84" s="67">
        <v>110</v>
      </c>
      <c r="N84" s="67">
        <v>111</v>
      </c>
      <c r="O84" s="67">
        <v>113</v>
      </c>
      <c r="P84" s="68">
        <v>109</v>
      </c>
      <c r="Q84" s="27">
        <v>111</v>
      </c>
      <c r="R84" s="67">
        <v>110</v>
      </c>
      <c r="S84" s="67">
        <v>109</v>
      </c>
      <c r="T84" s="67">
        <v>107</v>
      </c>
      <c r="U84" s="68">
        <v>100</v>
      </c>
      <c r="V84" s="27">
        <v>107</v>
      </c>
      <c r="W84" s="67">
        <v>97</v>
      </c>
      <c r="X84" s="67">
        <v>99</v>
      </c>
      <c r="Y84" s="67">
        <v>95</v>
      </c>
      <c r="Z84" s="68">
        <v>89</v>
      </c>
      <c r="AA84" s="27">
        <v>95</v>
      </c>
      <c r="AB84" s="67">
        <v>86</v>
      </c>
      <c r="AC84" s="67">
        <v>85</v>
      </c>
      <c r="AD84" s="67">
        <v>88</v>
      </c>
      <c r="AE84" s="68">
        <v>86</v>
      </c>
      <c r="AF84" s="27">
        <v>86</v>
      </c>
      <c r="AG84" s="67">
        <v>80</v>
      </c>
      <c r="AH84" s="67">
        <v>79</v>
      </c>
      <c r="AI84" s="67">
        <v>78</v>
      </c>
      <c r="AJ84" s="68">
        <v>75</v>
      </c>
      <c r="AK84" s="27">
        <v>78</v>
      </c>
      <c r="AL84" s="67">
        <v>65</v>
      </c>
      <c r="AM84" s="67">
        <v>65</v>
      </c>
      <c r="AN84" s="67">
        <v>68</v>
      </c>
      <c r="AO84" s="68">
        <v>60</v>
      </c>
      <c r="AP84" s="27">
        <v>64</v>
      </c>
      <c r="AQ84" s="67">
        <v>57</v>
      </c>
      <c r="AR84" s="67">
        <v>68</v>
      </c>
      <c r="AS84" s="67">
        <v>68</v>
      </c>
      <c r="AT84" s="68">
        <v>62</v>
      </c>
      <c r="AU84" s="27">
        <v>63</v>
      </c>
      <c r="AV84" s="67">
        <v>60</v>
      </c>
      <c r="AW84" s="67">
        <v>61</v>
      </c>
      <c r="AX84" s="67">
        <v>63</v>
      </c>
      <c r="AY84" s="68">
        <v>58</v>
      </c>
      <c r="AZ84" s="27">
        <v>61</v>
      </c>
      <c r="BA84" s="67">
        <v>57</v>
      </c>
      <c r="BB84" s="67">
        <v>57</v>
      </c>
      <c r="BC84" s="67">
        <v>68</v>
      </c>
      <c r="BD84" s="68">
        <v>66</v>
      </c>
      <c r="BE84" s="27">
        <v>62</v>
      </c>
      <c r="BF84" s="67">
        <v>63</v>
      </c>
      <c r="BG84" s="67">
        <v>64</v>
      </c>
      <c r="BH84" s="67">
        <v>65</v>
      </c>
      <c r="BI84" s="68">
        <v>60</v>
      </c>
      <c r="BJ84" s="27">
        <v>63</v>
      </c>
      <c r="BK84" s="67">
        <v>58</v>
      </c>
    </row>
    <row r="85" spans="1:202">
      <c r="A85" s="69" t="s">
        <v>7</v>
      </c>
      <c r="B85" s="23"/>
      <c r="C85" s="70"/>
      <c r="D85" s="70"/>
      <c r="E85" s="70"/>
      <c r="F85" s="70"/>
      <c r="G85" s="23"/>
      <c r="H85" s="70"/>
      <c r="I85" s="70"/>
      <c r="J85" s="70"/>
      <c r="K85" s="70"/>
      <c r="L85" s="26"/>
      <c r="M85" s="70"/>
      <c r="N85" s="70">
        <f>N84/M84-1</f>
        <v>9.0909090909090384E-3</v>
      </c>
      <c r="O85" s="70">
        <f>O84/N84-1</f>
        <v>1.8018018018018056E-2</v>
      </c>
      <c r="P85" s="70">
        <f>P84/O84-1</f>
        <v>-3.539823008849563E-2</v>
      </c>
      <c r="Q85" s="26"/>
      <c r="R85" s="70">
        <f>R84/P84-1</f>
        <v>9.1743119266054496E-3</v>
      </c>
      <c r="S85" s="70">
        <f>S84/R84-1</f>
        <v>-9.0909090909090384E-3</v>
      </c>
      <c r="T85" s="70">
        <f>T84/S84-1</f>
        <v>-1.834862385321101E-2</v>
      </c>
      <c r="U85" s="70">
        <f>U84/T84-1</f>
        <v>-6.5420560747663559E-2</v>
      </c>
      <c r="V85" s="26"/>
      <c r="W85" s="70">
        <f>W84/U84-1</f>
        <v>-3.0000000000000027E-2</v>
      </c>
      <c r="X85" s="70">
        <f>X84/W84-1</f>
        <v>2.0618556701030855E-2</v>
      </c>
      <c r="Y85" s="70">
        <f>Y84/X84-1</f>
        <v>-4.0404040404040442E-2</v>
      </c>
      <c r="Z85" s="70">
        <f>Z84/Y84-1</f>
        <v>-6.315789473684208E-2</v>
      </c>
      <c r="AA85" s="26"/>
      <c r="AB85" s="70">
        <f>AB84/Z84-1</f>
        <v>-3.3707865168539297E-2</v>
      </c>
      <c r="AC85" s="70">
        <f>AC84/AB84-1</f>
        <v>-1.1627906976744207E-2</v>
      </c>
      <c r="AD85" s="70">
        <f>AD84/AC84-1</f>
        <v>3.529411764705892E-2</v>
      </c>
      <c r="AE85" s="70">
        <f>AE84/AD84-1</f>
        <v>-2.2727272727272707E-2</v>
      </c>
      <c r="AF85" s="26"/>
      <c r="AG85" s="70">
        <f>AG84/AE84-1</f>
        <v>-6.9767441860465129E-2</v>
      </c>
      <c r="AH85" s="70">
        <f>AH84/AG84-1</f>
        <v>-1.2499999999999956E-2</v>
      </c>
      <c r="AI85" s="70">
        <f>AI84/AH84-1</f>
        <v>-1.2658227848101222E-2</v>
      </c>
      <c r="AJ85" s="70">
        <f>AJ84/AI84-1</f>
        <v>-3.8461538461538436E-2</v>
      </c>
      <c r="AK85" s="26"/>
      <c r="AL85" s="70">
        <f>AL84/AJ84-1</f>
        <v>-0.1333333333333333</v>
      </c>
      <c r="AM85" s="70">
        <f>AM84/AL84-1</f>
        <v>0</v>
      </c>
      <c r="AN85" s="70">
        <f>AN84/AM84-1</f>
        <v>4.6153846153846212E-2</v>
      </c>
      <c r="AO85" s="70">
        <f>AO84/AN84-1</f>
        <v>-0.11764705882352944</v>
      </c>
      <c r="AP85" s="26"/>
      <c r="AQ85" s="70">
        <f>AQ84/AO84-1</f>
        <v>-5.0000000000000044E-2</v>
      </c>
      <c r="AR85" s="70">
        <f>AR84/AQ84-1</f>
        <v>0.19298245614035081</v>
      </c>
      <c r="AS85" s="70">
        <f>AS84/AR84-1</f>
        <v>0</v>
      </c>
      <c r="AT85" s="70">
        <f>AT84/AS84-1</f>
        <v>-8.8235294117647078E-2</v>
      </c>
      <c r="AU85" s="26"/>
      <c r="AV85" s="70">
        <f>AV84/AT84-1</f>
        <v>-3.2258064516129004E-2</v>
      </c>
      <c r="AW85" s="70">
        <f>AW84/AV84-1</f>
        <v>1.6666666666666607E-2</v>
      </c>
      <c r="AX85" s="70">
        <f>AX84/AW84-1</f>
        <v>3.2786885245901676E-2</v>
      </c>
      <c r="AY85" s="70">
        <f>AY84/AX84-1</f>
        <v>-7.9365079365079416E-2</v>
      </c>
      <c r="AZ85" s="26"/>
      <c r="BA85" s="70">
        <f>BA84/AY84-1</f>
        <v>-1.7241379310344862E-2</v>
      </c>
      <c r="BB85" s="70">
        <f>BB84/BA84-1</f>
        <v>0</v>
      </c>
      <c r="BC85" s="70">
        <f>BC84/BB84-1</f>
        <v>0.19298245614035081</v>
      </c>
      <c r="BD85" s="70">
        <f>BD84/BC84-1</f>
        <v>-2.9411764705882359E-2</v>
      </c>
      <c r="BE85" s="26"/>
      <c r="BF85" s="70">
        <f>BF84/BD84-1</f>
        <v>-4.5454545454545414E-2</v>
      </c>
      <c r="BG85" s="70">
        <f>BG84/BF84-1</f>
        <v>1.5873015873015817E-2</v>
      </c>
      <c r="BH85" s="70">
        <f>BH84/BG84-1</f>
        <v>1.5625E-2</v>
      </c>
      <c r="BI85" s="70">
        <f>BI84/BH84-1</f>
        <v>-7.6923076923076872E-2</v>
      </c>
      <c r="BJ85" s="26"/>
      <c r="BK85" s="70">
        <f>BK84/BI84-1</f>
        <v>-3.3333333333333326E-2</v>
      </c>
    </row>
    <row r="86" spans="1:202">
      <c r="A86" s="69" t="s">
        <v>8</v>
      </c>
      <c r="B86" s="23"/>
      <c r="C86" s="71"/>
      <c r="D86" s="71"/>
      <c r="E86" s="71"/>
      <c r="F86" s="71"/>
      <c r="G86" s="23"/>
      <c r="H86" s="71"/>
      <c r="I86" s="71"/>
      <c r="J86" s="71"/>
      <c r="K86" s="70"/>
      <c r="L86" s="23"/>
      <c r="M86" s="71"/>
      <c r="N86" s="71"/>
      <c r="O86" s="71"/>
      <c r="P86" s="70"/>
      <c r="Q86" s="23"/>
      <c r="R86" s="71">
        <f t="shared" ref="R86:Y86" si="202">R84/M84-1</f>
        <v>0</v>
      </c>
      <c r="S86" s="71">
        <f t="shared" si="202"/>
        <v>-1.8018018018018056E-2</v>
      </c>
      <c r="T86" s="71">
        <f t="shared" si="202"/>
        <v>-5.3097345132743334E-2</v>
      </c>
      <c r="U86" s="70">
        <f t="shared" si="202"/>
        <v>-8.256880733944949E-2</v>
      </c>
      <c r="V86" s="23">
        <f t="shared" si="202"/>
        <v>-3.6036036036036001E-2</v>
      </c>
      <c r="W86" s="71">
        <f t="shared" si="202"/>
        <v>-0.11818181818181817</v>
      </c>
      <c r="X86" s="71">
        <f t="shared" si="202"/>
        <v>-9.1743119266055051E-2</v>
      </c>
      <c r="Y86" s="71">
        <f t="shared" si="202"/>
        <v>-0.11214953271028039</v>
      </c>
      <c r="Z86" s="70">
        <f t="shared" ref="Z86:AI86" si="203">Z84/U84-1</f>
        <v>-0.10999999999999999</v>
      </c>
      <c r="AA86" s="23">
        <f t="shared" si="203"/>
        <v>-0.11214953271028039</v>
      </c>
      <c r="AB86" s="71">
        <f t="shared" si="203"/>
        <v>-0.11340206185567014</v>
      </c>
      <c r="AC86" s="71">
        <f t="shared" si="203"/>
        <v>-0.14141414141414144</v>
      </c>
      <c r="AD86" s="71">
        <f t="shared" si="203"/>
        <v>-7.3684210526315796E-2</v>
      </c>
      <c r="AE86" s="70">
        <f t="shared" si="203"/>
        <v>-3.3707865168539297E-2</v>
      </c>
      <c r="AF86" s="23">
        <f t="shared" si="203"/>
        <v>-9.4736842105263119E-2</v>
      </c>
      <c r="AG86" s="71">
        <f t="shared" si="203"/>
        <v>-6.9767441860465129E-2</v>
      </c>
      <c r="AH86" s="71">
        <f t="shared" si="203"/>
        <v>-7.0588235294117618E-2</v>
      </c>
      <c r="AI86" s="71">
        <f t="shared" si="203"/>
        <v>-0.11363636363636365</v>
      </c>
      <c r="AJ86" s="70">
        <f t="shared" ref="AJ86:AS86" si="204">AJ84/AE84-1</f>
        <v>-0.12790697674418605</v>
      </c>
      <c r="AK86" s="23">
        <f t="shared" si="204"/>
        <v>-9.3023255813953543E-2</v>
      </c>
      <c r="AL86" s="71">
        <f t="shared" si="204"/>
        <v>-0.1875</v>
      </c>
      <c r="AM86" s="71">
        <f t="shared" si="204"/>
        <v>-0.17721518987341767</v>
      </c>
      <c r="AN86" s="71">
        <f t="shared" si="204"/>
        <v>-0.12820512820512819</v>
      </c>
      <c r="AO86" s="70">
        <f t="shared" si="204"/>
        <v>-0.19999999999999996</v>
      </c>
      <c r="AP86" s="23">
        <f t="shared" si="204"/>
        <v>-0.17948717948717952</v>
      </c>
      <c r="AQ86" s="71">
        <f t="shared" si="204"/>
        <v>-0.12307692307692308</v>
      </c>
      <c r="AR86" s="71">
        <f t="shared" si="204"/>
        <v>4.6153846153846212E-2</v>
      </c>
      <c r="AS86" s="71">
        <f t="shared" si="204"/>
        <v>0</v>
      </c>
      <c r="AT86" s="70">
        <f t="shared" ref="AT86" si="205">AT84/AO84-1</f>
        <v>3.3333333333333437E-2</v>
      </c>
      <c r="AU86" s="23">
        <f t="shared" ref="AU86:AX86" si="206">AU84/AP84-1</f>
        <v>-1.5625E-2</v>
      </c>
      <c r="AV86" s="71">
        <f t="shared" si="206"/>
        <v>5.2631578947368363E-2</v>
      </c>
      <c r="AW86" s="71">
        <f t="shared" si="206"/>
        <v>-0.1029411764705882</v>
      </c>
      <c r="AX86" s="71">
        <f t="shared" si="206"/>
        <v>-7.3529411764705843E-2</v>
      </c>
      <c r="AY86" s="70">
        <f t="shared" ref="AY86" si="207">AY84/AT84-1</f>
        <v>-6.4516129032258118E-2</v>
      </c>
      <c r="AZ86" s="23">
        <f t="shared" ref="AZ86:BC86" si="208">AZ84/AU84-1</f>
        <v>-3.1746031746031744E-2</v>
      </c>
      <c r="BA86" s="71">
        <f t="shared" si="208"/>
        <v>-5.0000000000000044E-2</v>
      </c>
      <c r="BB86" s="71">
        <f t="shared" si="208"/>
        <v>-6.557377049180324E-2</v>
      </c>
      <c r="BC86" s="71">
        <f t="shared" si="208"/>
        <v>7.9365079365079305E-2</v>
      </c>
      <c r="BD86" s="70">
        <f t="shared" ref="BD86" si="209">BD84/AY84-1</f>
        <v>0.13793103448275867</v>
      </c>
      <c r="BE86" s="23">
        <f t="shared" ref="BE86:BH86" si="210">BE84/AZ84-1</f>
        <v>1.6393442622950838E-2</v>
      </c>
      <c r="BF86" s="71">
        <f t="shared" si="210"/>
        <v>0.10526315789473695</v>
      </c>
      <c r="BG86" s="71">
        <f t="shared" si="210"/>
        <v>0.12280701754385959</v>
      </c>
      <c r="BH86" s="71">
        <f t="shared" si="210"/>
        <v>-4.4117647058823484E-2</v>
      </c>
      <c r="BI86" s="70">
        <f t="shared" ref="BI86" si="211">BI84/BD84-1</f>
        <v>-9.0909090909090939E-2</v>
      </c>
      <c r="BJ86" s="23">
        <f t="shared" ref="BJ86:BK86" si="212">BJ84/BE84-1</f>
        <v>1.6129032258064502E-2</v>
      </c>
      <c r="BK86" s="71">
        <f t="shared" si="212"/>
        <v>-7.9365079365079416E-2</v>
      </c>
    </row>
    <row r="87" spans="1:202" ht="14.25">
      <c r="A87" s="159"/>
      <c r="B87" s="23"/>
      <c r="C87" s="71"/>
      <c r="D87" s="71"/>
      <c r="E87" s="71"/>
      <c r="F87" s="71"/>
      <c r="G87" s="23"/>
      <c r="H87" s="71"/>
      <c r="I87" s="71"/>
      <c r="J87" s="71"/>
      <c r="K87" s="70"/>
      <c r="L87" s="23"/>
      <c r="M87" s="71"/>
      <c r="N87" s="71"/>
      <c r="O87" s="71"/>
      <c r="P87" s="70"/>
      <c r="Q87" s="23"/>
      <c r="R87" s="71"/>
      <c r="S87" s="71"/>
      <c r="T87" s="71"/>
      <c r="U87" s="70"/>
      <c r="V87" s="23"/>
      <c r="W87" s="71"/>
      <c r="X87" s="71"/>
      <c r="Y87" s="71"/>
      <c r="Z87" s="70"/>
      <c r="AA87" s="23"/>
      <c r="AB87" s="71"/>
      <c r="AC87" s="71"/>
      <c r="AD87" s="71"/>
      <c r="AE87" s="70"/>
      <c r="AF87" s="23"/>
      <c r="AG87" s="71"/>
      <c r="AH87" s="71"/>
      <c r="AI87" s="71"/>
      <c r="AJ87" s="70"/>
      <c r="AK87" s="23"/>
      <c r="AL87" s="71"/>
      <c r="AM87" s="71"/>
      <c r="AN87" s="71"/>
      <c r="AO87" s="70"/>
      <c r="AP87" s="23"/>
      <c r="AQ87" s="71"/>
      <c r="AR87" s="71"/>
      <c r="AS87" s="71"/>
      <c r="AT87" s="70"/>
      <c r="AU87" s="23"/>
      <c r="AV87" s="71"/>
      <c r="AW87" s="71"/>
      <c r="AX87" s="71"/>
      <c r="AY87" s="70"/>
      <c r="AZ87" s="23"/>
      <c r="BA87" s="71"/>
      <c r="BB87" s="71"/>
      <c r="BC87" s="71"/>
      <c r="BD87" s="70"/>
      <c r="BE87" s="23"/>
      <c r="BF87" s="71"/>
      <c r="BG87" s="71"/>
      <c r="BH87" s="71"/>
      <c r="BI87" s="70"/>
      <c r="BJ87" s="23"/>
      <c r="BK87" s="71"/>
    </row>
    <row r="88" spans="1:202">
      <c r="A88" s="67" t="s">
        <v>151</v>
      </c>
      <c r="B88" s="95" t="s">
        <v>48</v>
      </c>
      <c r="C88" s="78" t="s">
        <v>48</v>
      </c>
      <c r="D88" s="78" t="s">
        <v>48</v>
      </c>
      <c r="E88" s="78" t="s">
        <v>48</v>
      </c>
      <c r="F88" s="78" t="s">
        <v>48</v>
      </c>
      <c r="G88" s="95" t="s">
        <v>48</v>
      </c>
      <c r="H88" s="88">
        <v>3.3000000000000002E-2</v>
      </c>
      <c r="I88" s="88">
        <v>3.3000000000000002E-2</v>
      </c>
      <c r="J88" s="88">
        <v>3.7999999999999999E-2</v>
      </c>
      <c r="K88" s="88">
        <v>3.4000000000000002E-2</v>
      </c>
      <c r="L88" s="54">
        <v>0.13800000000000001</v>
      </c>
      <c r="M88" s="88">
        <v>3.9E-2</v>
      </c>
      <c r="N88" s="88">
        <v>3.9E-2</v>
      </c>
      <c r="O88" s="88">
        <v>3.5000000000000003E-2</v>
      </c>
      <c r="P88" s="88">
        <v>3.9E-2</v>
      </c>
      <c r="Q88" s="54">
        <v>0.153</v>
      </c>
      <c r="R88" s="88">
        <v>0.05</v>
      </c>
      <c r="S88" s="88">
        <v>6.6000000000000003E-2</v>
      </c>
      <c r="T88" s="88">
        <v>6.0999999999999999E-2</v>
      </c>
      <c r="U88" s="88">
        <v>5.2999999999999999E-2</v>
      </c>
      <c r="V88" s="54">
        <v>0.22900000000000001</v>
      </c>
      <c r="W88" s="88">
        <v>3.9E-2</v>
      </c>
      <c r="X88" s="88">
        <v>0.06</v>
      </c>
      <c r="Y88" s="88">
        <v>6.7000000000000004E-2</v>
      </c>
      <c r="Z88" s="88">
        <v>5.8999999999999997E-2</v>
      </c>
      <c r="AA88" s="54">
        <v>0.224</v>
      </c>
      <c r="AB88" s="88">
        <v>7.1999999999999995E-2</v>
      </c>
      <c r="AC88" s="88">
        <v>6.9000000000000006E-2</v>
      </c>
      <c r="AD88" s="88">
        <v>6.2E-2</v>
      </c>
      <c r="AE88" s="88">
        <v>8.3000000000000004E-2</v>
      </c>
      <c r="AF88" s="54">
        <v>0.28599999999999998</v>
      </c>
      <c r="AG88" s="88">
        <v>7.5999999999999998E-2</v>
      </c>
      <c r="AH88" s="88">
        <v>6.5000000000000002E-2</v>
      </c>
      <c r="AI88" s="88">
        <v>7.2999999999999995E-2</v>
      </c>
      <c r="AJ88" s="88">
        <v>6.6000000000000003E-2</v>
      </c>
      <c r="AK88" s="54">
        <v>0.28000000000000003</v>
      </c>
      <c r="AL88" s="88">
        <v>6.5000000000000002E-2</v>
      </c>
      <c r="AM88" s="88">
        <v>6.0999999999999999E-2</v>
      </c>
      <c r="AN88" s="88">
        <v>6.4000000000000001E-2</v>
      </c>
      <c r="AO88" s="162">
        <v>6.7000000000000004E-2</v>
      </c>
      <c r="AP88" s="54">
        <v>0.25800000000000001</v>
      </c>
      <c r="AQ88" s="88">
        <v>5.1999999999999998E-2</v>
      </c>
      <c r="AR88" s="88">
        <v>6.2E-2</v>
      </c>
      <c r="AS88" s="88">
        <v>6.0999999999999999E-2</v>
      </c>
      <c r="AT88" s="88">
        <v>6.3E-2</v>
      </c>
      <c r="AU88" s="54">
        <v>0.23699999999999999</v>
      </c>
      <c r="AV88" s="88">
        <v>7.9000000000000001E-2</v>
      </c>
      <c r="AW88" s="88">
        <v>6.3E-2</v>
      </c>
      <c r="AX88" s="88">
        <v>7.0999999999999994E-2</v>
      </c>
      <c r="AY88" s="88">
        <v>6.9000000000000006E-2</v>
      </c>
      <c r="AZ88" s="54">
        <v>0.28199999999999997</v>
      </c>
      <c r="BA88" s="88">
        <v>0.08</v>
      </c>
      <c r="BB88" s="88">
        <v>7.2999999999999995E-2</v>
      </c>
      <c r="BC88" s="88">
        <v>9.0999999999999998E-2</v>
      </c>
      <c r="BD88" s="88">
        <v>0.09</v>
      </c>
      <c r="BE88" s="54">
        <v>0.33300000000000002</v>
      </c>
      <c r="BF88" s="88">
        <v>8.5999999999999993E-2</v>
      </c>
      <c r="BG88" s="88">
        <v>7.4999999999999997E-2</v>
      </c>
      <c r="BH88" s="88">
        <v>7.2999999999999995E-2</v>
      </c>
      <c r="BI88" s="88">
        <f>BJ88-BH88-BG88-BF88</f>
        <v>7.2999999999999982E-2</v>
      </c>
      <c r="BJ88" s="54">
        <v>0.307</v>
      </c>
      <c r="BK88" s="88">
        <v>7.0999999999999994E-2</v>
      </c>
    </row>
    <row r="89" spans="1:202">
      <c r="A89" s="67"/>
      <c r="B89" s="95"/>
      <c r="C89" s="78"/>
      <c r="D89" s="78"/>
      <c r="E89" s="78"/>
      <c r="F89" s="78"/>
      <c r="G89" s="95"/>
      <c r="H89" s="88"/>
      <c r="I89" s="88"/>
      <c r="J89" s="88"/>
      <c r="K89" s="88"/>
      <c r="L89" s="54"/>
      <c r="M89" s="88"/>
      <c r="N89" s="88"/>
      <c r="O89" s="88"/>
      <c r="P89" s="88"/>
      <c r="Q89" s="54"/>
      <c r="R89" s="88"/>
      <c r="S89" s="88"/>
      <c r="T89" s="88"/>
      <c r="U89" s="88"/>
      <c r="V89" s="54"/>
      <c r="W89" s="88"/>
      <c r="X89" s="88"/>
      <c r="Y89" s="88"/>
      <c r="Z89" s="88"/>
      <c r="AA89" s="54"/>
      <c r="AB89" s="88"/>
      <c r="AC89" s="88"/>
      <c r="AD89" s="88"/>
      <c r="AE89" s="88"/>
      <c r="AF89" s="54"/>
      <c r="AG89" s="88"/>
      <c r="AH89" s="88"/>
      <c r="AI89" s="88"/>
      <c r="AJ89" s="88"/>
      <c r="AK89" s="54"/>
      <c r="AL89" s="88"/>
      <c r="AM89" s="88"/>
      <c r="AN89" s="88"/>
      <c r="AO89" s="88"/>
      <c r="AP89" s="54"/>
      <c r="AQ89" s="88"/>
      <c r="AR89" s="88"/>
      <c r="AS89" s="88"/>
      <c r="AT89" s="88"/>
      <c r="AU89" s="54"/>
      <c r="AV89" s="88"/>
      <c r="AW89" s="88"/>
      <c r="AX89" s="88"/>
      <c r="AY89" s="88"/>
      <c r="AZ89" s="54"/>
      <c r="BA89" s="88"/>
      <c r="BB89" s="88"/>
      <c r="BC89" s="88"/>
      <c r="BD89" s="88"/>
      <c r="BE89" s="54"/>
      <c r="BF89" s="88"/>
      <c r="BG89" s="88"/>
      <c r="BH89" s="88"/>
      <c r="BI89" s="88"/>
      <c r="BJ89" s="54"/>
      <c r="BK89" s="88"/>
    </row>
    <row r="90" spans="1:202">
      <c r="A90" s="35" t="s">
        <v>17</v>
      </c>
      <c r="B90" s="138"/>
      <c r="C90" s="78"/>
      <c r="D90" s="78"/>
      <c r="E90" s="78"/>
      <c r="F90" s="78"/>
      <c r="G90" s="95" t="s">
        <v>48</v>
      </c>
      <c r="H90" s="88"/>
      <c r="I90" s="88"/>
      <c r="J90" s="88"/>
      <c r="K90" s="88"/>
      <c r="L90" s="95" t="s">
        <v>48</v>
      </c>
      <c r="M90" s="88"/>
      <c r="N90" s="88"/>
      <c r="O90" s="88"/>
      <c r="P90" s="88"/>
      <c r="Q90" s="95" t="s">
        <v>48</v>
      </c>
      <c r="R90" s="116" t="s">
        <v>40</v>
      </c>
      <c r="S90" s="116" t="s">
        <v>40</v>
      </c>
      <c r="T90" s="116" t="s">
        <v>40</v>
      </c>
      <c r="U90" s="116" t="s">
        <v>40</v>
      </c>
      <c r="V90" s="95" t="s">
        <v>48</v>
      </c>
      <c r="W90" s="116" t="s">
        <v>40</v>
      </c>
      <c r="X90" s="116" t="s">
        <v>40</v>
      </c>
      <c r="Y90" s="116" t="s">
        <v>40</v>
      </c>
      <c r="Z90" s="116" t="s">
        <v>40</v>
      </c>
      <c r="AA90" s="89">
        <v>4072</v>
      </c>
      <c r="AB90" s="116" t="s">
        <v>40</v>
      </c>
      <c r="AC90" s="116" t="s">
        <v>40</v>
      </c>
      <c r="AD90" s="116" t="s">
        <v>40</v>
      </c>
      <c r="AE90" s="116" t="s">
        <v>40</v>
      </c>
      <c r="AF90" s="89">
        <v>3288</v>
      </c>
      <c r="AG90" s="116" t="s">
        <v>40</v>
      </c>
      <c r="AH90" s="116" t="s">
        <v>40</v>
      </c>
      <c r="AI90" s="116" t="s">
        <v>40</v>
      </c>
      <c r="AJ90" s="68">
        <v>3001</v>
      </c>
      <c r="AK90" s="89">
        <v>3001</v>
      </c>
      <c r="AL90" s="116" t="s">
        <v>40</v>
      </c>
      <c r="AM90" s="116" t="s">
        <v>40</v>
      </c>
      <c r="AN90" s="116" t="s">
        <v>40</v>
      </c>
      <c r="AO90" s="68">
        <v>2679</v>
      </c>
      <c r="AP90" s="89">
        <v>2679</v>
      </c>
      <c r="AQ90" s="116" t="s">
        <v>40</v>
      </c>
      <c r="AR90" s="116" t="s">
        <v>40</v>
      </c>
      <c r="AS90" s="116" t="s">
        <v>40</v>
      </c>
      <c r="AT90" s="68">
        <v>2594</v>
      </c>
      <c r="AU90" s="89">
        <v>2594</v>
      </c>
      <c r="AV90" s="116" t="s">
        <v>40</v>
      </c>
      <c r="AW90" s="116" t="s">
        <v>40</v>
      </c>
      <c r="AX90" s="116" t="s">
        <v>40</v>
      </c>
      <c r="AY90" s="68">
        <v>2551</v>
      </c>
      <c r="AZ90" s="89">
        <v>2551</v>
      </c>
      <c r="BA90" s="116" t="s">
        <v>40</v>
      </c>
      <c r="BB90" s="116" t="s">
        <v>40</v>
      </c>
      <c r="BC90" s="116" t="s">
        <v>40</v>
      </c>
      <c r="BD90" s="68">
        <f>BE90</f>
        <v>2453</v>
      </c>
      <c r="BE90" s="89">
        <v>2453</v>
      </c>
      <c r="BF90" s="116" t="s">
        <v>40</v>
      </c>
      <c r="BG90" s="116" t="s">
        <v>40</v>
      </c>
      <c r="BH90" s="116" t="s">
        <v>40</v>
      </c>
      <c r="BI90" s="68">
        <f>BJ90</f>
        <v>2202</v>
      </c>
      <c r="BJ90" s="89">
        <v>2202</v>
      </c>
      <c r="BK90" s="116" t="s">
        <v>40</v>
      </c>
    </row>
    <row r="91" spans="1:202">
      <c r="A91" s="69" t="s">
        <v>8</v>
      </c>
      <c r="B91" s="95"/>
      <c r="C91" s="95"/>
      <c r="D91" s="95"/>
      <c r="E91" s="95"/>
      <c r="F91" s="95"/>
      <c r="G91" s="95"/>
      <c r="H91" s="95"/>
      <c r="I91" s="95"/>
      <c r="J91" s="95"/>
      <c r="K91" s="95"/>
      <c r="L91" s="95"/>
      <c r="M91" s="95"/>
      <c r="N91" s="95"/>
      <c r="O91" s="95"/>
      <c r="P91" s="95"/>
      <c r="Q91" s="95"/>
      <c r="R91" s="95"/>
      <c r="S91" s="95"/>
      <c r="T91" s="95"/>
      <c r="U91" s="95"/>
      <c r="V91" s="95"/>
      <c r="W91" s="71"/>
      <c r="X91" s="71"/>
      <c r="Y91" s="71"/>
      <c r="Z91" s="70"/>
      <c r="AA91" s="23"/>
      <c r="AB91" s="71"/>
      <c r="AC91" s="71"/>
      <c r="AD91" s="71"/>
      <c r="AE91" s="70"/>
      <c r="AF91" s="23">
        <f>AF90/AA90-1</f>
        <v>-0.19253438113948917</v>
      </c>
      <c r="AG91" s="71"/>
      <c r="AH91" s="71"/>
      <c r="AI91" s="71"/>
      <c r="AJ91" s="70"/>
      <c r="AK91" s="23">
        <f>AK90/AF90-1</f>
        <v>-8.7287104622871037E-2</v>
      </c>
      <c r="AL91" s="71"/>
      <c r="AM91" s="71"/>
      <c r="AN91" s="71"/>
      <c r="AO91" s="70"/>
      <c r="AP91" s="23">
        <f>AP90/AK90-1</f>
        <v>-0.10729756747750752</v>
      </c>
      <c r="AQ91" s="71"/>
      <c r="AR91" s="71"/>
      <c r="AS91" s="71"/>
      <c r="AT91" s="70"/>
      <c r="AU91" s="23">
        <f>AU90/AP90-1</f>
        <v>-3.1728256812243338E-2</v>
      </c>
      <c r="AV91" s="71"/>
      <c r="AW91" s="71"/>
      <c r="AX91" s="71"/>
      <c r="AY91" s="70"/>
      <c r="AZ91" s="23">
        <f>AZ90/AU90-1</f>
        <v>-1.6576715497301442E-2</v>
      </c>
      <c r="BA91" s="71"/>
      <c r="BB91" s="71"/>
      <c r="BC91" s="71"/>
      <c r="BD91" s="70"/>
      <c r="BE91" s="23">
        <f>BE90/AZ90-1</f>
        <v>-3.8416307330458643E-2</v>
      </c>
      <c r="BF91" s="71"/>
      <c r="BG91" s="71"/>
      <c r="BH91" s="71"/>
      <c r="BI91" s="70"/>
      <c r="BJ91" s="23">
        <f>BJ90/BE90-1</f>
        <v>-0.10232368528332658</v>
      </c>
      <c r="BK91" s="71"/>
    </row>
    <row r="92" spans="1:202" s="2" customFormat="1" ht="6.75" hidden="1" customHeight="1">
      <c r="A92" s="91"/>
      <c r="B92" s="95"/>
      <c r="C92" s="95"/>
      <c r="D92" s="95"/>
      <c r="E92" s="95"/>
      <c r="F92" s="95"/>
      <c r="G92" s="95"/>
      <c r="H92" s="95"/>
      <c r="I92" s="95"/>
      <c r="J92" s="95"/>
      <c r="K92" s="95"/>
      <c r="L92" s="95"/>
      <c r="M92" s="95"/>
      <c r="N92" s="95"/>
      <c r="O92" s="95"/>
      <c r="P92" s="95"/>
      <c r="Q92" s="95"/>
      <c r="R92" s="95"/>
      <c r="S92" s="95"/>
      <c r="T92" s="95"/>
      <c r="U92" s="95"/>
      <c r="V92" s="9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c r="FQ92" s="35"/>
      <c r="FR92" s="35"/>
      <c r="FS92" s="35"/>
      <c r="FT92" s="35"/>
      <c r="FU92" s="35"/>
      <c r="FV92" s="35"/>
      <c r="FW92" s="35"/>
      <c r="FX92" s="35"/>
      <c r="FY92" s="35"/>
      <c r="FZ92" s="35"/>
      <c r="GA92" s="35"/>
      <c r="GB92" s="35"/>
      <c r="GC92" s="35"/>
      <c r="GD92" s="35"/>
      <c r="GE92" s="35"/>
      <c r="GF92" s="35"/>
      <c r="GG92" s="35"/>
      <c r="GH92" s="35"/>
      <c r="GI92" s="35"/>
      <c r="GJ92" s="35"/>
      <c r="GK92" s="35"/>
      <c r="GL92" s="35"/>
      <c r="GM92" s="35"/>
      <c r="GN92" s="35"/>
      <c r="GO92" s="35"/>
      <c r="GP92" s="35"/>
      <c r="GQ92" s="35"/>
      <c r="GR92" s="35"/>
      <c r="GS92" s="35"/>
      <c r="GT92" s="35"/>
    </row>
    <row r="93" spans="1:202" s="2" customFormat="1" ht="12.75" customHeight="1">
      <c r="A93" s="88"/>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71"/>
      <c r="AH93" s="71"/>
      <c r="AI93" s="71"/>
      <c r="AJ93" s="71"/>
      <c r="AK93" s="54"/>
      <c r="AL93" s="88"/>
      <c r="AM93" s="88"/>
      <c r="AN93" s="88"/>
      <c r="AO93" s="71"/>
      <c r="AP93" s="54"/>
      <c r="AQ93" s="88"/>
      <c r="AR93" s="88"/>
      <c r="AS93" s="88"/>
      <c r="AT93" s="71"/>
      <c r="AU93" s="54"/>
      <c r="AV93" s="88"/>
      <c r="AW93" s="88"/>
      <c r="AX93" s="88"/>
      <c r="AY93" s="71"/>
      <c r="AZ93" s="54"/>
      <c r="BA93" s="88"/>
      <c r="BB93" s="88"/>
      <c r="BC93" s="88"/>
      <c r="BD93" s="71"/>
      <c r="BE93" s="54"/>
      <c r="BF93" s="88"/>
      <c r="BG93" s="88"/>
      <c r="BH93" s="88"/>
      <c r="BI93" s="71"/>
      <c r="BJ93" s="54"/>
      <c r="BK93" s="88"/>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c r="FW93" s="35"/>
      <c r="FX93" s="35"/>
      <c r="FY93" s="35"/>
      <c r="FZ93" s="35"/>
      <c r="GA93" s="35"/>
      <c r="GB93" s="35"/>
      <c r="GC93" s="35"/>
      <c r="GD93" s="35"/>
      <c r="GE93" s="35"/>
      <c r="GF93" s="35"/>
      <c r="GG93" s="35"/>
      <c r="GH93" s="35"/>
      <c r="GI93" s="35"/>
      <c r="GJ93" s="35"/>
      <c r="GK93" s="35"/>
      <c r="GL93" s="35"/>
      <c r="GM93" s="35"/>
      <c r="GN93" s="35"/>
      <c r="GO93" s="35"/>
      <c r="GP93" s="35"/>
      <c r="GQ93" s="35"/>
      <c r="GR93" s="35"/>
      <c r="GS93" s="35"/>
      <c r="GT93" s="35"/>
    </row>
    <row r="94" spans="1:202" s="2" customFormat="1" ht="15.75" customHeight="1">
      <c r="A94" s="67" t="s">
        <v>145</v>
      </c>
      <c r="B94" s="54">
        <v>0.29199999999999998</v>
      </c>
      <c r="C94" s="54"/>
      <c r="D94" s="54"/>
      <c r="E94" s="54"/>
      <c r="F94" s="54"/>
      <c r="G94" s="54">
        <v>0.28599999999999998</v>
      </c>
      <c r="H94" s="54"/>
      <c r="I94" s="54"/>
      <c r="J94" s="54"/>
      <c r="K94" s="54"/>
      <c r="L94" s="54">
        <v>0.28999999999999998</v>
      </c>
      <c r="M94" s="54"/>
      <c r="N94" s="54"/>
      <c r="O94" s="54"/>
      <c r="P94" s="54"/>
      <c r="Q94" s="54">
        <v>0.28899999999999998</v>
      </c>
      <c r="R94" s="54"/>
      <c r="S94" s="54"/>
      <c r="T94" s="54"/>
      <c r="U94" s="54"/>
      <c r="V94" s="54">
        <v>0.28999999999999998</v>
      </c>
      <c r="W94" s="54"/>
      <c r="X94" s="54"/>
      <c r="Y94" s="54"/>
      <c r="Z94" s="54"/>
      <c r="AA94" s="54">
        <v>0.28199999999999997</v>
      </c>
      <c r="AB94" s="54"/>
      <c r="AC94" s="54"/>
      <c r="AD94" s="54"/>
      <c r="AE94" s="54"/>
      <c r="AF94" s="54">
        <v>0.26300000000000001</v>
      </c>
      <c r="AG94" s="116" t="s">
        <v>40</v>
      </c>
      <c r="AH94" s="116" t="s">
        <v>40</v>
      </c>
      <c r="AI94" s="116" t="s">
        <v>40</v>
      </c>
      <c r="AJ94" s="116" t="s">
        <v>40</v>
      </c>
      <c r="AK94" s="54">
        <v>0.255</v>
      </c>
      <c r="AL94" s="116" t="s">
        <v>40</v>
      </c>
      <c r="AM94" s="116" t="s">
        <v>40</v>
      </c>
      <c r="AN94" s="116" t="s">
        <v>40</v>
      </c>
      <c r="AO94" s="116" t="s">
        <v>40</v>
      </c>
      <c r="AP94" s="54">
        <v>0.252</v>
      </c>
      <c r="AQ94" s="116" t="s">
        <v>40</v>
      </c>
      <c r="AR94" s="116" t="s">
        <v>40</v>
      </c>
      <c r="AS94" s="191">
        <v>0.22700000000000001</v>
      </c>
      <c r="AT94" s="191">
        <v>0.23100000000000001</v>
      </c>
      <c r="AU94" s="38">
        <v>0.23100000000000001</v>
      </c>
      <c r="AV94" s="116" t="s">
        <v>40</v>
      </c>
      <c r="AW94" s="116" t="s">
        <v>40</v>
      </c>
      <c r="AX94" s="88">
        <v>0.23300000000000001</v>
      </c>
      <c r="AY94" s="88">
        <v>0.23599999999999999</v>
      </c>
      <c r="AZ94" s="38">
        <v>0.23599999999999999</v>
      </c>
      <c r="BA94" s="116" t="s">
        <v>40</v>
      </c>
      <c r="BB94" s="116" t="s">
        <v>40</v>
      </c>
      <c r="BC94" s="88">
        <v>0.21</v>
      </c>
      <c r="BD94" s="88">
        <v>0.20699999999999999</v>
      </c>
      <c r="BE94" s="54">
        <v>0.20699999999999999</v>
      </c>
      <c r="BF94" s="116" t="s">
        <v>40</v>
      </c>
      <c r="BG94" s="116" t="s">
        <v>40</v>
      </c>
      <c r="BH94" s="88">
        <v>0.21199999999999999</v>
      </c>
      <c r="BI94" s="116" t="s">
        <v>40</v>
      </c>
      <c r="BJ94" s="165" t="s">
        <v>40</v>
      </c>
      <c r="BK94" s="116" t="s">
        <v>40</v>
      </c>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c r="EZ94" s="35"/>
      <c r="FA94" s="35"/>
      <c r="FB94" s="35"/>
      <c r="FC94" s="35"/>
      <c r="FD94" s="35"/>
      <c r="FE94" s="35"/>
      <c r="FF94" s="35"/>
      <c r="FG94" s="35"/>
      <c r="FH94" s="35"/>
      <c r="FI94" s="35"/>
      <c r="FJ94" s="35"/>
      <c r="FK94" s="35"/>
      <c r="FL94" s="35"/>
      <c r="FM94" s="35"/>
      <c r="FN94" s="35"/>
      <c r="FO94" s="35"/>
      <c r="FP94" s="35"/>
      <c r="FQ94" s="35"/>
      <c r="FR94" s="35"/>
      <c r="FS94" s="35"/>
      <c r="FT94" s="35"/>
      <c r="FU94" s="35"/>
      <c r="FV94" s="35"/>
      <c r="FW94" s="35"/>
      <c r="FX94" s="35"/>
      <c r="FY94" s="35"/>
      <c r="FZ94" s="35"/>
      <c r="GA94" s="35"/>
      <c r="GB94" s="35"/>
      <c r="GC94" s="35"/>
      <c r="GD94" s="35"/>
      <c r="GE94" s="35"/>
      <c r="GF94" s="35"/>
      <c r="GG94" s="35"/>
      <c r="GH94" s="35"/>
      <c r="GI94" s="35"/>
      <c r="GJ94" s="35"/>
      <c r="GK94" s="35"/>
      <c r="GL94" s="35"/>
      <c r="GM94" s="35"/>
      <c r="GN94" s="35"/>
      <c r="GO94" s="35"/>
      <c r="GP94" s="35"/>
      <c r="GQ94" s="35"/>
      <c r="GR94" s="35"/>
      <c r="GS94" s="35"/>
      <c r="GT94" s="35"/>
    </row>
    <row r="95" spans="1:202" s="2" customFormat="1" ht="3" customHeight="1">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c r="FQ95" s="35"/>
      <c r="FR95" s="35"/>
      <c r="FS95" s="35"/>
      <c r="FT95" s="35"/>
      <c r="FU95" s="35"/>
      <c r="FV95" s="35"/>
      <c r="FW95" s="35"/>
      <c r="FX95" s="35"/>
      <c r="FY95" s="35"/>
      <c r="FZ95" s="35"/>
      <c r="GA95" s="35"/>
      <c r="GB95" s="35"/>
      <c r="GC95" s="35"/>
      <c r="GD95" s="35"/>
      <c r="GE95" s="35"/>
      <c r="GF95" s="35"/>
      <c r="GG95" s="35"/>
      <c r="GH95" s="35"/>
      <c r="GI95" s="35"/>
      <c r="GJ95" s="35"/>
      <c r="GK95" s="35"/>
      <c r="GL95" s="35"/>
      <c r="GM95" s="35"/>
      <c r="GN95" s="35"/>
      <c r="GO95" s="35"/>
      <c r="GP95" s="35"/>
      <c r="GQ95" s="35"/>
      <c r="GR95" s="35"/>
      <c r="GS95" s="35"/>
      <c r="GT95" s="35"/>
    </row>
    <row r="96" spans="1:202" ht="20.25">
      <c r="A96" s="34" t="s">
        <v>15</v>
      </c>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row>
    <row r="97" spans="1:2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row>
    <row r="98" spans="1:202">
      <c r="A98" s="39" t="s">
        <v>25</v>
      </c>
      <c r="B98" s="40"/>
      <c r="C98" s="41"/>
      <c r="D98" s="41"/>
      <c r="E98" s="41"/>
      <c r="F98" s="41"/>
      <c r="G98" s="40"/>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row>
    <row r="99" spans="1:202" ht="3.6" customHeight="1">
      <c r="A99" s="67"/>
      <c r="B99" s="28"/>
      <c r="C99" s="67"/>
      <c r="D99" s="67"/>
      <c r="E99" s="67"/>
      <c r="F99" s="67"/>
      <c r="G99" s="28"/>
      <c r="H99" s="67"/>
      <c r="I99" s="67"/>
      <c r="J99" s="67"/>
      <c r="K99" s="67"/>
      <c r="L99" s="20"/>
      <c r="M99" s="67"/>
      <c r="N99" s="67"/>
      <c r="O99" s="67"/>
      <c r="P99" s="67"/>
      <c r="Q99" s="20"/>
      <c r="R99" s="67"/>
      <c r="S99" s="67"/>
      <c r="T99" s="67"/>
      <c r="U99" s="67"/>
      <c r="V99" s="20"/>
      <c r="W99" s="67"/>
      <c r="X99" s="67"/>
      <c r="Y99" s="67"/>
      <c r="Z99" s="67"/>
      <c r="AA99" s="20"/>
      <c r="AB99" s="67"/>
      <c r="AC99" s="67"/>
      <c r="AD99" s="67"/>
      <c r="AE99" s="67"/>
      <c r="AF99" s="20"/>
      <c r="AG99" s="67"/>
      <c r="AH99" s="67"/>
      <c r="AI99" s="67"/>
      <c r="AJ99" s="67"/>
      <c r="AK99" s="20"/>
      <c r="AL99" s="67"/>
      <c r="AM99" s="67"/>
      <c r="AN99" s="67"/>
      <c r="AO99" s="67"/>
      <c r="AP99" s="20"/>
      <c r="AQ99" s="67"/>
      <c r="AR99" s="67"/>
      <c r="AS99" s="67"/>
      <c r="AT99" s="67"/>
      <c r="AU99" s="20"/>
      <c r="AV99" s="67"/>
      <c r="AW99" s="67"/>
      <c r="AX99" s="67"/>
      <c r="AY99" s="67"/>
      <c r="AZ99" s="20"/>
      <c r="BA99" s="67"/>
      <c r="BB99" s="67"/>
      <c r="BC99" s="67"/>
      <c r="BD99" s="67"/>
      <c r="BE99" s="20"/>
      <c r="BF99" s="67"/>
      <c r="BG99" s="67"/>
      <c r="BH99" s="67"/>
      <c r="BI99" s="67"/>
      <c r="BJ99" s="20"/>
      <c r="BK99" s="67"/>
    </row>
    <row r="100" spans="1:202">
      <c r="A100" s="67" t="s">
        <v>128</v>
      </c>
      <c r="B100" s="138">
        <v>2621</v>
      </c>
      <c r="C100" s="78" t="s">
        <v>48</v>
      </c>
      <c r="D100" s="78" t="s">
        <v>48</v>
      </c>
      <c r="E100" s="78" t="s">
        <v>48</v>
      </c>
      <c r="F100" s="78" t="s">
        <v>48</v>
      </c>
      <c r="G100" s="138">
        <v>2325</v>
      </c>
      <c r="H100" s="78" t="s">
        <v>48</v>
      </c>
      <c r="I100" s="78" t="s">
        <v>48</v>
      </c>
      <c r="J100" s="78" t="s">
        <v>48</v>
      </c>
      <c r="K100" s="78" t="s">
        <v>48</v>
      </c>
      <c r="L100" s="138">
        <v>2445</v>
      </c>
      <c r="M100" s="78" t="s">
        <v>48</v>
      </c>
      <c r="N100" s="78" t="s">
        <v>48</v>
      </c>
      <c r="O100" s="78" t="s">
        <v>48</v>
      </c>
      <c r="P100" s="78" t="s">
        <v>48</v>
      </c>
      <c r="Q100" s="138">
        <v>2112</v>
      </c>
      <c r="R100" s="116" t="s">
        <v>40</v>
      </c>
      <c r="S100" s="116" t="s">
        <v>40</v>
      </c>
      <c r="T100" s="116" t="s">
        <v>40</v>
      </c>
      <c r="U100" s="116" t="s">
        <v>40</v>
      </c>
      <c r="V100" s="138">
        <v>2262</v>
      </c>
      <c r="W100" s="116" t="s">
        <v>40</v>
      </c>
      <c r="X100" s="116" t="s">
        <v>40</v>
      </c>
      <c r="Y100" s="116" t="s">
        <v>40</v>
      </c>
      <c r="Z100" s="116" t="s">
        <v>40</v>
      </c>
      <c r="AA100" s="138">
        <v>2102</v>
      </c>
      <c r="AB100" s="116" t="s">
        <v>40</v>
      </c>
      <c r="AC100" s="116" t="s">
        <v>40</v>
      </c>
      <c r="AD100" s="116" t="s">
        <v>40</v>
      </c>
      <c r="AE100" s="116" t="s">
        <v>40</v>
      </c>
      <c r="AF100" s="138">
        <v>2007</v>
      </c>
      <c r="AG100" s="116" t="s">
        <v>40</v>
      </c>
      <c r="AH100" s="116" t="s">
        <v>40</v>
      </c>
      <c r="AI100" s="116" t="s">
        <v>40</v>
      </c>
      <c r="AJ100" s="68">
        <v>1932</v>
      </c>
      <c r="AK100" s="138">
        <v>1932</v>
      </c>
      <c r="AL100" s="116" t="s">
        <v>40</v>
      </c>
      <c r="AM100" s="116" t="s">
        <v>40</v>
      </c>
      <c r="AN100" s="116" t="s">
        <v>40</v>
      </c>
      <c r="AO100" s="68">
        <v>1966</v>
      </c>
      <c r="AP100" s="138">
        <v>1966</v>
      </c>
      <c r="AQ100" s="116" t="s">
        <v>40</v>
      </c>
      <c r="AR100" s="116" t="s">
        <v>40</v>
      </c>
      <c r="AS100" s="116" t="s">
        <v>40</v>
      </c>
      <c r="AT100" s="68">
        <v>1905</v>
      </c>
      <c r="AU100" s="138">
        <v>1905</v>
      </c>
      <c r="AV100" s="116" t="s">
        <v>40</v>
      </c>
      <c r="AW100" s="116" t="s">
        <v>40</v>
      </c>
      <c r="AX100" s="116" t="s">
        <v>40</v>
      </c>
      <c r="AY100" s="68">
        <v>1864</v>
      </c>
      <c r="AZ100" s="138">
        <v>1864</v>
      </c>
      <c r="BA100" s="116" t="s">
        <v>40</v>
      </c>
      <c r="BB100" s="116" t="s">
        <v>40</v>
      </c>
      <c r="BC100" s="116" t="s">
        <v>40</v>
      </c>
      <c r="BD100" s="68">
        <f>BE100</f>
        <v>1653</v>
      </c>
      <c r="BE100" s="138">
        <v>1653</v>
      </c>
      <c r="BF100" s="116" t="s">
        <v>40</v>
      </c>
      <c r="BG100" s="116" t="s">
        <v>40</v>
      </c>
      <c r="BH100" s="116" t="s">
        <v>40</v>
      </c>
      <c r="BI100" s="68">
        <f>BJ100</f>
        <v>1419</v>
      </c>
      <c r="BJ100" s="138">
        <v>1419</v>
      </c>
      <c r="BK100" s="116" t="s">
        <v>40</v>
      </c>
    </row>
    <row r="101" spans="1:202">
      <c r="A101" s="69" t="s">
        <v>7</v>
      </c>
      <c r="B101" s="23"/>
      <c r="C101" s="70"/>
      <c r="D101" s="70"/>
      <c r="E101" s="70"/>
      <c r="F101" s="70"/>
      <c r="G101" s="23"/>
      <c r="H101" s="70"/>
      <c r="I101" s="70"/>
      <c r="J101" s="70"/>
      <c r="K101" s="70"/>
      <c r="L101" s="26"/>
      <c r="M101" s="70"/>
      <c r="N101" s="70"/>
      <c r="O101" s="70"/>
      <c r="P101" s="70"/>
      <c r="Q101" s="26"/>
      <c r="R101" s="70"/>
      <c r="S101" s="70"/>
      <c r="T101" s="70"/>
      <c r="U101" s="70"/>
      <c r="V101" s="26"/>
      <c r="W101" s="70"/>
      <c r="X101" s="70"/>
      <c r="Y101" s="70"/>
      <c r="Z101" s="70"/>
      <c r="AA101" s="26"/>
      <c r="AB101" s="70"/>
      <c r="AC101" s="70"/>
      <c r="AD101" s="70"/>
      <c r="AE101" s="70"/>
      <c r="AF101" s="26"/>
      <c r="AG101" s="70"/>
      <c r="AH101" s="70"/>
      <c r="AI101" s="70"/>
      <c r="AJ101" s="68"/>
      <c r="AK101" s="26"/>
      <c r="AL101" s="70"/>
      <c r="AM101" s="70"/>
      <c r="AN101" s="70"/>
      <c r="AO101" s="70"/>
      <c r="AP101" s="26"/>
      <c r="AQ101" s="70"/>
      <c r="AR101" s="70"/>
      <c r="AS101" s="70"/>
      <c r="AT101" s="70"/>
      <c r="AU101" s="26"/>
      <c r="AV101" s="70"/>
      <c r="AW101" s="70"/>
      <c r="AX101" s="70"/>
      <c r="AY101" s="70"/>
      <c r="AZ101" s="26"/>
      <c r="BA101" s="70"/>
      <c r="BB101" s="70"/>
      <c r="BC101" s="70"/>
      <c r="BD101" s="70"/>
      <c r="BE101" s="26"/>
      <c r="BF101" s="70"/>
      <c r="BG101" s="70"/>
      <c r="BH101" s="70"/>
      <c r="BI101" s="70"/>
      <c r="BJ101" s="26"/>
      <c r="BK101" s="70"/>
    </row>
    <row r="102" spans="1:202">
      <c r="A102" s="69" t="s">
        <v>8</v>
      </c>
      <c r="B102" s="23"/>
      <c r="C102" s="71"/>
      <c r="D102" s="71"/>
      <c r="E102" s="71"/>
      <c r="F102" s="71"/>
      <c r="G102" s="23">
        <f>G100/B100-1</f>
        <v>-0.11293399465852727</v>
      </c>
      <c r="H102" s="71"/>
      <c r="I102" s="71"/>
      <c r="J102" s="71"/>
      <c r="K102" s="70"/>
      <c r="L102" s="23">
        <f>L100/G100-1</f>
        <v>5.1612903225806361E-2</v>
      </c>
      <c r="M102" s="71"/>
      <c r="N102" s="71"/>
      <c r="O102" s="71"/>
      <c r="P102" s="70"/>
      <c r="Q102" s="23">
        <f>Q100/L100-1</f>
        <v>-0.1361963190184049</v>
      </c>
      <c r="R102" s="71"/>
      <c r="S102" s="71"/>
      <c r="T102" s="71"/>
      <c r="U102" s="70"/>
      <c r="V102" s="23">
        <f>V100/Q100-1</f>
        <v>7.1022727272727293E-2</v>
      </c>
      <c r="W102" s="71"/>
      <c r="X102" s="71"/>
      <c r="Y102" s="71"/>
      <c r="Z102" s="70"/>
      <c r="AA102" s="23">
        <f>AA100/V100-1</f>
        <v>-7.0733863837312061E-2</v>
      </c>
      <c r="AB102" s="71"/>
      <c r="AC102" s="71"/>
      <c r="AD102" s="71"/>
      <c r="AE102" s="70"/>
      <c r="AF102" s="23">
        <f>AF100/AA100-1</f>
        <v>-4.5195052331113206E-2</v>
      </c>
      <c r="AG102" s="71"/>
      <c r="AH102" s="71"/>
      <c r="AI102" s="71"/>
      <c r="AJ102" s="70"/>
      <c r="AK102" s="23">
        <f>AK100/AF100-1</f>
        <v>-3.7369207772795177E-2</v>
      </c>
      <c r="AL102" s="71"/>
      <c r="AM102" s="71"/>
      <c r="AN102" s="71"/>
      <c r="AO102" s="70"/>
      <c r="AP102" s="23">
        <f>AP100/AK100-1</f>
        <v>1.7598343685300222E-2</v>
      </c>
      <c r="AQ102" s="71"/>
      <c r="AR102" s="71"/>
      <c r="AS102" s="71"/>
      <c r="AT102" s="70"/>
      <c r="AU102" s="23">
        <f>AU100/AP100-1</f>
        <v>-3.1027466937945114E-2</v>
      </c>
      <c r="AV102" s="71"/>
      <c r="AW102" s="71"/>
      <c r="AX102" s="71"/>
      <c r="AY102" s="70"/>
      <c r="AZ102" s="23">
        <f>AZ100/AU100-1</f>
        <v>-2.1522309711286103E-2</v>
      </c>
      <c r="BA102" s="71"/>
      <c r="BB102" s="71"/>
      <c r="BC102" s="71"/>
      <c r="BD102" s="70"/>
      <c r="BE102" s="23">
        <f>BE100/AZ100-1</f>
        <v>-0.1131974248927039</v>
      </c>
      <c r="BF102" s="71"/>
      <c r="BG102" s="71"/>
      <c r="BH102" s="71"/>
      <c r="BI102" s="70"/>
      <c r="BJ102" s="23">
        <f>BJ100/BE100-1</f>
        <v>-0.14156079854809434</v>
      </c>
      <c r="BK102" s="71"/>
    </row>
    <row r="103" spans="1:202" ht="3.75" customHeight="1">
      <c r="A103" s="69"/>
      <c r="B103" s="23"/>
      <c r="C103" s="71"/>
      <c r="D103" s="71"/>
      <c r="E103" s="71"/>
      <c r="F103" s="71"/>
      <c r="G103" s="23"/>
      <c r="H103" s="71"/>
      <c r="I103" s="71"/>
      <c r="J103" s="71"/>
      <c r="K103" s="70"/>
      <c r="L103" s="23"/>
      <c r="M103" s="71"/>
      <c r="N103" s="71"/>
      <c r="O103" s="71"/>
      <c r="P103" s="70"/>
      <c r="Q103" s="23"/>
      <c r="R103" s="71"/>
      <c r="S103" s="71"/>
      <c r="T103" s="71"/>
      <c r="U103" s="70"/>
      <c r="V103" s="23"/>
      <c r="W103" s="71"/>
      <c r="X103" s="71"/>
      <c r="Y103" s="71"/>
      <c r="Z103" s="70"/>
      <c r="AA103" s="23"/>
      <c r="AB103" s="71"/>
      <c r="AC103" s="71"/>
      <c r="AD103" s="71"/>
      <c r="AE103" s="70"/>
      <c r="AF103" s="23"/>
      <c r="AG103" s="71"/>
      <c r="AH103" s="71"/>
      <c r="AI103" s="71"/>
      <c r="AJ103" s="70"/>
      <c r="AK103" s="23"/>
      <c r="AL103" s="71"/>
      <c r="AM103" s="71"/>
      <c r="AN103" s="71"/>
      <c r="AO103" s="70"/>
      <c r="AP103" s="23"/>
      <c r="AQ103" s="71"/>
      <c r="AR103" s="71"/>
      <c r="AS103" s="71"/>
      <c r="AT103" s="70"/>
      <c r="AU103" s="23"/>
      <c r="AV103" s="71"/>
      <c r="AW103" s="71"/>
      <c r="AX103" s="71"/>
      <c r="AY103" s="70"/>
      <c r="AZ103" s="23"/>
      <c r="BA103" s="71"/>
      <c r="BB103" s="71"/>
      <c r="BC103" s="71"/>
      <c r="BD103" s="70"/>
      <c r="BE103" s="23"/>
      <c r="BF103" s="71"/>
      <c r="BG103" s="71"/>
      <c r="BH103" s="71"/>
      <c r="BI103" s="70"/>
      <c r="BJ103" s="23"/>
      <c r="BK103" s="71"/>
    </row>
    <row r="104" spans="1:202" ht="3.75" customHeight="1">
      <c r="A104" s="69"/>
      <c r="B104" s="23"/>
      <c r="C104" s="71"/>
      <c r="D104" s="71"/>
      <c r="E104" s="71"/>
      <c r="F104" s="71"/>
      <c r="G104" s="23"/>
      <c r="H104" s="71"/>
      <c r="I104" s="71"/>
      <c r="J104" s="71"/>
      <c r="K104" s="70"/>
      <c r="L104" s="23"/>
      <c r="M104" s="71"/>
      <c r="N104" s="71"/>
      <c r="O104" s="71"/>
      <c r="P104" s="70"/>
      <c r="Q104" s="23"/>
      <c r="R104" s="71"/>
      <c r="S104" s="71"/>
      <c r="T104" s="71"/>
      <c r="U104" s="70"/>
      <c r="V104" s="23"/>
      <c r="W104" s="71"/>
      <c r="X104" s="71"/>
      <c r="Y104" s="71"/>
      <c r="Z104" s="70"/>
      <c r="AA104" s="23"/>
      <c r="AB104" s="71"/>
      <c r="AC104" s="71"/>
      <c r="AD104" s="71"/>
      <c r="AE104" s="70"/>
      <c r="AF104" s="23"/>
      <c r="AG104" s="71"/>
      <c r="AH104" s="71"/>
      <c r="AI104" s="71"/>
      <c r="AJ104" s="70"/>
      <c r="AK104" s="23"/>
      <c r="AL104" s="71"/>
      <c r="AM104" s="71"/>
      <c r="AN104" s="71"/>
      <c r="AO104" s="70"/>
      <c r="AP104" s="23"/>
      <c r="AQ104" s="71"/>
      <c r="AR104" s="71"/>
      <c r="AS104" s="71"/>
      <c r="AT104" s="70"/>
      <c r="AU104" s="23"/>
      <c r="AV104" s="71"/>
      <c r="AW104" s="71"/>
      <c r="AX104" s="71"/>
      <c r="AY104" s="70"/>
      <c r="AZ104" s="23"/>
      <c r="BA104" s="71"/>
      <c r="BB104" s="71"/>
      <c r="BC104" s="71"/>
      <c r="BD104" s="70"/>
      <c r="BE104" s="23"/>
      <c r="BF104" s="71"/>
      <c r="BG104" s="71"/>
      <c r="BH104" s="71"/>
      <c r="BI104" s="70"/>
      <c r="BJ104" s="23"/>
      <c r="BK104" s="71"/>
    </row>
    <row r="105" spans="1:202">
      <c r="A105" s="67" t="s">
        <v>157</v>
      </c>
      <c r="B105" s="95" t="s">
        <v>48</v>
      </c>
      <c r="C105" s="78" t="s">
        <v>48</v>
      </c>
      <c r="D105" s="78" t="s">
        <v>48</v>
      </c>
      <c r="E105" s="78" t="s">
        <v>48</v>
      </c>
      <c r="F105" s="78" t="s">
        <v>48</v>
      </c>
      <c r="G105" s="95" t="s">
        <v>48</v>
      </c>
      <c r="H105" s="76">
        <v>3.9E-2</v>
      </c>
      <c r="I105" s="76">
        <v>3.5999999999999997E-2</v>
      </c>
      <c r="J105" s="76">
        <v>3.4000000000000002E-2</v>
      </c>
      <c r="K105" s="76">
        <v>3.9E-2</v>
      </c>
      <c r="L105" s="38">
        <v>0.14799999999999999</v>
      </c>
      <c r="M105" s="76">
        <v>3.2000000000000001E-2</v>
      </c>
      <c r="N105" s="76">
        <v>2.9000000000000001E-2</v>
      </c>
      <c r="O105" s="76">
        <v>3.2000000000000001E-2</v>
      </c>
      <c r="P105" s="76">
        <v>3.5000000000000003E-2</v>
      </c>
      <c r="Q105" s="38">
        <v>0.127</v>
      </c>
      <c r="R105" s="76">
        <v>2.9000000000000001E-2</v>
      </c>
      <c r="S105" s="76">
        <v>2.8000000000000001E-2</v>
      </c>
      <c r="T105" s="76">
        <v>3.2000000000000001E-2</v>
      </c>
      <c r="U105" s="76">
        <v>3.6999999999999998E-2</v>
      </c>
      <c r="V105" s="38">
        <v>0.126</v>
      </c>
      <c r="W105" s="76">
        <v>4.2999999999999997E-2</v>
      </c>
      <c r="X105" s="76">
        <v>4.1000000000000002E-2</v>
      </c>
      <c r="Y105" s="76">
        <v>4.5999999999999999E-2</v>
      </c>
      <c r="Z105" s="76">
        <v>5.5E-2</v>
      </c>
      <c r="AA105" s="38">
        <v>0.184</v>
      </c>
      <c r="AB105" s="76">
        <v>4.2000000000000003E-2</v>
      </c>
      <c r="AC105" s="76">
        <v>4.4999999999999998E-2</v>
      </c>
      <c r="AD105" s="76">
        <v>4.7E-2</v>
      </c>
      <c r="AE105" s="76">
        <v>4.5999999999999999E-2</v>
      </c>
      <c r="AF105" s="38">
        <v>0.18</v>
      </c>
      <c r="AG105" s="76">
        <v>0.04</v>
      </c>
      <c r="AH105" s="76">
        <v>3.6999999999999998E-2</v>
      </c>
      <c r="AI105" s="76">
        <v>4.4999999999999998E-2</v>
      </c>
      <c r="AJ105" s="76">
        <v>4.7E-2</v>
      </c>
      <c r="AK105" s="38">
        <v>0.17</v>
      </c>
      <c r="AL105" s="76">
        <v>4.1000000000000002E-2</v>
      </c>
      <c r="AM105" s="121">
        <v>4.2000000000000003E-2</v>
      </c>
      <c r="AN105" s="76">
        <v>4.3999999999999997E-2</v>
      </c>
      <c r="AO105" s="76">
        <v>4.5999999999999999E-2</v>
      </c>
      <c r="AP105" s="38">
        <v>0.17299999999999999</v>
      </c>
      <c r="AQ105" s="76">
        <v>5.1999999999999998E-2</v>
      </c>
      <c r="AR105" s="121">
        <v>4.4999999999999998E-2</v>
      </c>
      <c r="AS105" s="121">
        <v>5.5E-2</v>
      </c>
      <c r="AT105" s="88">
        <f>AU105-AS105-AR105-AQ105</f>
        <v>5.1999999999999998E-2</v>
      </c>
      <c r="AU105" s="38">
        <v>0.20399999999999999</v>
      </c>
      <c r="AV105" s="76">
        <v>5.2999999999999999E-2</v>
      </c>
      <c r="AW105" s="76">
        <v>0.05</v>
      </c>
      <c r="AX105" s="76">
        <v>6.3E-2</v>
      </c>
      <c r="AY105" s="88">
        <f>AZ105-AX105-AW105-AV105</f>
        <v>6.8000000000000005E-2</v>
      </c>
      <c r="AZ105" s="38">
        <v>0.23400000000000001</v>
      </c>
      <c r="BA105" s="76">
        <v>0.06</v>
      </c>
      <c r="BB105" s="76">
        <v>0.06</v>
      </c>
      <c r="BC105" s="76">
        <v>5.8000000000000003E-2</v>
      </c>
      <c r="BD105" s="88">
        <f>BE105-BC105-BB105-BA105</f>
        <v>7.7000000000000013E-2</v>
      </c>
      <c r="BE105" s="38">
        <v>0.255</v>
      </c>
      <c r="BF105" s="76">
        <v>6.6000000000000003E-2</v>
      </c>
      <c r="BG105" s="76">
        <v>6.2E-2</v>
      </c>
      <c r="BH105" s="76">
        <v>7.0999999999999994E-2</v>
      </c>
      <c r="BI105" s="88">
        <v>6.3E-2</v>
      </c>
      <c r="BJ105" s="38">
        <f>BI105+BH105+BG105+BF105</f>
        <v>0.26200000000000001</v>
      </c>
      <c r="BK105" s="76">
        <v>6.7000000000000004E-2</v>
      </c>
    </row>
    <row r="106" spans="1:202" ht="6" customHeight="1">
      <c r="A106" s="67"/>
      <c r="B106" s="95"/>
      <c r="C106" s="78"/>
      <c r="D106" s="78"/>
      <c r="E106" s="78"/>
      <c r="F106" s="78"/>
      <c r="G106" s="95"/>
      <c r="H106" s="76"/>
      <c r="I106" s="76"/>
      <c r="J106" s="76"/>
      <c r="K106" s="76"/>
      <c r="L106" s="38"/>
      <c r="M106" s="76"/>
      <c r="N106" s="76"/>
      <c r="O106" s="76"/>
      <c r="P106" s="76"/>
      <c r="Q106" s="38"/>
      <c r="R106" s="76"/>
      <c r="S106" s="76"/>
      <c r="T106" s="76"/>
      <c r="U106" s="76"/>
      <c r="V106" s="38"/>
      <c r="W106" s="76"/>
      <c r="X106" s="76"/>
      <c r="Y106" s="76"/>
      <c r="Z106" s="76"/>
      <c r="AA106" s="38"/>
      <c r="AB106" s="76"/>
      <c r="AC106" s="76"/>
      <c r="AD106" s="76"/>
      <c r="AE106" s="76"/>
      <c r="AF106" s="38"/>
      <c r="AG106" s="76"/>
      <c r="AH106" s="76"/>
      <c r="AI106" s="76"/>
      <c r="AJ106" s="76"/>
      <c r="AK106" s="38"/>
      <c r="AL106" s="76"/>
      <c r="AM106" s="76"/>
      <c r="AN106" s="76"/>
      <c r="AO106" s="76"/>
      <c r="AP106" s="38"/>
      <c r="AQ106" s="76"/>
      <c r="AR106" s="76"/>
      <c r="AS106" s="76"/>
      <c r="AT106" s="76"/>
      <c r="AU106" s="38"/>
      <c r="AV106" s="76"/>
      <c r="AW106" s="76"/>
      <c r="AX106" s="76"/>
      <c r="AY106" s="76"/>
      <c r="AZ106" s="38"/>
      <c r="BA106" s="76"/>
      <c r="BB106" s="76"/>
      <c r="BC106" s="76"/>
      <c r="BD106" s="76"/>
      <c r="BE106" s="38"/>
      <c r="BF106" s="76"/>
      <c r="BG106" s="76"/>
      <c r="BH106" s="76"/>
      <c r="BI106" s="76"/>
      <c r="BJ106" s="38"/>
      <c r="BK106" s="76"/>
    </row>
    <row r="107" spans="1:202" ht="12" customHeight="1">
      <c r="A107" s="67" t="s">
        <v>147</v>
      </c>
      <c r="B107" s="139">
        <v>0.36</v>
      </c>
      <c r="C107" s="139"/>
      <c r="D107" s="139"/>
      <c r="E107" s="139"/>
      <c r="F107" s="139"/>
      <c r="G107" s="139">
        <v>0.36</v>
      </c>
      <c r="H107" s="139"/>
      <c r="I107" s="139"/>
      <c r="J107" s="139"/>
      <c r="K107" s="139"/>
      <c r="L107" s="139">
        <v>0.36</v>
      </c>
      <c r="M107" s="139"/>
      <c r="N107" s="139"/>
      <c r="O107" s="139"/>
      <c r="P107" s="139"/>
      <c r="Q107" s="139">
        <v>0.35899999999999999</v>
      </c>
      <c r="R107" s="139"/>
      <c r="S107" s="139"/>
      <c r="T107" s="139"/>
      <c r="U107" s="139"/>
      <c r="V107" s="139">
        <v>0.375</v>
      </c>
      <c r="W107" s="139"/>
      <c r="X107" s="139"/>
      <c r="Y107" s="139"/>
      <c r="Z107" s="139"/>
      <c r="AA107" s="139">
        <v>0.38800000000000001</v>
      </c>
      <c r="AB107" s="139"/>
      <c r="AC107" s="139"/>
      <c r="AD107" s="139"/>
      <c r="AE107" s="139"/>
      <c r="AF107" s="139">
        <v>0.40600000000000003</v>
      </c>
      <c r="AG107" s="116" t="s">
        <v>40</v>
      </c>
      <c r="AH107" s="116" t="s">
        <v>40</v>
      </c>
      <c r="AI107" s="116" t="s">
        <v>40</v>
      </c>
      <c r="AJ107" s="116" t="s">
        <v>40</v>
      </c>
      <c r="AK107" s="163">
        <v>0.42</v>
      </c>
      <c r="AL107" s="116" t="s">
        <v>40</v>
      </c>
      <c r="AM107" s="116" t="s">
        <v>40</v>
      </c>
      <c r="AN107" s="116" t="s">
        <v>40</v>
      </c>
      <c r="AO107" s="116" t="s">
        <v>40</v>
      </c>
      <c r="AP107" s="163">
        <v>0.44</v>
      </c>
      <c r="AQ107" s="116" t="s">
        <v>40</v>
      </c>
      <c r="AR107" s="116" t="s">
        <v>40</v>
      </c>
      <c r="AS107" s="116" t="s">
        <v>40</v>
      </c>
      <c r="AT107" s="116" t="s">
        <v>40</v>
      </c>
      <c r="AU107" s="163">
        <v>0.44</v>
      </c>
      <c r="AV107" s="116" t="s">
        <v>40</v>
      </c>
      <c r="AW107" s="116" t="s">
        <v>40</v>
      </c>
      <c r="AX107" s="76">
        <v>0.42099999999999999</v>
      </c>
      <c r="AY107" s="116" t="s">
        <v>40</v>
      </c>
      <c r="AZ107" s="217" t="s">
        <v>40</v>
      </c>
      <c r="BA107" s="116" t="s">
        <v>40</v>
      </c>
      <c r="BB107" s="116" t="s">
        <v>40</v>
      </c>
      <c r="BC107" s="76">
        <v>0.38200000000000001</v>
      </c>
      <c r="BD107" s="116" t="s">
        <v>40</v>
      </c>
      <c r="BE107" s="217" t="s">
        <v>40</v>
      </c>
      <c r="BF107" s="116" t="s">
        <v>40</v>
      </c>
      <c r="BG107" s="116" t="s">
        <v>40</v>
      </c>
      <c r="BH107" s="116" t="s">
        <v>40</v>
      </c>
      <c r="BI107" s="116" t="s">
        <v>40</v>
      </c>
      <c r="BJ107" s="38">
        <v>0.3</v>
      </c>
      <c r="BK107" s="116" t="s">
        <v>40</v>
      </c>
    </row>
    <row r="108" spans="1:202" ht="3.75" customHeight="1">
      <c r="A108" s="67"/>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16"/>
      <c r="AH108" s="116"/>
      <c r="AI108" s="116"/>
      <c r="AJ108" s="116"/>
      <c r="AK108" s="163"/>
      <c r="AL108" s="116"/>
      <c r="AM108" s="116"/>
      <c r="AN108" s="116"/>
      <c r="AO108" s="116"/>
      <c r="AP108" s="163"/>
      <c r="AQ108" s="116"/>
      <c r="AR108" s="116"/>
      <c r="AS108" s="116"/>
      <c r="AT108" s="116"/>
      <c r="AU108" s="163"/>
      <c r="AV108" s="116"/>
      <c r="AW108" s="116"/>
      <c r="AX108" s="116"/>
      <c r="AY108" s="116"/>
      <c r="AZ108" s="163"/>
      <c r="BA108" s="116"/>
      <c r="BB108" s="116"/>
      <c r="BC108" s="116"/>
      <c r="BD108" s="116"/>
      <c r="BE108" s="163"/>
      <c r="BF108" s="116"/>
      <c r="BG108" s="116"/>
      <c r="BH108" s="116"/>
      <c r="BI108" s="116"/>
      <c r="BJ108" s="163"/>
      <c r="BK108" s="116"/>
    </row>
    <row r="109" spans="1:202">
      <c r="A109" s="67" t="s">
        <v>148</v>
      </c>
      <c r="B109" s="139">
        <v>0.36</v>
      </c>
      <c r="C109" s="139"/>
      <c r="D109" s="139"/>
      <c r="E109" s="139"/>
      <c r="F109" s="139"/>
      <c r="G109" s="139">
        <v>0.36</v>
      </c>
      <c r="H109" s="139"/>
      <c r="I109" s="139"/>
      <c r="J109" s="139"/>
      <c r="K109" s="139"/>
      <c r="L109" s="139">
        <v>0.31</v>
      </c>
      <c r="M109" s="139"/>
      <c r="N109" s="139"/>
      <c r="O109" s="139"/>
      <c r="P109" s="139"/>
      <c r="Q109" s="139">
        <v>0.307</v>
      </c>
      <c r="R109" s="139"/>
      <c r="S109" s="139"/>
      <c r="T109" s="139"/>
      <c r="U109" s="139"/>
      <c r="V109" s="139">
        <v>0.3</v>
      </c>
      <c r="W109" s="139"/>
      <c r="X109" s="139"/>
      <c r="Y109" s="139"/>
      <c r="Z109" s="139"/>
      <c r="AA109" s="139">
        <v>0.246</v>
      </c>
      <c r="AB109" s="139"/>
      <c r="AC109" s="139"/>
      <c r="AD109" s="139"/>
      <c r="AE109" s="139"/>
      <c r="AF109" s="139">
        <v>0.21199999999999999</v>
      </c>
      <c r="AG109" s="116" t="s">
        <v>40</v>
      </c>
      <c r="AH109" s="116" t="s">
        <v>40</v>
      </c>
      <c r="AI109" s="116" t="s">
        <v>40</v>
      </c>
      <c r="AJ109" s="116" t="s">
        <v>40</v>
      </c>
      <c r="AK109" s="163">
        <v>0.23</v>
      </c>
      <c r="AL109" s="116" t="s">
        <v>40</v>
      </c>
      <c r="AM109" s="116" t="s">
        <v>40</v>
      </c>
      <c r="AN109" s="116" t="s">
        <v>40</v>
      </c>
      <c r="AO109" s="116" t="s">
        <v>40</v>
      </c>
      <c r="AP109" s="163">
        <v>0.21</v>
      </c>
      <c r="AQ109" s="116" t="s">
        <v>40</v>
      </c>
      <c r="AR109" s="116" t="s">
        <v>40</v>
      </c>
      <c r="AS109" s="116" t="s">
        <v>40</v>
      </c>
      <c r="AT109" s="116" t="s">
        <v>40</v>
      </c>
      <c r="AU109" s="163">
        <v>0.21</v>
      </c>
      <c r="AV109" s="116" t="s">
        <v>40</v>
      </c>
      <c r="AW109" s="116" t="s">
        <v>40</v>
      </c>
      <c r="AX109" s="116" t="s">
        <v>40</v>
      </c>
      <c r="AY109" s="116" t="s">
        <v>40</v>
      </c>
      <c r="AZ109" s="139">
        <v>0.25600000000000001</v>
      </c>
      <c r="BA109" s="116" t="s">
        <v>40</v>
      </c>
      <c r="BB109" s="116" t="s">
        <v>40</v>
      </c>
      <c r="BC109" s="116" t="s">
        <v>40</v>
      </c>
      <c r="BD109" s="116" t="s">
        <v>40</v>
      </c>
      <c r="BE109" s="139">
        <v>0.23300000000000001</v>
      </c>
      <c r="BF109" s="116" t="s">
        <v>40</v>
      </c>
      <c r="BG109" s="116" t="s">
        <v>40</v>
      </c>
      <c r="BH109" s="116" t="s">
        <v>40</v>
      </c>
      <c r="BI109" s="116" t="s">
        <v>40</v>
      </c>
      <c r="BJ109" s="139">
        <v>0.27</v>
      </c>
      <c r="BK109" s="116" t="s">
        <v>40</v>
      </c>
    </row>
    <row r="110" spans="1:202" s="45" customFormat="1" ht="3.75" customHeight="1">
      <c r="A110" s="91"/>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row>
    <row r="111" spans="1:202" s="25" customFormat="1" ht="20.25">
      <c r="A111" s="34" t="s">
        <v>20</v>
      </c>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row>
    <row r="112" spans="1:2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row>
    <row r="113" spans="1:202" s="42" customFormat="1" ht="12" customHeight="1">
      <c r="A113" s="39" t="s">
        <v>25</v>
      </c>
      <c r="B113" s="40"/>
      <c r="C113" s="41"/>
      <c r="D113" s="41"/>
      <c r="E113" s="41"/>
      <c r="F113" s="41"/>
      <c r="G113" s="40"/>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row>
    <row r="114" spans="1:202" s="33" customFormat="1">
      <c r="A114" s="67"/>
      <c r="B114" s="28"/>
      <c r="C114" s="67"/>
      <c r="D114" s="67"/>
      <c r="E114" s="67"/>
      <c r="F114" s="67"/>
      <c r="G114" s="28"/>
      <c r="H114" s="67"/>
      <c r="I114" s="67"/>
      <c r="J114" s="67"/>
      <c r="K114" s="67"/>
      <c r="L114" s="20"/>
      <c r="M114" s="67"/>
      <c r="N114" s="67"/>
      <c r="O114" s="67"/>
      <c r="P114" s="67"/>
      <c r="Q114" s="20"/>
      <c r="R114" s="67"/>
      <c r="S114" s="67"/>
      <c r="T114" s="67"/>
      <c r="U114" s="67"/>
      <c r="V114" s="20"/>
      <c r="W114" s="67"/>
      <c r="X114" s="67"/>
      <c r="Y114" s="67"/>
      <c r="Z114" s="67"/>
      <c r="AA114" s="20"/>
      <c r="AB114" s="67"/>
      <c r="AC114" s="67"/>
      <c r="AD114" s="67"/>
      <c r="AE114" s="67"/>
      <c r="AF114" s="20"/>
      <c r="AG114" s="67"/>
      <c r="AH114" s="67"/>
      <c r="AI114" s="67"/>
      <c r="AJ114" s="67"/>
      <c r="AK114" s="20"/>
      <c r="AL114" s="67"/>
      <c r="AM114" s="67"/>
      <c r="AN114" s="67"/>
      <c r="AO114" s="67"/>
      <c r="AP114" s="20"/>
      <c r="AQ114" s="67"/>
      <c r="AR114" s="67"/>
      <c r="AS114" s="67"/>
      <c r="AT114" s="67"/>
      <c r="AU114" s="20"/>
      <c r="AV114" s="67"/>
      <c r="AW114" s="67"/>
      <c r="AX114" s="67"/>
      <c r="AY114" s="67"/>
      <c r="AZ114" s="20"/>
      <c r="BA114" s="67"/>
      <c r="BB114" s="67"/>
      <c r="BC114" s="67"/>
      <c r="BD114" s="67"/>
      <c r="BE114" s="20"/>
      <c r="BF114" s="67"/>
      <c r="BG114" s="67"/>
      <c r="BH114" s="67"/>
      <c r="BI114" s="67"/>
      <c r="BJ114" s="20"/>
      <c r="BK114" s="67"/>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row>
    <row r="115" spans="1:202" s="2" customFormat="1">
      <c r="A115" s="67" t="s">
        <v>268</v>
      </c>
      <c r="B115" s="28">
        <v>549</v>
      </c>
      <c r="C115" s="67">
        <v>549</v>
      </c>
      <c r="D115" s="67">
        <v>551</v>
      </c>
      <c r="E115" s="67">
        <v>556</v>
      </c>
      <c r="F115" s="67">
        <v>560</v>
      </c>
      <c r="G115" s="28">
        <v>560</v>
      </c>
      <c r="H115" s="67">
        <v>560</v>
      </c>
      <c r="I115" s="67">
        <v>562</v>
      </c>
      <c r="J115" s="67">
        <v>567</v>
      </c>
      <c r="K115" s="68">
        <v>571</v>
      </c>
      <c r="L115" s="27">
        <v>571</v>
      </c>
      <c r="M115" s="67">
        <v>571</v>
      </c>
      <c r="N115" s="67">
        <v>573</v>
      </c>
      <c r="O115" s="67">
        <v>575</v>
      </c>
      <c r="P115" s="68">
        <v>578</v>
      </c>
      <c r="Q115" s="27">
        <v>578</v>
      </c>
      <c r="R115" s="67">
        <v>580</v>
      </c>
      <c r="S115" s="67">
        <v>581</v>
      </c>
      <c r="T115" s="67">
        <v>585</v>
      </c>
      <c r="U115" s="68">
        <v>586</v>
      </c>
      <c r="V115" s="27">
        <v>586</v>
      </c>
      <c r="W115" s="67">
        <v>585</v>
      </c>
      <c r="X115" s="67">
        <v>582</v>
      </c>
      <c r="Y115" s="67">
        <v>581</v>
      </c>
      <c r="Z115" s="68">
        <v>578</v>
      </c>
      <c r="AA115" s="27">
        <v>578</v>
      </c>
      <c r="AB115" s="67">
        <v>578</v>
      </c>
      <c r="AC115" s="67">
        <v>583</v>
      </c>
      <c r="AD115" s="67">
        <v>593</v>
      </c>
      <c r="AE115" s="68">
        <v>600</v>
      </c>
      <c r="AF115" s="27">
        <v>600</v>
      </c>
      <c r="AG115" s="67">
        <v>605</v>
      </c>
      <c r="AH115" s="67">
        <v>611</v>
      </c>
      <c r="AI115" s="67">
        <v>622</v>
      </c>
      <c r="AJ115" s="68">
        <v>630</v>
      </c>
      <c r="AK115" s="27">
        <v>630</v>
      </c>
      <c r="AL115" s="67">
        <v>632</v>
      </c>
      <c r="AM115" s="67">
        <v>636</v>
      </c>
      <c r="AN115" s="67">
        <v>637</v>
      </c>
      <c r="AO115" s="68">
        <v>635</v>
      </c>
      <c r="AP115" s="27">
        <v>635</v>
      </c>
      <c r="AQ115" s="67">
        <v>629</v>
      </c>
      <c r="AR115" s="67">
        <v>623</v>
      </c>
      <c r="AS115" s="67">
        <v>618</v>
      </c>
      <c r="AT115" s="68">
        <v>614</v>
      </c>
      <c r="AU115" s="27">
        <v>614</v>
      </c>
      <c r="AV115" s="67">
        <v>608</v>
      </c>
      <c r="AW115" s="67">
        <v>603</v>
      </c>
      <c r="AX115" s="67">
        <v>597</v>
      </c>
      <c r="AY115" s="68">
        <v>587</v>
      </c>
      <c r="AZ115" s="27">
        <v>587</v>
      </c>
      <c r="BA115" s="67">
        <v>580</v>
      </c>
      <c r="BB115" s="35">
        <v>582</v>
      </c>
      <c r="BC115" s="35">
        <v>584</v>
      </c>
      <c r="BD115" s="143">
        <f>BE115</f>
        <v>574</v>
      </c>
      <c r="BE115" s="221">
        <v>574</v>
      </c>
      <c r="BF115" s="67">
        <v>568</v>
      </c>
      <c r="BG115" s="35">
        <v>565</v>
      </c>
      <c r="BH115" s="35">
        <v>558</v>
      </c>
      <c r="BI115" s="143">
        <f>BJ115</f>
        <v>555</v>
      </c>
      <c r="BJ115" s="221">
        <v>555</v>
      </c>
      <c r="BK115" s="67">
        <v>556</v>
      </c>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c r="EZ115" s="35"/>
      <c r="FA115" s="35"/>
      <c r="FB115" s="35"/>
      <c r="FC115" s="35"/>
      <c r="FD115" s="35"/>
      <c r="FE115" s="35"/>
      <c r="FF115" s="35"/>
      <c r="FG115" s="35"/>
      <c r="FH115" s="35"/>
      <c r="FI115" s="35"/>
      <c r="FJ115" s="35"/>
      <c r="FK115" s="35"/>
      <c r="FL115" s="35"/>
      <c r="FM115" s="35"/>
      <c r="FN115" s="35"/>
      <c r="FO115" s="35"/>
      <c r="FP115" s="35"/>
      <c r="FQ115" s="35"/>
      <c r="FR115" s="35"/>
      <c r="FS115" s="35"/>
      <c r="FT115" s="35"/>
      <c r="FU115" s="35"/>
      <c r="FV115" s="35"/>
      <c r="FW115" s="35"/>
      <c r="FX115" s="35"/>
      <c r="FY115" s="35"/>
      <c r="FZ115" s="35"/>
      <c r="GA115" s="35"/>
      <c r="GB115" s="35"/>
      <c r="GC115" s="35"/>
      <c r="GD115" s="35"/>
      <c r="GE115" s="35"/>
      <c r="GF115" s="35"/>
      <c r="GG115" s="35"/>
      <c r="GH115" s="35"/>
      <c r="GI115" s="35"/>
      <c r="GJ115" s="35"/>
      <c r="GK115" s="35"/>
      <c r="GL115" s="35"/>
      <c r="GM115" s="35"/>
      <c r="GN115" s="35"/>
      <c r="GO115" s="35"/>
      <c r="GP115" s="35"/>
      <c r="GQ115" s="35"/>
      <c r="GR115" s="35"/>
      <c r="GS115" s="35"/>
      <c r="GT115" s="35"/>
    </row>
    <row r="116" spans="1:202">
      <c r="A116" s="69" t="s">
        <v>7</v>
      </c>
      <c r="B116" s="23"/>
      <c r="C116" s="70"/>
      <c r="D116" s="70">
        <f>D115/C115-1</f>
        <v>3.6429872495447047E-3</v>
      </c>
      <c r="E116" s="70">
        <f>E115/D115-1</f>
        <v>9.0744101633393193E-3</v>
      </c>
      <c r="F116" s="70">
        <f>F115/E115-1</f>
        <v>7.194244604316502E-3</v>
      </c>
      <c r="G116" s="23"/>
      <c r="H116" s="70">
        <f>H115/F115-1</f>
        <v>0</v>
      </c>
      <c r="I116" s="70">
        <f>I115/H115-1</f>
        <v>3.5714285714285587E-3</v>
      </c>
      <c r="J116" s="70">
        <f>J115/I115-1</f>
        <v>8.8967971530249379E-3</v>
      </c>
      <c r="K116" s="70">
        <f>K115/J115-1</f>
        <v>7.0546737213403876E-3</v>
      </c>
      <c r="L116" s="26"/>
      <c r="M116" s="70">
        <f>M115/K115-1</f>
        <v>0</v>
      </c>
      <c r="N116" s="70">
        <f>N115/M115-1</f>
        <v>3.5026269702276291E-3</v>
      </c>
      <c r="O116" s="70">
        <f>O115/N115-1</f>
        <v>3.4904013961605251E-3</v>
      </c>
      <c r="P116" s="70">
        <f>P115/O115-1</f>
        <v>5.2173913043478404E-3</v>
      </c>
      <c r="Q116" s="26"/>
      <c r="R116" s="70">
        <f>R115/P115-1</f>
        <v>3.4602076124568004E-3</v>
      </c>
      <c r="S116" s="70">
        <f>S115/R115-1</f>
        <v>1.7241379310344307E-3</v>
      </c>
      <c r="T116" s="70">
        <f>T115/S115-1</f>
        <v>6.8846815834766595E-3</v>
      </c>
      <c r="U116" s="70">
        <f>U115/T115-1</f>
        <v>1.7094017094017033E-3</v>
      </c>
      <c r="V116" s="26"/>
      <c r="W116" s="70">
        <f>W115/U115-1</f>
        <v>-1.7064846416382506E-3</v>
      </c>
      <c r="X116" s="70">
        <f>X115/W115-1</f>
        <v>-5.12820512820511E-3</v>
      </c>
      <c r="Y116" s="70">
        <f>Y115/X115-1</f>
        <v>-1.7182130584192379E-3</v>
      </c>
      <c r="Z116" s="70">
        <f>Z115/Y115-1</f>
        <v>-5.1635111876076056E-3</v>
      </c>
      <c r="AA116" s="26"/>
      <c r="AB116" s="70">
        <f>AB115/Z115-1</f>
        <v>0</v>
      </c>
      <c r="AC116" s="70">
        <f>AC115/AB115-1</f>
        <v>8.65051903114189E-3</v>
      </c>
      <c r="AD116" s="70">
        <f>AD115/AC115-1</f>
        <v>1.7152658662092701E-2</v>
      </c>
      <c r="AE116" s="70">
        <f>AE115/AD115-1</f>
        <v>1.180438448566612E-2</v>
      </c>
      <c r="AF116" s="26"/>
      <c r="AG116" s="70">
        <f>AG115/AE115-1</f>
        <v>8.3333333333333037E-3</v>
      </c>
      <c r="AH116" s="70">
        <f>AH115/AG115-1</f>
        <v>9.917355371900749E-3</v>
      </c>
      <c r="AI116" s="70">
        <f>AI115/AH115-1</f>
        <v>1.8003273322422242E-2</v>
      </c>
      <c r="AJ116" s="70">
        <f>AJ115/AI115-1</f>
        <v>1.2861736334405238E-2</v>
      </c>
      <c r="AK116" s="26"/>
      <c r="AL116" s="70">
        <f>AL115/AJ115-1</f>
        <v>3.1746031746031633E-3</v>
      </c>
      <c r="AM116" s="70">
        <f>AM115/AL115-1</f>
        <v>6.3291139240506666E-3</v>
      </c>
      <c r="AN116" s="70">
        <f>AN115/AM115-1</f>
        <v>1.5723270440251014E-3</v>
      </c>
      <c r="AO116" s="70">
        <f>AO115/AN115-1</f>
        <v>-3.1397174254317317E-3</v>
      </c>
      <c r="AP116" s="26"/>
      <c r="AQ116" s="70">
        <f>AQ115/AO115-1</f>
        <v>-9.4488188976378229E-3</v>
      </c>
      <c r="AR116" s="70">
        <f>AR115/AQ115-1</f>
        <v>-9.5389507154213238E-3</v>
      </c>
      <c r="AS116" s="70">
        <f>AS115/AR115-1</f>
        <v>-8.0256821829856051E-3</v>
      </c>
      <c r="AT116" s="70">
        <f>AT115/AS115-1</f>
        <v>-6.4724919093851474E-3</v>
      </c>
      <c r="AU116" s="26"/>
      <c r="AV116" s="70">
        <f>AV115/AT115-1</f>
        <v>-9.7719869706840434E-3</v>
      </c>
      <c r="AW116" s="70">
        <f>AW115/AV115-1</f>
        <v>-8.2236842105263275E-3</v>
      </c>
      <c r="AX116" s="70">
        <f>AX115/AW115-1</f>
        <v>-9.9502487562188602E-3</v>
      </c>
      <c r="AY116" s="70">
        <f>AY115/AX115-1</f>
        <v>-1.675041876046901E-2</v>
      </c>
      <c r="AZ116" s="26"/>
      <c r="BA116" s="70">
        <f>BA115/AY115-1</f>
        <v>-1.1925042589437829E-2</v>
      </c>
      <c r="BB116" s="161">
        <f>BB115/BA115-1</f>
        <v>3.4482758620688614E-3</v>
      </c>
      <c r="BC116" s="161">
        <f>BC115/BB115-1</f>
        <v>3.4364261168384758E-3</v>
      </c>
      <c r="BD116" s="161">
        <f>BD115/BC115-1</f>
        <v>-1.7123287671232834E-2</v>
      </c>
      <c r="BE116" s="26"/>
      <c r="BF116" s="70">
        <f>BF115/BD115-1</f>
        <v>-1.0452961672473893E-2</v>
      </c>
      <c r="BG116" s="161">
        <f>BG115/BF115-1</f>
        <v>-5.2816901408451189E-3</v>
      </c>
      <c r="BH116" s="161">
        <f>BH115/BG115-1</f>
        <v>-1.2389380530973493E-2</v>
      </c>
      <c r="BI116" s="161">
        <f>BI115/BH115-1</f>
        <v>-5.3763440860215006E-3</v>
      </c>
      <c r="BJ116" s="26"/>
      <c r="BK116" s="70">
        <f>BK115/BI115-1</f>
        <v>1.8018018018017834E-3</v>
      </c>
    </row>
    <row r="117" spans="1:202">
      <c r="A117" s="69" t="s">
        <v>8</v>
      </c>
      <c r="B117" s="23"/>
      <c r="C117" s="71"/>
      <c r="D117" s="71"/>
      <c r="E117" s="71"/>
      <c r="F117" s="71"/>
      <c r="G117" s="23">
        <f t="shared" ref="G117:N117" si="213">G115/B115-1</f>
        <v>2.0036429872495543E-2</v>
      </c>
      <c r="H117" s="71">
        <f t="shared" si="213"/>
        <v>2.0036429872495543E-2</v>
      </c>
      <c r="I117" s="71">
        <f t="shared" si="213"/>
        <v>1.9963702359346636E-2</v>
      </c>
      <c r="J117" s="71">
        <f t="shared" si="213"/>
        <v>1.9784172661870603E-2</v>
      </c>
      <c r="K117" s="70">
        <f t="shared" si="213"/>
        <v>1.9642857142857073E-2</v>
      </c>
      <c r="L117" s="23">
        <f t="shared" si="213"/>
        <v>1.9642857142857073E-2</v>
      </c>
      <c r="M117" s="71">
        <f t="shared" si="213"/>
        <v>1.9642857142857073E-2</v>
      </c>
      <c r="N117" s="71">
        <f t="shared" si="213"/>
        <v>1.9572953736654908E-2</v>
      </c>
      <c r="O117" s="71">
        <f t="shared" ref="O117:Y117" si="214">O115/J115-1</f>
        <v>1.4109347442680775E-2</v>
      </c>
      <c r="P117" s="70">
        <f t="shared" si="214"/>
        <v>1.2259194395796813E-2</v>
      </c>
      <c r="Q117" s="23">
        <f t="shared" si="214"/>
        <v>1.2259194395796813E-2</v>
      </c>
      <c r="R117" s="71">
        <f t="shared" si="214"/>
        <v>1.5761821366024442E-2</v>
      </c>
      <c r="S117" s="71">
        <f t="shared" si="214"/>
        <v>1.3961605584642323E-2</v>
      </c>
      <c r="T117" s="71">
        <f t="shared" si="214"/>
        <v>1.7391304347825987E-2</v>
      </c>
      <c r="U117" s="70">
        <f t="shared" si="214"/>
        <v>1.384083044982698E-2</v>
      </c>
      <c r="V117" s="23">
        <f t="shared" si="214"/>
        <v>1.384083044982698E-2</v>
      </c>
      <c r="W117" s="71">
        <f t="shared" si="214"/>
        <v>8.6206896551723755E-3</v>
      </c>
      <c r="X117" s="71">
        <f t="shared" si="214"/>
        <v>1.7211703958692759E-3</v>
      </c>
      <c r="Y117" s="71">
        <f t="shared" si="214"/>
        <v>-6.8376068376068133E-3</v>
      </c>
      <c r="Z117" s="70">
        <f t="shared" ref="Z117:AI117" si="215">Z115/U115-1</f>
        <v>-1.3651877133105783E-2</v>
      </c>
      <c r="AA117" s="23">
        <f t="shared" si="215"/>
        <v>-1.3651877133105783E-2</v>
      </c>
      <c r="AB117" s="71">
        <f t="shared" si="215"/>
        <v>-1.1965811965811923E-2</v>
      </c>
      <c r="AC117" s="71">
        <f t="shared" si="215"/>
        <v>1.7182130584192379E-3</v>
      </c>
      <c r="AD117" s="71">
        <f t="shared" si="215"/>
        <v>2.06540447504302E-2</v>
      </c>
      <c r="AE117" s="70">
        <f t="shared" si="215"/>
        <v>3.8062283737024138E-2</v>
      </c>
      <c r="AF117" s="23">
        <f t="shared" si="215"/>
        <v>3.8062283737024138E-2</v>
      </c>
      <c r="AG117" s="71">
        <f t="shared" si="215"/>
        <v>4.6712802768166028E-2</v>
      </c>
      <c r="AH117" s="71">
        <f t="shared" si="215"/>
        <v>4.8027444253859297E-2</v>
      </c>
      <c r="AI117" s="71">
        <f t="shared" si="215"/>
        <v>4.8903878583473892E-2</v>
      </c>
      <c r="AJ117" s="70">
        <f t="shared" ref="AJ117:AS117" si="216">AJ115/AE115-1</f>
        <v>5.0000000000000044E-2</v>
      </c>
      <c r="AK117" s="23">
        <f t="shared" si="216"/>
        <v>5.0000000000000044E-2</v>
      </c>
      <c r="AL117" s="71">
        <f t="shared" si="216"/>
        <v>4.4628099173553704E-2</v>
      </c>
      <c r="AM117" s="71">
        <f t="shared" si="216"/>
        <v>4.0916530278232388E-2</v>
      </c>
      <c r="AN117" s="71">
        <f t="shared" si="216"/>
        <v>2.4115755627009738E-2</v>
      </c>
      <c r="AO117" s="70">
        <f t="shared" si="216"/>
        <v>7.9365079365079083E-3</v>
      </c>
      <c r="AP117" s="23">
        <f t="shared" si="216"/>
        <v>7.9365079365079083E-3</v>
      </c>
      <c r="AQ117" s="71">
        <f t="shared" si="216"/>
        <v>-4.746835443038E-3</v>
      </c>
      <c r="AR117" s="71">
        <f t="shared" si="216"/>
        <v>-2.0440251572327095E-2</v>
      </c>
      <c r="AS117" s="71">
        <f t="shared" si="216"/>
        <v>-2.9827315541601229E-2</v>
      </c>
      <c r="AT117" s="70">
        <f t="shared" ref="AT117" si="217">AT115/AO115-1</f>
        <v>-3.3070866141732269E-2</v>
      </c>
      <c r="AU117" s="23">
        <f t="shared" ref="AU117:AX117" si="218">AU115/AP115-1</f>
        <v>-3.3070866141732269E-2</v>
      </c>
      <c r="AV117" s="71">
        <f t="shared" si="218"/>
        <v>-3.3386327503974522E-2</v>
      </c>
      <c r="AW117" s="71">
        <f t="shared" si="218"/>
        <v>-3.2102728731942198E-2</v>
      </c>
      <c r="AX117" s="71">
        <f t="shared" si="218"/>
        <v>-3.398058252427183E-2</v>
      </c>
      <c r="AY117" s="70">
        <f t="shared" ref="AY117" si="219">AY115/AT115-1</f>
        <v>-4.3973941368078195E-2</v>
      </c>
      <c r="AZ117" s="23">
        <f t="shared" ref="AZ117:BC117" si="220">AZ115/AU115-1</f>
        <v>-4.3973941368078195E-2</v>
      </c>
      <c r="BA117" s="71">
        <f t="shared" si="220"/>
        <v>-4.6052631578947345E-2</v>
      </c>
      <c r="BB117" s="160">
        <f t="shared" si="220"/>
        <v>-3.4825870646766122E-2</v>
      </c>
      <c r="BC117" s="160">
        <f t="shared" si="220"/>
        <v>-2.1775544388609736E-2</v>
      </c>
      <c r="BD117" s="161">
        <f t="shared" ref="BD117" si="221">BD115/AY115-1</f>
        <v>-2.2146507666098825E-2</v>
      </c>
      <c r="BE117" s="23">
        <f t="shared" ref="BE117:BH117" si="222">BE115/AZ115-1</f>
        <v>-2.2146507666098825E-2</v>
      </c>
      <c r="BF117" s="71">
        <f t="shared" si="222"/>
        <v>-2.0689655172413834E-2</v>
      </c>
      <c r="BG117" s="160">
        <f t="shared" si="222"/>
        <v>-2.9209621993127155E-2</v>
      </c>
      <c r="BH117" s="160">
        <f t="shared" si="222"/>
        <v>-4.4520547945205435E-2</v>
      </c>
      <c r="BI117" s="161">
        <f t="shared" ref="BI117" si="223">BI115/BD115-1</f>
        <v>-3.3101045296167197E-2</v>
      </c>
      <c r="BJ117" s="23">
        <f t="shared" ref="BJ117:BK117" si="224">BJ115/BE115-1</f>
        <v>-3.3101045296167197E-2</v>
      </c>
      <c r="BK117" s="71">
        <f t="shared" si="224"/>
        <v>-2.1126760563380254E-2</v>
      </c>
    </row>
    <row r="118" spans="1:202" ht="11.65" customHeight="1">
      <c r="A118" s="69" t="s">
        <v>195</v>
      </c>
      <c r="B118" s="23"/>
      <c r="C118" s="71"/>
      <c r="D118" s="71"/>
      <c r="E118" s="71"/>
      <c r="F118" s="71"/>
      <c r="G118" s="23"/>
      <c r="H118" s="71"/>
      <c r="I118" s="71"/>
      <c r="J118" s="71"/>
      <c r="K118" s="70"/>
      <c r="L118" s="23"/>
      <c r="M118" s="71"/>
      <c r="N118" s="71"/>
      <c r="O118" s="71"/>
      <c r="P118" s="70"/>
      <c r="Q118" s="23"/>
      <c r="R118" s="71"/>
      <c r="S118" s="71"/>
      <c r="T118" s="71"/>
      <c r="U118" s="70"/>
      <c r="V118" s="23"/>
      <c r="W118" s="71"/>
      <c r="X118" s="71"/>
      <c r="Y118" s="71"/>
      <c r="Z118" s="70"/>
      <c r="AA118" s="23"/>
      <c r="AB118" s="71"/>
      <c r="AC118" s="71"/>
      <c r="AD118" s="71"/>
      <c r="AE118" s="70"/>
      <c r="AF118" s="23"/>
      <c r="AG118" s="71"/>
      <c r="AH118" s="71"/>
      <c r="AI118" s="71"/>
      <c r="AJ118" s="70"/>
      <c r="AK118" s="23"/>
      <c r="AL118" s="71"/>
      <c r="AM118" s="193">
        <f>AM115-AL115</f>
        <v>4</v>
      </c>
      <c r="AN118" s="193">
        <f t="shared" ref="AN118:AO118" si="225">AN115-AM115</f>
        <v>1</v>
      </c>
      <c r="AO118" s="193">
        <f t="shared" si="225"/>
        <v>-2</v>
      </c>
      <c r="AP118" s="194"/>
      <c r="AQ118" s="195">
        <f>AQ115-AO115</f>
        <v>-6</v>
      </c>
      <c r="AR118" s="195">
        <f>AR115-AQ115</f>
        <v>-6</v>
      </c>
      <c r="AS118" s="195">
        <f t="shared" ref="AS118:AT118" si="226">AS115-AR115</f>
        <v>-5</v>
      </c>
      <c r="AT118" s="195">
        <f t="shared" si="226"/>
        <v>-4</v>
      </c>
      <c r="AU118" s="196">
        <f>AU115-AP115</f>
        <v>-21</v>
      </c>
      <c r="AV118" s="195">
        <f>AV115-AT115</f>
        <v>-6</v>
      </c>
      <c r="AW118" s="195">
        <f>AW115-AV115</f>
        <v>-5</v>
      </c>
      <c r="AX118" s="195">
        <f>AX115-AW115</f>
        <v>-6</v>
      </c>
      <c r="AY118" s="195">
        <f t="shared" ref="AY118" si="227">AY115-AX115</f>
        <v>-10</v>
      </c>
      <c r="AZ118" s="196">
        <f>AZ115-AU115</f>
        <v>-27</v>
      </c>
      <c r="BA118" s="195">
        <f>BA115-AY115</f>
        <v>-7</v>
      </c>
      <c r="BB118" s="195">
        <f>BB115-BA115</f>
        <v>2</v>
      </c>
      <c r="BC118" s="195">
        <f>BC115-BB115</f>
        <v>2</v>
      </c>
      <c r="BD118" s="195">
        <f t="shared" ref="BD118" si="228">BD115-BC115</f>
        <v>-10</v>
      </c>
      <c r="BE118" s="196">
        <f>BE115-AZ115</f>
        <v>-13</v>
      </c>
      <c r="BF118" s="195">
        <f>BF115-BD115</f>
        <v>-6</v>
      </c>
      <c r="BG118" s="195">
        <f>BG115-BF115</f>
        <v>-3</v>
      </c>
      <c r="BH118" s="195">
        <f>BH115-BG115</f>
        <v>-7</v>
      </c>
      <c r="BI118" s="195">
        <f t="shared" ref="BI118" si="229">BI115-BH115</f>
        <v>-3</v>
      </c>
      <c r="BJ118" s="196">
        <f>BJ115-BE115</f>
        <v>-19</v>
      </c>
      <c r="BK118" s="195">
        <f>BK115-BI115</f>
        <v>1</v>
      </c>
    </row>
    <row r="119" spans="1:202" ht="8.25" customHeight="1">
      <c r="A119" s="69"/>
      <c r="B119" s="23"/>
      <c r="C119" s="71"/>
      <c r="D119" s="71"/>
      <c r="E119" s="71"/>
      <c r="F119" s="71"/>
      <c r="G119" s="23"/>
      <c r="H119" s="71"/>
      <c r="I119" s="71"/>
      <c r="J119" s="71"/>
      <c r="K119" s="70"/>
      <c r="L119" s="23"/>
      <c r="M119" s="71"/>
      <c r="N119" s="71"/>
      <c r="O119" s="71"/>
      <c r="P119" s="70"/>
      <c r="Q119" s="23"/>
      <c r="R119" s="71"/>
      <c r="S119" s="71"/>
      <c r="T119" s="71"/>
      <c r="U119" s="70"/>
      <c r="V119" s="23"/>
      <c r="W119" s="71"/>
      <c r="X119" s="71"/>
      <c r="Y119" s="71"/>
      <c r="Z119" s="70"/>
      <c r="AA119" s="23"/>
      <c r="AB119" s="71"/>
      <c r="AC119" s="71"/>
      <c r="AD119" s="71"/>
      <c r="AE119" s="70"/>
      <c r="AF119" s="23"/>
      <c r="AG119" s="71"/>
      <c r="AH119" s="71"/>
      <c r="AI119" s="71"/>
      <c r="AJ119" s="70"/>
      <c r="AK119" s="23"/>
      <c r="AL119" s="71"/>
      <c r="AM119" s="81"/>
      <c r="AN119" s="81"/>
      <c r="AO119" s="70"/>
      <c r="AP119" s="23"/>
      <c r="AQ119" s="71"/>
      <c r="AR119" s="81"/>
      <c r="AS119" s="81"/>
      <c r="AT119" s="70"/>
      <c r="AU119" s="23"/>
      <c r="AV119" s="71"/>
      <c r="AW119" s="71"/>
      <c r="AX119" s="71"/>
      <c r="AY119" s="70"/>
      <c r="AZ119" s="23"/>
      <c r="BA119" s="71"/>
      <c r="BB119" s="160"/>
      <c r="BC119" s="160"/>
      <c r="BD119" s="161"/>
      <c r="BE119" s="23"/>
      <c r="BF119" s="71"/>
      <c r="BG119" s="160"/>
      <c r="BH119" s="160"/>
      <c r="BI119" s="161"/>
      <c r="BJ119" s="23"/>
      <c r="BK119" s="71"/>
    </row>
    <row r="120" spans="1:202">
      <c r="A120" s="67" t="s">
        <v>70</v>
      </c>
      <c r="B120" s="37">
        <v>217</v>
      </c>
      <c r="C120" s="67">
        <v>231</v>
      </c>
      <c r="D120" s="67">
        <v>230</v>
      </c>
      <c r="E120" s="67">
        <v>226</v>
      </c>
      <c r="F120" s="67">
        <v>225</v>
      </c>
      <c r="G120" s="37">
        <v>228</v>
      </c>
      <c r="H120" s="67">
        <v>228</v>
      </c>
      <c r="I120" s="67">
        <v>224</v>
      </c>
      <c r="J120" s="67">
        <v>224</v>
      </c>
      <c r="K120" s="68">
        <v>229</v>
      </c>
      <c r="L120" s="27">
        <v>226</v>
      </c>
      <c r="M120" s="67">
        <v>229</v>
      </c>
      <c r="N120" s="67">
        <v>231</v>
      </c>
      <c r="O120" s="67">
        <v>229</v>
      </c>
      <c r="P120" s="68">
        <v>231</v>
      </c>
      <c r="Q120" s="27">
        <v>230</v>
      </c>
      <c r="R120" s="67">
        <v>234</v>
      </c>
      <c r="S120" s="67">
        <v>232</v>
      </c>
      <c r="T120" s="67">
        <v>232</v>
      </c>
      <c r="U120" s="68">
        <v>229</v>
      </c>
      <c r="V120" s="27">
        <v>232</v>
      </c>
      <c r="W120" s="67">
        <v>237</v>
      </c>
      <c r="X120" s="67">
        <v>234</v>
      </c>
      <c r="Y120" s="67">
        <v>231</v>
      </c>
      <c r="Z120" s="68">
        <v>234</v>
      </c>
      <c r="AA120" s="27">
        <v>234</v>
      </c>
      <c r="AB120" s="67">
        <v>233</v>
      </c>
      <c r="AC120" s="67">
        <v>232</v>
      </c>
      <c r="AD120" s="67">
        <v>233</v>
      </c>
      <c r="AE120" s="68">
        <v>233</v>
      </c>
      <c r="AF120" s="27">
        <v>233</v>
      </c>
      <c r="AG120" s="67">
        <v>234</v>
      </c>
      <c r="AH120" s="67">
        <v>234</v>
      </c>
      <c r="AI120" s="67">
        <v>234</v>
      </c>
      <c r="AJ120" s="68">
        <v>234</v>
      </c>
      <c r="AK120" s="27">
        <v>234</v>
      </c>
      <c r="AL120" s="67">
        <v>232</v>
      </c>
      <c r="AM120" s="67">
        <v>231</v>
      </c>
      <c r="AN120" s="67">
        <v>233</v>
      </c>
      <c r="AO120" s="68">
        <v>235</v>
      </c>
      <c r="AP120" s="27">
        <v>233</v>
      </c>
      <c r="AQ120" s="67">
        <v>231</v>
      </c>
      <c r="AR120" s="67">
        <v>231</v>
      </c>
      <c r="AS120" s="67">
        <v>233</v>
      </c>
      <c r="AT120" s="68">
        <v>237</v>
      </c>
      <c r="AU120" s="27">
        <v>233</v>
      </c>
      <c r="AV120" s="67">
        <v>232</v>
      </c>
      <c r="AW120" s="67">
        <v>229</v>
      </c>
      <c r="AX120" s="67">
        <v>226</v>
      </c>
      <c r="AY120" s="68">
        <v>226</v>
      </c>
      <c r="AZ120" s="27">
        <v>228</v>
      </c>
      <c r="BA120" s="67">
        <v>214</v>
      </c>
      <c r="BB120" s="35">
        <v>215</v>
      </c>
      <c r="BC120" s="35">
        <v>210</v>
      </c>
      <c r="BD120" s="143">
        <v>206</v>
      </c>
      <c r="BE120" s="221">
        <v>211</v>
      </c>
      <c r="BF120" s="67">
        <v>200</v>
      </c>
      <c r="BG120" s="35">
        <v>197</v>
      </c>
      <c r="BH120" s="35">
        <v>195</v>
      </c>
      <c r="BI120" s="143">
        <v>195</v>
      </c>
      <c r="BJ120" s="221">
        <v>197</v>
      </c>
      <c r="BK120" s="67">
        <v>195</v>
      </c>
    </row>
    <row r="121" spans="1:202" ht="10.5" customHeight="1">
      <c r="A121" s="69" t="s">
        <v>7</v>
      </c>
      <c r="B121" s="23"/>
      <c r="C121" s="70"/>
      <c r="D121" s="70">
        <f>D120/C120-1</f>
        <v>-4.3290043290042934E-3</v>
      </c>
      <c r="E121" s="70">
        <f>E120/D120-1</f>
        <v>-1.7391304347826098E-2</v>
      </c>
      <c r="F121" s="70">
        <f>F120/E120-1</f>
        <v>-4.4247787610619538E-3</v>
      </c>
      <c r="G121" s="23"/>
      <c r="H121" s="70">
        <f>H120/F120-1</f>
        <v>1.3333333333333419E-2</v>
      </c>
      <c r="I121" s="70">
        <f>I120/H120-1</f>
        <v>-1.7543859649122862E-2</v>
      </c>
      <c r="J121" s="70">
        <f>J120/I120-1</f>
        <v>0</v>
      </c>
      <c r="K121" s="70">
        <f>K120/J120-1</f>
        <v>2.2321428571428603E-2</v>
      </c>
      <c r="L121" s="26"/>
      <c r="M121" s="70">
        <f>M120/K120-1</f>
        <v>0</v>
      </c>
      <c r="N121" s="70">
        <f>N120/M120-1</f>
        <v>8.733624454148492E-3</v>
      </c>
      <c r="O121" s="70">
        <f>O120/N120-1</f>
        <v>-8.6580086580086979E-3</v>
      </c>
      <c r="P121" s="70">
        <f>P120/O120-1</f>
        <v>8.733624454148492E-3</v>
      </c>
      <c r="Q121" s="26"/>
      <c r="R121" s="70">
        <f>R120/P120-1</f>
        <v>1.298701298701288E-2</v>
      </c>
      <c r="S121" s="70">
        <f>S120/R120-1</f>
        <v>-8.5470085470085166E-3</v>
      </c>
      <c r="T121" s="70">
        <f>T120/S120-1</f>
        <v>0</v>
      </c>
      <c r="U121" s="70">
        <f>U120/T120-1</f>
        <v>-1.2931034482758674E-2</v>
      </c>
      <c r="V121" s="26"/>
      <c r="W121" s="70">
        <f>W120/U120-1</f>
        <v>3.4934497816593968E-2</v>
      </c>
      <c r="X121" s="70">
        <f>X120/W120-1</f>
        <v>-1.2658227848101222E-2</v>
      </c>
      <c r="Y121" s="70">
        <f>Y120/X120-1</f>
        <v>-1.2820512820512775E-2</v>
      </c>
      <c r="Z121" s="70">
        <f>Z120/Y120-1</f>
        <v>1.298701298701288E-2</v>
      </c>
      <c r="AA121" s="26"/>
      <c r="AB121" s="70">
        <f>AB120/Z120-1</f>
        <v>-4.2735042735042583E-3</v>
      </c>
      <c r="AC121" s="70">
        <f>AC120/AB120-1</f>
        <v>-4.2918454935622075E-3</v>
      </c>
      <c r="AD121" s="70">
        <f>AD120/AC120-1</f>
        <v>4.3103448275862988E-3</v>
      </c>
      <c r="AE121" s="70">
        <f>AE120/AD120-1</f>
        <v>0</v>
      </c>
      <c r="AF121" s="26"/>
      <c r="AG121" s="70">
        <f>AG120/AE120-1</f>
        <v>4.2918454935623185E-3</v>
      </c>
      <c r="AH121" s="70">
        <f>AH120/AG120-1</f>
        <v>0</v>
      </c>
      <c r="AI121" s="70">
        <f>AI120/AH120-1</f>
        <v>0</v>
      </c>
      <c r="AJ121" s="70">
        <f>AJ120/AI120-1</f>
        <v>0</v>
      </c>
      <c r="AK121" s="26"/>
      <c r="AL121" s="70">
        <f>AL120/AJ120-1</f>
        <v>-8.5470085470085166E-3</v>
      </c>
      <c r="AM121" s="70">
        <f>AM120/AL120-1</f>
        <v>-4.3103448275861878E-3</v>
      </c>
      <c r="AN121" s="70">
        <f>AN120/AM120-1</f>
        <v>8.6580086580085869E-3</v>
      </c>
      <c r="AO121" s="70">
        <f>AO120/AN120-1</f>
        <v>8.5836909871244149E-3</v>
      </c>
      <c r="AP121" s="26"/>
      <c r="AQ121" s="70">
        <f>AQ120/AO120-1</f>
        <v>-1.7021276595744705E-2</v>
      </c>
      <c r="AR121" s="70">
        <f>AR120/AQ120-1</f>
        <v>0</v>
      </c>
      <c r="AS121" s="70">
        <f>AS120/AR120-1</f>
        <v>8.6580086580085869E-3</v>
      </c>
      <c r="AT121" s="70">
        <f>AT120/AS120-1</f>
        <v>1.716738197424883E-2</v>
      </c>
      <c r="AU121" s="26"/>
      <c r="AV121" s="70">
        <f>AV120/AT120-1</f>
        <v>-2.1097046413502074E-2</v>
      </c>
      <c r="AW121" s="70">
        <f>AW120/AV120-1</f>
        <v>-1.2931034482758674E-2</v>
      </c>
      <c r="AX121" s="70">
        <f>AX120/AW120-1</f>
        <v>-1.3100436681222738E-2</v>
      </c>
      <c r="AY121" s="70">
        <f>AY120/AX120-1</f>
        <v>0</v>
      </c>
      <c r="AZ121" s="26"/>
      <c r="BA121" s="70">
        <f>BA120/AY120-1</f>
        <v>-5.3097345132743334E-2</v>
      </c>
      <c r="BB121" s="161">
        <f>BB120/BA120-1</f>
        <v>4.6728971962617383E-3</v>
      </c>
      <c r="BC121" s="161">
        <f>BC120/BB120-1</f>
        <v>-2.3255813953488413E-2</v>
      </c>
      <c r="BD121" s="161">
        <f>BD120/BC120-1</f>
        <v>-1.9047619047619091E-2</v>
      </c>
      <c r="BE121" s="26"/>
      <c r="BF121" s="70">
        <f>BF120/BD120-1</f>
        <v>-2.9126213592232997E-2</v>
      </c>
      <c r="BG121" s="161">
        <f>BG120/BF120-1</f>
        <v>-1.5000000000000013E-2</v>
      </c>
      <c r="BH121" s="161">
        <f>BH120/BG120-1</f>
        <v>-1.0152284263959421E-2</v>
      </c>
      <c r="BI121" s="161">
        <f>BI120/BH120-1</f>
        <v>0</v>
      </c>
      <c r="BJ121" s="26"/>
      <c r="BK121" s="70">
        <f>BK120/BI120-1</f>
        <v>0</v>
      </c>
    </row>
    <row r="122" spans="1:202">
      <c r="A122" s="69" t="s">
        <v>8</v>
      </c>
      <c r="B122" s="23"/>
      <c r="C122" s="71"/>
      <c r="D122" s="71"/>
      <c r="E122" s="71"/>
      <c r="F122" s="71"/>
      <c r="G122" s="23">
        <f t="shared" ref="G122:N122" si="230">G120/B120-1</f>
        <v>5.0691244239631228E-2</v>
      </c>
      <c r="H122" s="71">
        <f t="shared" si="230"/>
        <v>-1.2987012987012991E-2</v>
      </c>
      <c r="I122" s="71">
        <f t="shared" si="230"/>
        <v>-2.6086956521739091E-2</v>
      </c>
      <c r="J122" s="71">
        <f t="shared" si="230"/>
        <v>-8.8495575221239076E-3</v>
      </c>
      <c r="K122" s="70">
        <f t="shared" si="230"/>
        <v>1.777777777777767E-2</v>
      </c>
      <c r="L122" s="23">
        <f t="shared" si="230"/>
        <v>-8.7719298245614308E-3</v>
      </c>
      <c r="M122" s="71">
        <f t="shared" si="230"/>
        <v>4.3859649122806044E-3</v>
      </c>
      <c r="N122" s="71">
        <f t="shared" si="230"/>
        <v>3.125E-2</v>
      </c>
      <c r="O122" s="71">
        <f t="shared" ref="O122:Y122" si="231">O120/J120-1</f>
        <v>2.2321428571428603E-2</v>
      </c>
      <c r="P122" s="70">
        <f t="shared" si="231"/>
        <v>8.733624454148492E-3</v>
      </c>
      <c r="Q122" s="23">
        <f t="shared" si="231"/>
        <v>1.7699115044247815E-2</v>
      </c>
      <c r="R122" s="71">
        <f t="shared" si="231"/>
        <v>2.1834061135371119E-2</v>
      </c>
      <c r="S122" s="71">
        <f t="shared" si="231"/>
        <v>4.3290043290042934E-3</v>
      </c>
      <c r="T122" s="71">
        <f t="shared" si="231"/>
        <v>1.3100436681222627E-2</v>
      </c>
      <c r="U122" s="70">
        <f t="shared" si="231"/>
        <v>-8.6580086580086979E-3</v>
      </c>
      <c r="V122" s="23">
        <f t="shared" si="231"/>
        <v>8.6956521739129933E-3</v>
      </c>
      <c r="W122" s="71">
        <f t="shared" si="231"/>
        <v>1.2820512820512775E-2</v>
      </c>
      <c r="X122" s="71">
        <f t="shared" si="231"/>
        <v>8.6206896551723755E-3</v>
      </c>
      <c r="Y122" s="71">
        <f t="shared" si="231"/>
        <v>-4.3103448275861878E-3</v>
      </c>
      <c r="Z122" s="70">
        <f>Z120/U120-1</f>
        <v>2.1834061135371119E-2</v>
      </c>
      <c r="AA122" s="23">
        <v>0.01</v>
      </c>
      <c r="AB122" s="71">
        <f t="shared" ref="AB122:AI122" si="232">AB120/W120-1</f>
        <v>-1.6877637130801704E-2</v>
      </c>
      <c r="AC122" s="71">
        <f t="shared" si="232"/>
        <v>-8.5470085470085166E-3</v>
      </c>
      <c r="AD122" s="71">
        <f t="shared" si="232"/>
        <v>8.6580086580085869E-3</v>
      </c>
      <c r="AE122" s="70">
        <f t="shared" si="232"/>
        <v>-4.2735042735042583E-3</v>
      </c>
      <c r="AF122" s="23">
        <f t="shared" si="232"/>
        <v>-4.2735042735042583E-3</v>
      </c>
      <c r="AG122" s="71">
        <f t="shared" si="232"/>
        <v>4.2918454935623185E-3</v>
      </c>
      <c r="AH122" s="71">
        <f t="shared" si="232"/>
        <v>8.6206896551723755E-3</v>
      </c>
      <c r="AI122" s="71">
        <f t="shared" si="232"/>
        <v>4.2918454935623185E-3</v>
      </c>
      <c r="AJ122" s="70">
        <f t="shared" ref="AJ122:AS122" si="233">AJ120/AE120-1</f>
        <v>4.2918454935623185E-3</v>
      </c>
      <c r="AK122" s="23">
        <f t="shared" si="233"/>
        <v>4.2918454935623185E-3</v>
      </c>
      <c r="AL122" s="71">
        <f t="shared" si="233"/>
        <v>-8.5470085470085166E-3</v>
      </c>
      <c r="AM122" s="71">
        <f t="shared" si="233"/>
        <v>-1.2820512820512775E-2</v>
      </c>
      <c r="AN122" s="71">
        <f t="shared" si="233"/>
        <v>-4.2735042735042583E-3</v>
      </c>
      <c r="AO122" s="70">
        <f t="shared" si="233"/>
        <v>4.2735042735042583E-3</v>
      </c>
      <c r="AP122" s="23">
        <f t="shared" si="233"/>
        <v>-4.2735042735042583E-3</v>
      </c>
      <c r="AQ122" s="71">
        <f t="shared" si="233"/>
        <v>-4.3103448275861878E-3</v>
      </c>
      <c r="AR122" s="71">
        <f t="shared" si="233"/>
        <v>0</v>
      </c>
      <c r="AS122" s="71">
        <f t="shared" si="233"/>
        <v>0</v>
      </c>
      <c r="AT122" s="70">
        <f t="shared" ref="AT122" si="234">AT120/AO120-1</f>
        <v>8.5106382978723527E-3</v>
      </c>
      <c r="AU122" s="23">
        <f t="shared" ref="AU122:AX122" si="235">AU120/AP120-1</f>
        <v>0</v>
      </c>
      <c r="AV122" s="71">
        <f t="shared" si="235"/>
        <v>4.3290043290042934E-3</v>
      </c>
      <c r="AW122" s="71">
        <f t="shared" si="235"/>
        <v>-8.6580086580086979E-3</v>
      </c>
      <c r="AX122" s="71">
        <f t="shared" si="235"/>
        <v>-3.0042918454935674E-2</v>
      </c>
      <c r="AY122" s="70">
        <f t="shared" ref="AY122" si="236">AY120/AT120-1</f>
        <v>-4.641350210970463E-2</v>
      </c>
      <c r="AZ122" s="23">
        <f t="shared" ref="AZ122:BC122" si="237">AZ120/AU120-1</f>
        <v>-2.1459227467811148E-2</v>
      </c>
      <c r="BA122" s="71">
        <f t="shared" si="237"/>
        <v>-7.7586206896551713E-2</v>
      </c>
      <c r="BB122" s="160">
        <f t="shared" si="237"/>
        <v>-6.1135371179039333E-2</v>
      </c>
      <c r="BC122" s="160">
        <f t="shared" si="237"/>
        <v>-7.0796460176991149E-2</v>
      </c>
      <c r="BD122" s="161">
        <f t="shared" ref="BD122" si="238">BD120/AY120-1</f>
        <v>-8.8495575221238965E-2</v>
      </c>
      <c r="BE122" s="23">
        <f t="shared" ref="BE122:BH122" si="239">BE120/AZ120-1</f>
        <v>-7.456140350877194E-2</v>
      </c>
      <c r="BF122" s="71">
        <f t="shared" si="239"/>
        <v>-6.5420560747663559E-2</v>
      </c>
      <c r="BG122" s="160">
        <f t="shared" si="239"/>
        <v>-8.3720930232558111E-2</v>
      </c>
      <c r="BH122" s="160">
        <f t="shared" si="239"/>
        <v>-7.1428571428571397E-2</v>
      </c>
      <c r="BI122" s="161">
        <f t="shared" ref="BI122" si="240">BI120/BD120-1</f>
        <v>-5.3398058252427161E-2</v>
      </c>
      <c r="BJ122" s="23">
        <f t="shared" ref="BJ122:BK122" si="241">BJ120/BE120-1</f>
        <v>-6.6350710900473953E-2</v>
      </c>
      <c r="BK122" s="71">
        <f t="shared" si="241"/>
        <v>-2.5000000000000022E-2</v>
      </c>
    </row>
    <row r="123" spans="1:202" ht="9.75" customHeight="1">
      <c r="A123" s="69"/>
      <c r="B123" s="23"/>
      <c r="C123" s="71"/>
      <c r="D123" s="71"/>
      <c r="E123" s="71"/>
      <c r="F123" s="71"/>
      <c r="G123" s="23"/>
      <c r="H123" s="71"/>
      <c r="I123" s="71"/>
      <c r="J123" s="71"/>
      <c r="K123" s="70"/>
      <c r="L123" s="23"/>
      <c r="M123" s="71"/>
      <c r="N123" s="71"/>
      <c r="O123" s="71"/>
      <c r="P123" s="70"/>
      <c r="Q123" s="23"/>
      <c r="R123" s="71"/>
      <c r="S123" s="71"/>
      <c r="T123" s="71"/>
      <c r="U123" s="70"/>
      <c r="V123" s="23"/>
      <c r="W123" s="71"/>
      <c r="X123" s="71"/>
      <c r="Y123" s="71"/>
      <c r="Z123" s="70"/>
      <c r="AA123" s="23"/>
      <c r="AB123" s="71"/>
      <c r="AC123" s="71"/>
      <c r="AD123" s="71"/>
      <c r="AE123" s="70"/>
      <c r="AF123" s="23"/>
      <c r="AG123" s="71"/>
      <c r="AH123" s="71"/>
      <c r="AI123" s="71"/>
      <c r="AJ123" s="70"/>
      <c r="AK123" s="23"/>
      <c r="AL123" s="71"/>
      <c r="AM123" s="71"/>
      <c r="AN123" s="71"/>
      <c r="AO123" s="70"/>
      <c r="AP123" s="23"/>
      <c r="AQ123" s="71"/>
      <c r="AR123" s="71"/>
      <c r="AS123" s="71"/>
      <c r="AT123" s="70"/>
      <c r="AU123" s="23"/>
      <c r="AV123" s="71"/>
      <c r="AW123" s="71"/>
      <c r="AX123" s="71"/>
      <c r="AY123" s="70"/>
      <c r="AZ123" s="23"/>
      <c r="BA123" s="71"/>
      <c r="BB123" s="160"/>
      <c r="BC123" s="160"/>
      <c r="BD123" s="161"/>
      <c r="BE123" s="23"/>
      <c r="BF123" s="71"/>
      <c r="BG123" s="160"/>
      <c r="BH123" s="160"/>
      <c r="BI123" s="161"/>
      <c r="BJ123" s="23"/>
      <c r="BK123" s="71"/>
    </row>
    <row r="124" spans="1:202">
      <c r="A124" s="67" t="s">
        <v>152</v>
      </c>
      <c r="B124" s="95" t="s">
        <v>48</v>
      </c>
      <c r="C124" s="78" t="s">
        <v>48</v>
      </c>
      <c r="D124" s="78" t="s">
        <v>48</v>
      </c>
      <c r="E124" s="78" t="s">
        <v>48</v>
      </c>
      <c r="F124" s="78" t="s">
        <v>48</v>
      </c>
      <c r="G124" s="95" t="s">
        <v>48</v>
      </c>
      <c r="H124" s="88">
        <v>3.6999999999999998E-2</v>
      </c>
      <c r="I124" s="88">
        <v>3.1E-2</v>
      </c>
      <c r="J124" s="88">
        <v>3.3000000000000002E-2</v>
      </c>
      <c r="K124" s="88">
        <v>3.2000000000000001E-2</v>
      </c>
      <c r="L124" s="38">
        <v>0.13300000000000001</v>
      </c>
      <c r="M124" s="88">
        <v>3.5000000000000003E-2</v>
      </c>
      <c r="N124" s="88">
        <v>3.1E-2</v>
      </c>
      <c r="O124" s="88">
        <v>3.3000000000000002E-2</v>
      </c>
      <c r="P124" s="88">
        <v>3.1E-2</v>
      </c>
      <c r="Q124" s="38">
        <v>0.13</v>
      </c>
      <c r="R124" s="88">
        <v>3.3000000000000002E-2</v>
      </c>
      <c r="S124" s="88">
        <v>2.9000000000000001E-2</v>
      </c>
      <c r="T124" s="88">
        <v>2.8000000000000001E-2</v>
      </c>
      <c r="U124" s="88">
        <v>2.8000000000000001E-2</v>
      </c>
      <c r="V124" s="38">
        <v>0.11899999999999999</v>
      </c>
      <c r="W124" s="88">
        <v>3.5999999999999997E-2</v>
      </c>
      <c r="X124" s="88">
        <v>3.9E-2</v>
      </c>
      <c r="Y124" s="88">
        <v>4.1000000000000002E-2</v>
      </c>
      <c r="Z124" s="88">
        <v>3.7999999999999999E-2</v>
      </c>
      <c r="AA124" s="139">
        <v>0.154</v>
      </c>
      <c r="AB124" s="88">
        <v>3.7999999999999999E-2</v>
      </c>
      <c r="AC124" s="88">
        <v>3.2000000000000001E-2</v>
      </c>
      <c r="AD124" s="88">
        <v>3.4000000000000002E-2</v>
      </c>
      <c r="AE124" s="88">
        <v>0.03</v>
      </c>
      <c r="AF124" s="139">
        <v>0.13500000000000001</v>
      </c>
      <c r="AG124" s="88">
        <v>3.5999999999999997E-2</v>
      </c>
      <c r="AH124" s="88">
        <v>3.1E-2</v>
      </c>
      <c r="AI124" s="88">
        <v>3.2000000000000001E-2</v>
      </c>
      <c r="AJ124" s="88">
        <v>2.9000000000000001E-2</v>
      </c>
      <c r="AK124" s="139">
        <v>0.128</v>
      </c>
      <c r="AL124" s="162">
        <v>3.4000000000000002E-2</v>
      </c>
      <c r="AM124" s="88">
        <v>3.1E-2</v>
      </c>
      <c r="AN124" s="88">
        <v>3.9E-2</v>
      </c>
      <c r="AO124" s="88">
        <v>3.5000000000000003E-2</v>
      </c>
      <c r="AP124" s="139">
        <v>0.13900000000000001</v>
      </c>
      <c r="AQ124" s="162">
        <v>4.2000000000000003E-2</v>
      </c>
      <c r="AR124" s="88">
        <v>3.5999999999999997E-2</v>
      </c>
      <c r="AS124" s="88">
        <v>4.4999999999999998E-2</v>
      </c>
      <c r="AT124" s="88">
        <f>AU124-AS124-AR124-AQ124</f>
        <v>3.6000000000000011E-2</v>
      </c>
      <c r="AU124" s="139">
        <v>0.159</v>
      </c>
      <c r="AV124" s="162">
        <v>4.2999999999999997E-2</v>
      </c>
      <c r="AW124" s="162">
        <v>3.7999999999999999E-2</v>
      </c>
      <c r="AX124" s="162">
        <v>4.8000000000000001E-2</v>
      </c>
      <c r="AY124" s="88">
        <v>5.8999999999999997E-2</v>
      </c>
      <c r="AZ124" s="139">
        <v>0.188</v>
      </c>
      <c r="BA124" s="162">
        <v>6.0999999999999999E-2</v>
      </c>
      <c r="BB124" s="162">
        <v>4.7E-2</v>
      </c>
      <c r="BC124" s="162">
        <v>5.0999999999999997E-2</v>
      </c>
      <c r="BD124" s="162">
        <f>BE124-BC124-BB124-BA124</f>
        <v>5.6000000000000008E-2</v>
      </c>
      <c r="BE124" s="139">
        <v>0.215</v>
      </c>
      <c r="BF124" s="162">
        <v>5.6000000000000001E-2</v>
      </c>
      <c r="BG124" s="162">
        <v>4.9000000000000002E-2</v>
      </c>
      <c r="BH124" s="162">
        <v>5.5E-2</v>
      </c>
      <c r="BI124" s="162">
        <f>BJ124-BF124-BG124-BH124</f>
        <v>5.1999999999999998E-2</v>
      </c>
      <c r="BJ124" s="139">
        <v>0.21199999999999999</v>
      </c>
      <c r="BK124" s="162">
        <v>5.8999999999999997E-2</v>
      </c>
    </row>
    <row r="125" spans="1:202" ht="8.25" customHeight="1">
      <c r="A125" s="67"/>
      <c r="B125" s="95"/>
      <c r="C125" s="78"/>
      <c r="D125" s="78"/>
      <c r="E125" s="78"/>
      <c r="F125" s="78"/>
      <c r="G125" s="95"/>
      <c r="H125" s="88"/>
      <c r="I125" s="88"/>
      <c r="J125" s="88"/>
      <c r="K125" s="88"/>
      <c r="L125" s="38"/>
      <c r="M125" s="88"/>
      <c r="N125" s="88"/>
      <c r="O125" s="88"/>
      <c r="P125" s="88"/>
      <c r="Q125" s="38"/>
      <c r="R125" s="88"/>
      <c r="S125" s="88"/>
      <c r="T125" s="88"/>
      <c r="U125" s="88"/>
      <c r="V125" s="38"/>
      <c r="W125" s="88"/>
      <c r="X125" s="88"/>
      <c r="Y125" s="88"/>
      <c r="Z125" s="88"/>
      <c r="AA125" s="26"/>
      <c r="AB125" s="88"/>
      <c r="AC125" s="88"/>
      <c r="AD125" s="88"/>
      <c r="AE125" s="88"/>
      <c r="AF125" s="26"/>
      <c r="AG125" s="88"/>
      <c r="AH125" s="88"/>
      <c r="AI125" s="88"/>
      <c r="AJ125" s="88"/>
      <c r="AK125" s="26"/>
      <c r="AL125" s="88"/>
      <c r="AM125" s="88"/>
      <c r="AN125" s="88"/>
      <c r="AO125" s="88"/>
      <c r="AP125" s="26"/>
      <c r="AQ125" s="88"/>
      <c r="AR125" s="88"/>
      <c r="AS125" s="88"/>
      <c r="AT125" s="88"/>
      <c r="AU125" s="26"/>
      <c r="AV125" s="88"/>
      <c r="AW125" s="88"/>
      <c r="AX125" s="88"/>
      <c r="AY125" s="88"/>
      <c r="AZ125" s="26"/>
      <c r="BA125" s="88"/>
      <c r="BB125" s="88"/>
      <c r="BC125" s="88"/>
      <c r="BD125" s="88"/>
      <c r="BE125" s="26"/>
      <c r="BF125" s="88"/>
      <c r="BG125" s="88"/>
      <c r="BH125" s="88"/>
      <c r="BI125" s="88"/>
      <c r="BJ125" s="26"/>
      <c r="BK125" s="88"/>
    </row>
    <row r="126" spans="1:202">
      <c r="A126" s="67" t="s">
        <v>17</v>
      </c>
      <c r="B126" s="95" t="s">
        <v>48</v>
      </c>
      <c r="C126" s="78"/>
      <c r="D126" s="78"/>
      <c r="E126" s="78"/>
      <c r="F126" s="78"/>
      <c r="G126" s="138">
        <v>1999</v>
      </c>
      <c r="H126" s="88"/>
      <c r="I126" s="88"/>
      <c r="J126" s="88"/>
      <c r="K126" s="88"/>
      <c r="L126" s="138">
        <v>2158</v>
      </c>
      <c r="M126" s="88"/>
      <c r="N126" s="88"/>
      <c r="O126" s="88"/>
      <c r="P126" s="88"/>
      <c r="Q126" s="138">
        <v>2229</v>
      </c>
      <c r="R126" s="116" t="s">
        <v>40</v>
      </c>
      <c r="S126" s="116" t="s">
        <v>40</v>
      </c>
      <c r="T126" s="116" t="s">
        <v>40</v>
      </c>
      <c r="U126" s="116" t="s">
        <v>40</v>
      </c>
      <c r="V126" s="138">
        <v>2227</v>
      </c>
      <c r="W126" s="116" t="s">
        <v>40</v>
      </c>
      <c r="X126" s="116" t="s">
        <v>40</v>
      </c>
      <c r="Y126" s="116" t="s">
        <v>40</v>
      </c>
      <c r="Z126" s="116" t="s">
        <v>40</v>
      </c>
      <c r="AA126" s="138">
        <v>2276</v>
      </c>
      <c r="AB126" s="116" t="s">
        <v>40</v>
      </c>
      <c r="AC126" s="116" t="s">
        <v>40</v>
      </c>
      <c r="AD126" s="116" t="s">
        <v>40</v>
      </c>
      <c r="AE126" s="116" t="s">
        <v>40</v>
      </c>
      <c r="AF126" s="138">
        <v>2208</v>
      </c>
      <c r="AG126" s="116" t="s">
        <v>40</v>
      </c>
      <c r="AH126" s="116" t="s">
        <v>40</v>
      </c>
      <c r="AI126" s="116" t="s">
        <v>40</v>
      </c>
      <c r="AJ126" s="68">
        <v>2042</v>
      </c>
      <c r="AK126" s="138">
        <v>2042</v>
      </c>
      <c r="AL126" s="116" t="s">
        <v>40</v>
      </c>
      <c r="AM126" s="116" t="s">
        <v>40</v>
      </c>
      <c r="AN126" s="116" t="s">
        <v>40</v>
      </c>
      <c r="AO126" s="68">
        <v>1984</v>
      </c>
      <c r="AP126" s="138">
        <v>1984</v>
      </c>
      <c r="AQ126" s="116" t="s">
        <v>40</v>
      </c>
      <c r="AR126" s="116" t="s">
        <v>40</v>
      </c>
      <c r="AS126" s="116" t="s">
        <v>40</v>
      </c>
      <c r="AT126" s="68">
        <v>1753</v>
      </c>
      <c r="AU126" s="138">
        <v>1753</v>
      </c>
      <c r="AV126" s="116" t="s">
        <v>40</v>
      </c>
      <c r="AW126" s="116" t="s">
        <v>40</v>
      </c>
      <c r="AX126" s="116" t="s">
        <v>40</v>
      </c>
      <c r="AY126" s="68">
        <v>1680</v>
      </c>
      <c r="AZ126" s="138">
        <v>1680</v>
      </c>
      <c r="BA126" s="116" t="s">
        <v>40</v>
      </c>
      <c r="BB126" s="116" t="s">
        <v>40</v>
      </c>
      <c r="BC126" s="116" t="s">
        <v>40</v>
      </c>
      <c r="BD126" s="68">
        <v>1532</v>
      </c>
      <c r="BE126" s="138">
        <v>1532</v>
      </c>
      <c r="BF126" s="116" t="s">
        <v>40</v>
      </c>
      <c r="BG126" s="68">
        <v>1350</v>
      </c>
      <c r="BH126" s="116" t="s">
        <v>40</v>
      </c>
      <c r="BI126" s="68">
        <f>BJ126</f>
        <v>1335</v>
      </c>
      <c r="BJ126" s="138">
        <v>1335</v>
      </c>
      <c r="BK126" s="116" t="s">
        <v>40</v>
      </c>
    </row>
    <row r="127" spans="1:202" ht="9" customHeight="1">
      <c r="A127" s="69" t="s">
        <v>8</v>
      </c>
      <c r="B127" s="23"/>
      <c r="C127" s="71"/>
      <c r="D127" s="71"/>
      <c r="E127" s="71"/>
      <c r="F127" s="71"/>
      <c r="G127" s="23"/>
      <c r="H127" s="71"/>
      <c r="I127" s="71"/>
      <c r="J127" s="71"/>
      <c r="K127" s="70"/>
      <c r="L127" s="23">
        <f>L126/G126-1</f>
        <v>7.9539769884942491E-2</v>
      </c>
      <c r="M127" s="71"/>
      <c r="N127" s="71"/>
      <c r="O127" s="71"/>
      <c r="P127" s="70"/>
      <c r="Q127" s="23">
        <f>Q126/L126-1</f>
        <v>3.2900834105653365E-2</v>
      </c>
      <c r="R127" s="71"/>
      <c r="S127" s="71"/>
      <c r="T127" s="71"/>
      <c r="U127" s="70"/>
      <c r="V127" s="23">
        <f>V126/Q126-1</f>
        <v>-8.9726334679229858E-4</v>
      </c>
      <c r="W127" s="71"/>
      <c r="X127" s="71"/>
      <c r="Y127" s="71"/>
      <c r="Z127" s="70"/>
      <c r="AA127" s="23">
        <f>AA126/V126-1</f>
        <v>2.2002694207454043E-2</v>
      </c>
      <c r="AB127" s="71"/>
      <c r="AC127" s="71"/>
      <c r="AD127" s="71"/>
      <c r="AE127" s="70"/>
      <c r="AF127" s="23">
        <f>AF126/AA126-1</f>
        <v>-2.9876977152899831E-2</v>
      </c>
      <c r="AG127" s="71"/>
      <c r="AH127" s="71"/>
      <c r="AI127" s="71"/>
      <c r="AJ127" s="70"/>
      <c r="AK127" s="23">
        <f>AK126/AF126-1</f>
        <v>-7.51811594202898E-2</v>
      </c>
      <c r="AL127" s="71"/>
      <c r="AM127" s="71"/>
      <c r="AN127" s="71"/>
      <c r="AO127" s="70"/>
      <c r="AP127" s="23">
        <f>AP126/AK126-1</f>
        <v>-2.8403525954946107E-2</v>
      </c>
      <c r="AQ127" s="71"/>
      <c r="AR127" s="71"/>
      <c r="AS127" s="71"/>
      <c r="AT127" s="70"/>
      <c r="AU127" s="23">
        <f>AU126/AP126-1</f>
        <v>-0.11643145161290325</v>
      </c>
      <c r="AV127" s="71"/>
      <c r="AW127" s="71"/>
      <c r="AX127" s="71"/>
      <c r="AY127" s="70"/>
      <c r="AZ127" s="23">
        <f>AZ126/AU126-1</f>
        <v>-4.164289788933262E-2</v>
      </c>
      <c r="BA127" s="71"/>
      <c r="BB127" s="71"/>
      <c r="BC127" s="71"/>
      <c r="BD127" s="70"/>
      <c r="BE127" s="23">
        <f>BE126/AZ126-1</f>
        <v>-8.8095238095238115E-2</v>
      </c>
      <c r="BF127" s="71"/>
      <c r="BG127" s="71"/>
      <c r="BH127" s="71"/>
      <c r="BI127" s="70"/>
      <c r="BJ127" s="23">
        <f>BJ126/BE126-1</f>
        <v>-0.12859007832898173</v>
      </c>
      <c r="BK127" s="71"/>
    </row>
    <row r="128" spans="1:202" s="45" customFormat="1" ht="4.5" customHeight="1">
      <c r="A128" s="88"/>
      <c r="B128" s="163"/>
      <c r="C128" s="88"/>
      <c r="D128" s="88"/>
      <c r="E128" s="88"/>
      <c r="F128" s="88"/>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88"/>
      <c r="AC128" s="88"/>
      <c r="AD128" s="88"/>
      <c r="AE128" s="88"/>
      <c r="AF128" s="163"/>
      <c r="AG128" s="88"/>
      <c r="AH128" s="88"/>
      <c r="AI128" s="88"/>
      <c r="AJ128" s="88"/>
      <c r="AK128" s="163"/>
      <c r="AL128" s="88"/>
      <c r="AM128" s="88"/>
      <c r="AN128" s="88"/>
      <c r="AO128" s="88"/>
      <c r="AP128" s="163"/>
      <c r="AQ128" s="88"/>
      <c r="AR128" s="88"/>
      <c r="AS128" s="88"/>
      <c r="AT128" s="88"/>
      <c r="AU128" s="163"/>
      <c r="AV128" s="88"/>
      <c r="AW128" s="88"/>
      <c r="AX128" s="88"/>
      <c r="AY128" s="88"/>
      <c r="AZ128" s="163"/>
      <c r="BA128" s="88"/>
      <c r="BB128" s="88"/>
      <c r="BC128" s="88"/>
      <c r="BD128" s="88"/>
      <c r="BE128" s="163"/>
      <c r="BF128" s="88"/>
      <c r="BG128" s="88"/>
      <c r="BH128" s="88"/>
      <c r="BI128" s="88"/>
      <c r="BJ128" s="163"/>
      <c r="BK128" s="88"/>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row>
    <row r="129" spans="1:202" s="164" customFormat="1" ht="14.25" customHeight="1">
      <c r="A129" s="67" t="s">
        <v>149</v>
      </c>
      <c r="B129" s="163">
        <v>0.37</v>
      </c>
      <c r="C129" s="71"/>
      <c r="D129" s="71"/>
      <c r="E129" s="71"/>
      <c r="F129" s="71"/>
      <c r="G129" s="163">
        <v>0.38</v>
      </c>
      <c r="H129" s="163"/>
      <c r="I129" s="163"/>
      <c r="J129" s="163"/>
      <c r="K129" s="163"/>
      <c r="L129" s="163">
        <v>0.38</v>
      </c>
      <c r="M129" s="163"/>
      <c r="N129" s="163"/>
      <c r="O129" s="163"/>
      <c r="P129" s="163"/>
      <c r="Q129" s="163">
        <v>0.39</v>
      </c>
      <c r="R129" s="163"/>
      <c r="S129" s="163"/>
      <c r="T129" s="163"/>
      <c r="U129" s="163"/>
      <c r="V129" s="163">
        <v>0.4</v>
      </c>
      <c r="W129" s="163"/>
      <c r="X129" s="163"/>
      <c r="Y129" s="163"/>
      <c r="Z129" s="163"/>
      <c r="AA129" s="163">
        <v>0.39</v>
      </c>
      <c r="AB129" s="71"/>
      <c r="AC129" s="71"/>
      <c r="AD129" s="71"/>
      <c r="AE129" s="71"/>
      <c r="AF129" s="163">
        <v>0.4</v>
      </c>
      <c r="AG129" s="116" t="s">
        <v>40</v>
      </c>
      <c r="AH129" s="116" t="s">
        <v>40</v>
      </c>
      <c r="AI129" s="116" t="s">
        <v>40</v>
      </c>
      <c r="AJ129" s="116" t="s">
        <v>40</v>
      </c>
      <c r="AK129" s="163">
        <v>0.42</v>
      </c>
      <c r="AL129" s="116" t="s">
        <v>40</v>
      </c>
      <c r="AM129" s="116" t="s">
        <v>40</v>
      </c>
      <c r="AN129" s="116" t="s">
        <v>40</v>
      </c>
      <c r="AO129" s="116" t="s">
        <v>40</v>
      </c>
      <c r="AP129" s="163">
        <v>0.42</v>
      </c>
      <c r="AQ129" s="116" t="s">
        <v>40</v>
      </c>
      <c r="AR129" s="116" t="s">
        <v>40</v>
      </c>
      <c r="AS129" s="116" t="s">
        <v>40</v>
      </c>
      <c r="AT129" s="116" t="s">
        <v>40</v>
      </c>
      <c r="AU129" s="163">
        <v>0.4</v>
      </c>
      <c r="AV129" s="116" t="s">
        <v>40</v>
      </c>
      <c r="AW129" s="116" t="s">
        <v>40</v>
      </c>
      <c r="AX129" s="116" t="s">
        <v>40</v>
      </c>
      <c r="AY129" s="116" t="s">
        <v>40</v>
      </c>
      <c r="AZ129" s="163">
        <v>0.37</v>
      </c>
      <c r="BA129" s="116" t="s">
        <v>40</v>
      </c>
      <c r="BB129" s="116" t="s">
        <v>40</v>
      </c>
      <c r="BC129" s="116" t="s">
        <v>40</v>
      </c>
      <c r="BD129" s="116" t="s">
        <v>40</v>
      </c>
      <c r="BE129" s="163">
        <v>0.34</v>
      </c>
      <c r="BF129" s="116" t="s">
        <v>40</v>
      </c>
      <c r="BG129" s="116" t="s">
        <v>40</v>
      </c>
      <c r="BH129" s="116" t="s">
        <v>40</v>
      </c>
      <c r="BI129" s="116" t="s">
        <v>40</v>
      </c>
      <c r="BJ129" s="163">
        <v>0.32</v>
      </c>
      <c r="BK129" s="116" t="s">
        <v>40</v>
      </c>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c r="GS129" s="24"/>
      <c r="GT129" s="24"/>
    </row>
    <row r="130" spans="1:202" ht="5.25" customHeight="1">
      <c r="A130" s="91"/>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row>
    <row r="131" spans="1:202">
      <c r="BI131" s="1"/>
      <c r="BJ131" s="1"/>
    </row>
    <row r="132" spans="1:202">
      <c r="BI132" s="1"/>
      <c r="BJ132" s="1"/>
    </row>
    <row r="133" spans="1:202">
      <c r="BI133" s="1"/>
      <c r="BJ133" s="1"/>
    </row>
    <row r="134" spans="1:202">
      <c r="BI134" s="1"/>
      <c r="BJ134" s="1"/>
    </row>
    <row r="135" spans="1:202">
      <c r="BI135" s="1"/>
      <c r="BJ135" s="1"/>
    </row>
    <row r="136" spans="1:202">
      <c r="BI136" s="1"/>
      <c r="BJ136" s="1"/>
    </row>
    <row r="137" spans="1:202">
      <c r="BI137" s="1"/>
      <c r="BJ137" s="1"/>
    </row>
    <row r="138" spans="1:202">
      <c r="BI138" s="1"/>
      <c r="BJ138" s="1"/>
    </row>
    <row r="139" spans="1:202">
      <c r="BI139" s="1"/>
      <c r="BJ139" s="1"/>
    </row>
    <row r="140" spans="1:202">
      <c r="BI140" s="1"/>
      <c r="BJ140" s="1"/>
    </row>
    <row r="141" spans="1:202">
      <c r="BI141" s="1"/>
      <c r="BJ141" s="1"/>
    </row>
    <row r="142" spans="1:202">
      <c r="BI142" s="1"/>
      <c r="BJ142" s="1"/>
    </row>
    <row r="143" spans="1:202">
      <c r="BI143" s="1"/>
      <c r="BJ143" s="1"/>
    </row>
    <row r="144" spans="1:202">
      <c r="BI144" s="1"/>
      <c r="BJ144" s="1"/>
    </row>
    <row r="145" spans="61:62">
      <c r="BI145" s="1"/>
      <c r="BJ145" s="1"/>
    </row>
    <row r="146" spans="61:62">
      <c r="BI146" s="1"/>
      <c r="BJ146" s="1"/>
    </row>
    <row r="147" spans="61:62">
      <c r="BI147" s="1"/>
      <c r="BJ147" s="1"/>
    </row>
    <row r="148" spans="61:62">
      <c r="BI148" s="1"/>
      <c r="BJ148" s="1"/>
    </row>
    <row r="149" spans="61:62">
      <c r="BI149" s="1"/>
      <c r="BJ149" s="1"/>
    </row>
    <row r="150" spans="61:62">
      <c r="BI150" s="1"/>
      <c r="BJ150" s="1"/>
    </row>
    <row r="151" spans="61:62">
      <c r="BI151" s="1"/>
      <c r="BJ151" s="1"/>
    </row>
    <row r="152" spans="61:62">
      <c r="BI152" s="1"/>
      <c r="BJ152" s="1"/>
    </row>
    <row r="153" spans="61:62">
      <c r="BI153" s="1"/>
      <c r="BJ153" s="1"/>
    </row>
    <row r="154" spans="61:62">
      <c r="BI154" s="1"/>
      <c r="BJ154" s="1"/>
    </row>
    <row r="155" spans="61:62">
      <c r="BI155" s="1"/>
      <c r="BJ155" s="1"/>
    </row>
    <row r="156" spans="61:62">
      <c r="BI156" s="1"/>
      <c r="BJ156" s="1"/>
    </row>
    <row r="157" spans="61:62">
      <c r="BI157" s="1"/>
      <c r="BJ157" s="1"/>
    </row>
    <row r="158" spans="61:62">
      <c r="BI158" s="1"/>
      <c r="BJ158" s="1"/>
    </row>
    <row r="159" spans="61:62">
      <c r="BI159" s="1"/>
      <c r="BJ159" s="1"/>
    </row>
    <row r="160" spans="61:62">
      <c r="BI160" s="1"/>
      <c r="BJ160" s="1"/>
    </row>
    <row r="161" spans="3:62">
      <c r="N161" s="1">
        <v>340</v>
      </c>
      <c r="O161" s="1">
        <v>347.37700000000001</v>
      </c>
      <c r="BI161" s="1"/>
      <c r="BJ161" s="1"/>
    </row>
    <row r="162" spans="3:62">
      <c r="BI162" s="1"/>
      <c r="BJ162" s="1"/>
    </row>
    <row r="163" spans="3:62">
      <c r="BI163" s="1"/>
      <c r="BJ163" s="1"/>
    </row>
    <row r="164" spans="3:62">
      <c r="BI164" s="1"/>
      <c r="BJ164" s="1"/>
    </row>
    <row r="165" spans="3:62">
      <c r="BI165" s="1"/>
      <c r="BJ165" s="1"/>
    </row>
    <row r="166" spans="3:62">
      <c r="BI166" s="1"/>
      <c r="BJ166" s="1"/>
    </row>
    <row r="167" spans="3:62" customFormat="1"/>
    <row r="168" spans="3:62" customFormat="1"/>
    <row r="169" spans="3:62" customFormat="1"/>
    <row r="170" spans="3:62">
      <c r="AK170"/>
      <c r="AL170"/>
      <c r="AM170"/>
      <c r="AN170"/>
      <c r="AO170"/>
      <c r="AP170"/>
      <c r="AQ170"/>
      <c r="AR170"/>
      <c r="AS170"/>
      <c r="AT170"/>
      <c r="AU170"/>
      <c r="AV170"/>
      <c r="AW170"/>
      <c r="AX170"/>
      <c r="AY170"/>
      <c r="AZ170"/>
      <c r="BC170"/>
      <c r="BD170"/>
      <c r="BE170"/>
      <c r="BI170"/>
      <c r="BJ170"/>
    </row>
    <row r="171" spans="3:62">
      <c r="AK171"/>
      <c r="AL171"/>
      <c r="AM171"/>
      <c r="AN171"/>
      <c r="AO171"/>
      <c r="AP171"/>
      <c r="AQ171"/>
      <c r="AR171"/>
      <c r="AS171"/>
      <c r="AT171"/>
      <c r="AU171"/>
      <c r="AV171"/>
      <c r="AW171"/>
      <c r="AX171"/>
      <c r="AY171"/>
      <c r="AZ171"/>
      <c r="BC171"/>
      <c r="BD171"/>
      <c r="BE171"/>
      <c r="BI171"/>
      <c r="BJ171"/>
    </row>
    <row r="172" spans="3:6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C172"/>
      <c r="BD172"/>
      <c r="BE172"/>
      <c r="BI172"/>
      <c r="BJ172"/>
    </row>
    <row r="173" spans="3:62">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C173"/>
      <c r="BD173"/>
      <c r="BE173"/>
      <c r="BI173"/>
      <c r="BJ173"/>
    </row>
    <row r="174" spans="3:62">
      <c r="AK174" s="1">
        <v>1980</v>
      </c>
      <c r="BI174" s="1"/>
      <c r="BJ174" s="1"/>
    </row>
    <row r="175" spans="3:62">
      <c r="BI175" s="1"/>
      <c r="BJ175" s="1"/>
    </row>
    <row r="176" spans="3:62">
      <c r="BI176" s="1"/>
      <c r="BJ176" s="1"/>
    </row>
    <row r="177" spans="37:62">
      <c r="AK177" s="1">
        <f>1793-478</f>
        <v>1315</v>
      </c>
      <c r="BI177" s="1"/>
      <c r="BJ177" s="1"/>
    </row>
    <row r="178" spans="37:62">
      <c r="BI178" s="1"/>
      <c r="BJ178" s="1"/>
    </row>
    <row r="179" spans="37:62">
      <c r="BI179" s="1"/>
      <c r="BJ179" s="1"/>
    </row>
    <row r="180" spans="37:62">
      <c r="BI180" s="1"/>
      <c r="BJ180" s="1"/>
    </row>
    <row r="181" spans="37:62">
      <c r="BI181" s="1"/>
      <c r="BJ181" s="1"/>
    </row>
    <row r="182" spans="37:62">
      <c r="BI182" s="1"/>
      <c r="BJ182" s="1"/>
    </row>
    <row r="183" spans="37:62">
      <c r="BI183" s="1"/>
      <c r="BJ183" s="1"/>
    </row>
    <row r="184" spans="37:62">
      <c r="BI184" s="1"/>
      <c r="BJ184" s="1"/>
    </row>
    <row r="185" spans="37:62">
      <c r="BI185" s="1"/>
      <c r="BJ185" s="1"/>
    </row>
    <row r="186" spans="37:62">
      <c r="AK186" s="1">
        <v>-23</v>
      </c>
      <c r="BI186" s="1"/>
      <c r="BJ186" s="1"/>
    </row>
    <row r="187" spans="37:62">
      <c r="BI187" s="1"/>
      <c r="BJ187" s="1"/>
    </row>
    <row r="188" spans="37:62">
      <c r="BI188" s="1"/>
      <c r="BJ188" s="1"/>
    </row>
    <row r="189" spans="37:62">
      <c r="BI189" s="1"/>
      <c r="BJ189" s="1"/>
    </row>
    <row r="190" spans="37:62">
      <c r="BI190" s="1"/>
      <c r="BJ190" s="1"/>
    </row>
    <row r="191" spans="37:62">
      <c r="AR191" s="1">
        <v>59</v>
      </c>
      <c r="BI191" s="1"/>
      <c r="BJ191" s="1"/>
    </row>
    <row r="192" spans="37:62">
      <c r="BI192" s="1"/>
      <c r="BJ192" s="1"/>
    </row>
    <row r="193" spans="20:62">
      <c r="BI193" s="1"/>
      <c r="BJ193" s="1"/>
    </row>
    <row r="194" spans="20:62">
      <c r="BI194" s="1"/>
      <c r="BJ194" s="1"/>
    </row>
    <row r="195" spans="20:62">
      <c r="BI195" s="1"/>
      <c r="BJ195" s="1"/>
    </row>
    <row r="196" spans="20:62">
      <c r="AG196" s="1">
        <v>616</v>
      </c>
      <c r="BI196" s="1"/>
      <c r="BJ196" s="1"/>
    </row>
    <row r="197" spans="20:62">
      <c r="BI197" s="1"/>
      <c r="BJ197" s="1"/>
    </row>
    <row r="198" spans="20:62">
      <c r="BI198" s="1"/>
      <c r="BJ198" s="1"/>
    </row>
    <row r="199" spans="20:62">
      <c r="BI199" s="1"/>
      <c r="BJ199" s="1"/>
    </row>
    <row r="200" spans="20:62">
      <c r="BI200" s="1"/>
      <c r="BJ200" s="1"/>
    </row>
    <row r="201" spans="20:62">
      <c r="BI201" s="1"/>
      <c r="BJ201" s="1"/>
    </row>
    <row r="202" spans="20:62">
      <c r="AG202" s="1">
        <f>18.765+190.909</f>
        <v>209.67399999999998</v>
      </c>
      <c r="BI202" s="1"/>
      <c r="BJ202" s="1"/>
    </row>
    <row r="203" spans="20:62">
      <c r="BI203" s="1"/>
      <c r="BJ203" s="1"/>
    </row>
    <row r="204" spans="20:62">
      <c r="BI204" s="1"/>
      <c r="BJ204" s="1"/>
    </row>
    <row r="205" spans="20:62">
      <c r="AG205" s="1">
        <f>AG202-27</f>
        <v>182.67399999999998</v>
      </c>
      <c r="BI205" s="1"/>
      <c r="BJ205" s="1"/>
    </row>
    <row r="206" spans="20:62">
      <c r="BI206" s="1"/>
      <c r="BJ206" s="1"/>
    </row>
    <row r="207" spans="20:62">
      <c r="T207" s="1">
        <v>405.46800000000002</v>
      </c>
      <c r="BI207" s="1"/>
      <c r="BJ207" s="1"/>
    </row>
    <row r="208" spans="20:62">
      <c r="BI208" s="1"/>
      <c r="BJ208" s="1"/>
    </row>
    <row r="209" spans="1:62">
      <c r="BI209" s="1"/>
      <c r="BJ209" s="1"/>
    </row>
    <row r="210" spans="1:62">
      <c r="T210" s="1">
        <v>63.363999999999997</v>
      </c>
      <c r="BI210" s="1"/>
      <c r="BJ210" s="1"/>
    </row>
    <row r="211" spans="1:62">
      <c r="BI211" s="1"/>
      <c r="BJ211" s="1"/>
    </row>
    <row r="212" spans="1:62">
      <c r="BI212" s="1"/>
      <c r="BJ212" s="1"/>
    </row>
    <row r="213" spans="1:62">
      <c r="T213" s="1">
        <v>-75.885000000000005</v>
      </c>
      <c r="BI213" s="1"/>
      <c r="BJ213" s="1"/>
    </row>
    <row r="214" spans="1:62">
      <c r="BI214" s="1"/>
      <c r="BJ214" s="1"/>
    </row>
    <row r="215" spans="1:62">
      <c r="BI215" s="1"/>
      <c r="BJ215" s="1"/>
    </row>
    <row r="216" spans="1:62">
      <c r="T216" s="1">
        <v>74.073999999999998</v>
      </c>
      <c r="BI216" s="1"/>
      <c r="BJ216" s="1"/>
    </row>
    <row r="217" spans="1:62">
      <c r="BI217" s="1"/>
      <c r="BJ217" s="1"/>
    </row>
    <row r="218" spans="1:62">
      <c r="BI218" s="1"/>
      <c r="BJ218" s="1"/>
    </row>
    <row r="219" spans="1:62">
      <c r="BI219" s="1"/>
      <c r="BJ219" s="1"/>
    </row>
    <row r="220" spans="1:62">
      <c r="A220" s="33"/>
      <c r="BI220" s="1"/>
      <c r="BJ220" s="1"/>
    </row>
    <row r="221" spans="1:62">
      <c r="BI221" s="1"/>
      <c r="BJ221" s="1"/>
    </row>
    <row r="222" spans="1:62">
      <c r="BI222" s="1"/>
      <c r="BJ222" s="1"/>
    </row>
    <row r="223" spans="1:62">
      <c r="BI223" s="1"/>
      <c r="BJ223" s="1"/>
    </row>
    <row r="224" spans="1:62">
      <c r="O224" s="1">
        <v>126.117</v>
      </c>
      <c r="T224" s="1">
        <v>134.20099999999999</v>
      </c>
      <c r="BI224" s="1"/>
      <c r="BJ224" s="1"/>
    </row>
    <row r="225" spans="15:62">
      <c r="BI225" s="1"/>
      <c r="BJ225" s="1"/>
    </row>
    <row r="226" spans="15:62">
      <c r="BI226" s="1"/>
      <c r="BJ226" s="1"/>
    </row>
    <row r="227" spans="15:62">
      <c r="BI227" s="1"/>
      <c r="BJ227" s="1"/>
    </row>
    <row r="228" spans="15:62">
      <c r="BI228" s="1"/>
      <c r="BJ228" s="1"/>
    </row>
    <row r="229" spans="15:62">
      <c r="W229" s="1">
        <v>118</v>
      </c>
      <c r="BI229" s="1"/>
      <c r="BJ229" s="1"/>
    </row>
    <row r="230" spans="15:62">
      <c r="O230" s="1">
        <f>52.441+2.5+9.771</f>
        <v>64.712000000000003</v>
      </c>
      <c r="T230" s="1">
        <f>51.634+6.428+9.274</f>
        <v>67.335999999999999</v>
      </c>
      <c r="BI230" s="1"/>
      <c r="BJ230" s="1"/>
    </row>
    <row r="231" spans="15:62">
      <c r="W231" s="118">
        <v>-9.1999999999999998E-2</v>
      </c>
      <c r="BI231" s="1"/>
      <c r="BJ231" s="1"/>
    </row>
    <row r="232" spans="15:62">
      <c r="BI232" s="1"/>
      <c r="BJ232" s="1"/>
    </row>
    <row r="233" spans="15:62">
      <c r="T233" s="1">
        <f>T230-0.156</f>
        <v>67.179999999999993</v>
      </c>
      <c r="BI233" s="1"/>
      <c r="BJ233" s="1"/>
    </row>
    <row r="234" spans="15:62">
      <c r="BI234" s="1"/>
      <c r="BJ234" s="1"/>
    </row>
    <row r="235" spans="15:62">
      <c r="BI235" s="1"/>
      <c r="BJ235" s="1"/>
    </row>
    <row r="236" spans="15:62">
      <c r="BI236" s="1"/>
      <c r="BJ236" s="1"/>
    </row>
    <row r="237" spans="15:62">
      <c r="BI237" s="1"/>
      <c r="BJ237" s="1"/>
    </row>
    <row r="238" spans="15:62">
      <c r="BI238" s="1"/>
      <c r="BJ238" s="1"/>
    </row>
    <row r="239" spans="15:62">
      <c r="BI239" s="1"/>
      <c r="BJ239" s="1"/>
    </row>
    <row r="240" spans="15:62">
      <c r="BI240" s="1"/>
      <c r="BJ240" s="1"/>
    </row>
    <row r="241" spans="61:62">
      <c r="BI241" s="1"/>
      <c r="BJ241" s="1"/>
    </row>
    <row r="242" spans="61:62">
      <c r="BI242" s="1"/>
      <c r="BJ242" s="1"/>
    </row>
    <row r="243" spans="61:62">
      <c r="BI243" s="1"/>
      <c r="BJ243" s="1"/>
    </row>
    <row r="244" spans="61:62">
      <c r="BI244" s="1"/>
      <c r="BJ244" s="1"/>
    </row>
    <row r="245" spans="61:62">
      <c r="BI245" s="1"/>
      <c r="BJ245" s="1"/>
    </row>
    <row r="246" spans="61:62">
      <c r="BI246" s="1"/>
      <c r="BJ246" s="1"/>
    </row>
    <row r="247" spans="61:62">
      <c r="BI247" s="1"/>
      <c r="BJ247" s="1"/>
    </row>
    <row r="248" spans="61:62">
      <c r="BI248" s="1"/>
      <c r="BJ248" s="1"/>
    </row>
    <row r="249" spans="61:62">
      <c r="BI249" s="1"/>
      <c r="BJ249" s="1"/>
    </row>
    <row r="250" spans="61:62">
      <c r="BI250" s="1"/>
      <c r="BJ250" s="1"/>
    </row>
    <row r="251" spans="61:62">
      <c r="BI251" s="1"/>
      <c r="BJ251" s="1"/>
    </row>
    <row r="252" spans="61:62">
      <c r="BI252" s="1"/>
      <c r="BJ252" s="1"/>
    </row>
    <row r="253" spans="61:62">
      <c r="BI253" s="1"/>
      <c r="BJ253" s="1"/>
    </row>
    <row r="254" spans="61:62">
      <c r="BI254" s="1"/>
      <c r="BJ254" s="1"/>
    </row>
    <row r="255" spans="61:62">
      <c r="BI255" s="1"/>
      <c r="BJ255" s="1"/>
    </row>
    <row r="256" spans="61:62">
      <c r="BI256" s="1"/>
      <c r="BJ256" s="1"/>
    </row>
    <row r="257" spans="61:62">
      <c r="BI257" s="1"/>
      <c r="BJ257" s="1"/>
    </row>
    <row r="258" spans="61:62">
      <c r="BI258" s="1"/>
      <c r="BJ258" s="1"/>
    </row>
    <row r="259" spans="61:62">
      <c r="BI259" s="1"/>
      <c r="BJ259" s="1"/>
    </row>
    <row r="260" spans="61:62">
      <c r="BI260" s="1"/>
      <c r="BJ260" s="1"/>
    </row>
    <row r="261" spans="61:62">
      <c r="BI261" s="1"/>
      <c r="BJ261" s="1"/>
    </row>
    <row r="262" spans="61:62">
      <c r="BI262" s="1"/>
      <c r="BJ262" s="1"/>
    </row>
    <row r="263" spans="61:62">
      <c r="BI263" s="1"/>
      <c r="BJ263" s="1"/>
    </row>
    <row r="264" spans="61:62">
      <c r="BI264" s="1"/>
      <c r="BJ264" s="1"/>
    </row>
    <row r="265" spans="61:62">
      <c r="BI265" s="1"/>
      <c r="BJ265" s="1"/>
    </row>
    <row r="266" spans="61:62">
      <c r="BI266" s="1"/>
      <c r="BJ266" s="1"/>
    </row>
    <row r="267" spans="61:62">
      <c r="BI267" s="1"/>
      <c r="BJ267" s="1"/>
    </row>
    <row r="268" spans="61:62">
      <c r="BI268" s="1"/>
      <c r="BJ268" s="1"/>
    </row>
    <row r="269" spans="61:62">
      <c r="BI269" s="1"/>
      <c r="BJ269" s="1"/>
    </row>
    <row r="270" spans="61:62">
      <c r="BI270" s="1"/>
      <c r="BJ270" s="1"/>
    </row>
    <row r="271" spans="61:62">
      <c r="BI271" s="1"/>
      <c r="BJ271" s="1"/>
    </row>
    <row r="272" spans="61:62">
      <c r="BI272" s="1"/>
      <c r="BJ272" s="1"/>
    </row>
    <row r="273" spans="61:62">
      <c r="BI273" s="1"/>
      <c r="BJ273" s="1"/>
    </row>
    <row r="274" spans="61:62">
      <c r="BI274" s="1"/>
      <c r="BJ274" s="1"/>
    </row>
    <row r="275" spans="61:62">
      <c r="BI275" s="1"/>
      <c r="BJ275" s="1"/>
    </row>
    <row r="276" spans="61:62">
      <c r="BI276" s="1"/>
      <c r="BJ276" s="1"/>
    </row>
    <row r="277" spans="61:62">
      <c r="BI277" s="1"/>
      <c r="BJ277" s="1"/>
    </row>
    <row r="278" spans="61:62">
      <c r="BI278" s="1"/>
      <c r="BJ278" s="1"/>
    </row>
    <row r="279" spans="61:62">
      <c r="BI279" s="1"/>
      <c r="BJ279" s="1"/>
    </row>
    <row r="280" spans="61:62">
      <c r="BI280" s="1"/>
      <c r="BJ280" s="1"/>
    </row>
    <row r="281" spans="61:62">
      <c r="BI281" s="1"/>
      <c r="BJ281" s="1"/>
    </row>
    <row r="282" spans="61:62">
      <c r="BI282" s="1"/>
      <c r="BJ282" s="1"/>
    </row>
    <row r="283" spans="61:62">
      <c r="BI283" s="1"/>
      <c r="BJ283" s="1"/>
    </row>
    <row r="284" spans="61:62">
      <c r="BI284" s="1"/>
      <c r="BJ284" s="1"/>
    </row>
    <row r="285" spans="61:62">
      <c r="BI285" s="1"/>
      <c r="BJ285" s="1"/>
    </row>
    <row r="286" spans="61:62">
      <c r="BI286" s="1"/>
      <c r="BJ286" s="1"/>
    </row>
    <row r="287" spans="61:62">
      <c r="BI287" s="1"/>
      <c r="BJ287" s="1"/>
    </row>
    <row r="288" spans="61:62">
      <c r="BI288" s="1"/>
      <c r="BJ288" s="1"/>
    </row>
    <row r="289" spans="61:62">
      <c r="BI289" s="1"/>
      <c r="BJ289" s="1"/>
    </row>
    <row r="290" spans="61:62">
      <c r="BI290" s="1"/>
      <c r="BJ290" s="1"/>
    </row>
    <row r="291" spans="61:62">
      <c r="BI291" s="1"/>
      <c r="BJ291" s="1"/>
    </row>
    <row r="292" spans="61:62">
      <c r="BI292" s="1"/>
      <c r="BJ292" s="1"/>
    </row>
    <row r="293" spans="61:62">
      <c r="BI293" s="1"/>
      <c r="BJ293" s="1"/>
    </row>
    <row r="294" spans="61:62">
      <c r="BI294" s="1"/>
      <c r="BJ294" s="1"/>
    </row>
    <row r="295" spans="61:62">
      <c r="BI295" s="1"/>
      <c r="BJ295" s="1"/>
    </row>
    <row r="296" spans="61:62">
      <c r="BI296" s="1"/>
      <c r="BJ296" s="1"/>
    </row>
    <row r="297" spans="61:62">
      <c r="BI297" s="1"/>
      <c r="BJ297" s="1"/>
    </row>
    <row r="298" spans="61:62">
      <c r="BI298" s="1"/>
      <c r="BJ298" s="1"/>
    </row>
    <row r="299" spans="61:62">
      <c r="BI299" s="1"/>
      <c r="BJ299" s="1"/>
    </row>
    <row r="300" spans="61:62">
      <c r="BI300" s="1"/>
      <c r="BJ300" s="1"/>
    </row>
    <row r="301" spans="61:62">
      <c r="BI301" s="1"/>
      <c r="BJ301" s="1"/>
    </row>
    <row r="302" spans="61:62">
      <c r="BI302" s="1"/>
      <c r="BJ302" s="1"/>
    </row>
    <row r="303" spans="61:62">
      <c r="BI303" s="1"/>
      <c r="BJ303" s="1"/>
    </row>
    <row r="304" spans="61:62">
      <c r="BI304" s="1"/>
      <c r="BJ304" s="1"/>
    </row>
    <row r="305" spans="61:62">
      <c r="BI305" s="1"/>
      <c r="BJ305" s="1"/>
    </row>
    <row r="306" spans="61:62">
      <c r="BI306" s="1"/>
      <c r="BJ306" s="1"/>
    </row>
    <row r="307" spans="61:62">
      <c r="BI307" s="1"/>
      <c r="BJ307" s="1"/>
    </row>
    <row r="308" spans="61:62">
      <c r="BI308" s="1"/>
      <c r="BJ308" s="1"/>
    </row>
    <row r="309" spans="61:62">
      <c r="BI309" s="1"/>
      <c r="BJ309" s="1"/>
    </row>
    <row r="310" spans="61:62">
      <c r="BI310" s="1"/>
      <c r="BJ310" s="1"/>
    </row>
    <row r="311" spans="61:62">
      <c r="BI311" s="1"/>
      <c r="BJ311" s="1"/>
    </row>
    <row r="312" spans="61:62">
      <c r="BI312" s="1"/>
      <c r="BJ312" s="1"/>
    </row>
    <row r="313" spans="61:62">
      <c r="BI313" s="1"/>
      <c r="BJ313" s="1"/>
    </row>
    <row r="314" spans="61:62">
      <c r="BI314" s="1"/>
      <c r="BJ314" s="1"/>
    </row>
    <row r="315" spans="61:62">
      <c r="BI315" s="1"/>
      <c r="BJ315" s="1"/>
    </row>
    <row r="316" spans="61:62">
      <c r="BI316" s="1"/>
      <c r="BJ316" s="1"/>
    </row>
    <row r="332" spans="57:57">
      <c r="BE332" s="1">
        <f>BE329-260</f>
        <v>-260</v>
      </c>
    </row>
    <row r="351" spans="55:55">
      <c r="BC351" s="118">
        <v>0.26400000000000001</v>
      </c>
    </row>
    <row r="403" spans="31:37">
      <c r="AE403" s="1">
        <v>131</v>
      </c>
      <c r="AJ403" s="1">
        <v>135</v>
      </c>
    </row>
    <row r="405" spans="31:37">
      <c r="AJ405" s="118">
        <v>3.5000000000000003E-2</v>
      </c>
    </row>
    <row r="408" spans="31:37">
      <c r="AE408" s="1">
        <v>134</v>
      </c>
      <c r="AF408" s="1">
        <v>491</v>
      </c>
    </row>
    <row r="410" spans="31:37">
      <c r="AJ410" s="118">
        <v>-8.7999999999999995E-2</v>
      </c>
      <c r="AK410" s="118">
        <v>-0.10100000000000001</v>
      </c>
    </row>
    <row r="420" spans="31:37">
      <c r="AF420" s="1">
        <v>167</v>
      </c>
      <c r="AJ420" s="1">
        <v>27</v>
      </c>
      <c r="AK420" s="1">
        <v>138</v>
      </c>
    </row>
    <row r="422" spans="31:37">
      <c r="AJ422" s="118">
        <v>-0.47899999999999998</v>
      </c>
      <c r="AK422" s="118">
        <v>-0.17799999999999999</v>
      </c>
    </row>
    <row r="428" spans="31:37">
      <c r="AE428" s="118">
        <v>0.313</v>
      </c>
    </row>
  </sheetData>
  <customSheetViews>
    <customSheetView guid="{C6BBAF30-1E81-42FB-BA93-01B6813E2C8C}" showPageBreaks="1" printArea="1" showRuler="0">
      <pane xSplit="1" ySplit="5" topLeftCell="B6" activePane="bottomRight" state="frozenSplit"/>
      <selection pane="bottomRight"/>
      <rowBreaks count="1" manualBreakCount="1">
        <brk id="39" max="14" man="1"/>
      </rowBreaks>
      <pageMargins left="0.7" right="0.7" top="0.75" bottom="0.75" header="0.3" footer="0.3"/>
      <printOptions horizontalCentered="1"/>
      <pageSetup paperSize="9" scale="78" fitToHeight="7" orientation="landscape"/>
      <headerFooter alignWithMargins="0">
        <oddHeader>&amp;C&amp;12Bezeq - The Israel Telecommunication Corp. Ltd</oddHeader>
        <oddFooter>&amp;R&amp;P of &amp;N
KPIs</oddFooter>
      </headerFooter>
    </customSheetView>
    <customSheetView guid="{F07085DA-2B2D-4BE1-891D-F25D604A092E}" showPageBreaks="1" printArea="1" showRuler="0">
      <pane xSplit="1" ySplit="5" topLeftCell="B6" activePane="bottomRight" state="frozenSplit"/>
      <selection pane="bottomRight" activeCell="A77" sqref="A77"/>
      <rowBreaks count="1" manualBreakCount="1">
        <brk id="41" max="12"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6A44E415-E6EC-4CA2-8B4C-A374F00F0261}" showPageBreaks="1" printArea="1" showRuler="0">
      <pane xSplit="1" ySplit="5" topLeftCell="B6" activePane="bottomRight" state="frozenSplit"/>
      <selection pane="bottomRight" activeCell="B6" sqref="B6"/>
      <rowBreaks count="1" manualBreakCount="1">
        <brk id="41" max="18" man="1"/>
      </rowBreaks>
      <pageMargins left="0.7" right="0.7" top="0.75" bottom="0.75" header="0.3" footer="0.3"/>
      <pageSetup paperSize="9" scale="70" orientation="landscape"/>
      <headerFooter alignWithMargins="0">
        <oddHeader>&amp;C&amp;12Bezeq - The Israel Telecommunication Corp. Ltd</oddHeader>
        <oddFooter>&amp;R&amp;P of &amp;N
KPIs</oddFooter>
      </headerFooter>
    </customSheetView>
    <customSheetView guid="{C32ED439-2914-4073-BFBF-7718D6CFE811}" showPageBreaks="1" showGridLines="0" printArea="1">
      <pane xSplit="1" ySplit="5" topLeftCell="K6" activePane="bottomRight" state="frozenSplit"/>
      <selection pane="bottomRight" activeCell="S89" sqref="S89"/>
      <rowBreaks count="2" manualBreakCount="2">
        <brk id="44" max="17" man="1"/>
        <brk id="310"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44BC518B-F505-4956-BE42-792973965029}" showPageBreaks="1" showGridLines="0" printArea="1" showRuler="0">
      <pane xSplit="1" ySplit="5" topLeftCell="B64" activePane="bottomRight" state="frozenSplit"/>
      <selection pane="bottomRight" activeCell="M263" sqref="M263"/>
      <rowBreaks count="2" manualBreakCount="2">
        <brk id="44" max="17" man="1"/>
        <brk id="318"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7DC6D345-C4C0-4162-8636-D495A245EBF8}" scale="97" showPageBreaks="1" showGridLines="0" printArea="1"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67DDFA58-7FF7-4BDB-BFFF-31DB4021D095}" scale="97" showGridLines="0"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s>
  <phoneticPr fontId="4" type="noConversion"/>
  <pageMargins left="0.39370078740157483" right="0.19685039370078741" top="0.98425196850393704" bottom="0.39370078740157483" header="0.51181102362204722" footer="0.19685039370078741"/>
  <pageSetup paperSize="9" scale="63" orientation="landscape" r:id="rId1"/>
  <headerFooter alignWithMargins="0">
    <oddHeader>&amp;C&amp;12Bezeq - The Israel Telecommunication Corp. Ltd</oddHeader>
    <oddFooter>&amp;R&amp;P of &amp;N
KPIs</oddFooter>
  </headerFooter>
  <rowBreaks count="2" manualBreakCount="2">
    <brk id="63" max="16383" man="1"/>
    <brk id="297" max="16383"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0"/>
  <sheetViews>
    <sheetView showGridLines="0" tabSelected="1" topLeftCell="A16" zoomScale="120" zoomScaleNormal="120" workbookViewId="0">
      <selection activeCell="M32" sqref="M32"/>
    </sheetView>
  </sheetViews>
  <sheetFormatPr defaultRowHeight="12.75"/>
  <cols>
    <col min="1" max="1" width="3.140625" customWidth="1"/>
    <col min="2" max="2" width="27.7109375" customWidth="1"/>
    <col min="3" max="3" width="14.5703125" customWidth="1"/>
    <col min="4" max="4" width="12.5703125" customWidth="1"/>
    <col min="5" max="5" width="24.42578125" customWidth="1"/>
    <col min="6" max="6" width="25.140625" customWidth="1"/>
    <col min="7" max="7" width="10.5703125" bestFit="1" customWidth="1"/>
  </cols>
  <sheetData>
    <row r="1" spans="2:6">
      <c r="B1" s="101"/>
      <c r="C1" s="101"/>
      <c r="D1" s="101"/>
      <c r="E1" s="101"/>
      <c r="F1" s="101"/>
    </row>
    <row r="2" spans="2:6">
      <c r="B2" s="101"/>
      <c r="C2" s="46"/>
      <c r="D2" s="46"/>
      <c r="E2" s="46"/>
      <c r="F2" s="46"/>
    </row>
    <row r="3" spans="2:6">
      <c r="B3" s="56"/>
      <c r="C3" s="46"/>
      <c r="D3" s="46"/>
      <c r="E3" s="46"/>
      <c r="F3" s="46"/>
    </row>
    <row r="4" spans="2:6" ht="6.75" customHeight="1">
      <c r="B4" s="43"/>
      <c r="C4" s="44"/>
      <c r="D4" s="44"/>
      <c r="E4" s="44"/>
      <c r="F4" s="44"/>
    </row>
    <row r="5" spans="2:6" ht="20.25">
      <c r="B5" s="34" t="s">
        <v>319</v>
      </c>
      <c r="C5" s="26"/>
      <c r="D5" s="26"/>
      <c r="E5" s="26"/>
      <c r="F5" s="26"/>
    </row>
    <row r="6" spans="2:6" ht="12" customHeight="1">
      <c r="B6" s="234"/>
      <c r="C6" s="234"/>
      <c r="D6" s="234"/>
      <c r="E6" s="60"/>
      <c r="F6" s="60"/>
    </row>
    <row r="7" spans="2:6" ht="8.25" customHeight="1">
      <c r="B7" s="39"/>
      <c r="C7" s="41"/>
      <c r="D7" s="41"/>
      <c r="E7" s="41"/>
      <c r="F7" s="41"/>
    </row>
    <row r="9" spans="2:6">
      <c r="B9" s="240" t="s">
        <v>290</v>
      </c>
      <c r="C9" s="240" t="s">
        <v>294</v>
      </c>
      <c r="D9" s="240" t="s">
        <v>291</v>
      </c>
    </row>
    <row r="10" spans="2:6">
      <c r="B10" s="233" t="s">
        <v>292</v>
      </c>
      <c r="C10" s="233" t="s">
        <v>392</v>
      </c>
      <c r="D10" s="267" t="s">
        <v>363</v>
      </c>
    </row>
    <row r="12" spans="2:6">
      <c r="B12" s="233" t="s">
        <v>293</v>
      </c>
      <c r="C12" s="267" t="s">
        <v>362</v>
      </c>
      <c r="D12" s="267" t="s">
        <v>363</v>
      </c>
    </row>
    <row r="15" spans="2:6">
      <c r="B15" s="240" t="s">
        <v>361</v>
      </c>
    </row>
    <row r="16" spans="2:6">
      <c r="B16" t="s">
        <v>403</v>
      </c>
    </row>
    <row r="18" spans="2:7">
      <c r="B18" s="240" t="s">
        <v>344</v>
      </c>
    </row>
    <row r="19" spans="2:7" ht="18" customHeight="1">
      <c r="B19" s="241"/>
      <c r="C19" s="242" t="s">
        <v>300</v>
      </c>
      <c r="D19" s="243" t="s">
        <v>301</v>
      </c>
      <c r="E19" s="242" t="s">
        <v>302</v>
      </c>
      <c r="F19" s="242" t="s">
        <v>303</v>
      </c>
    </row>
    <row r="20" spans="2:7">
      <c r="B20" s="241"/>
      <c r="E20" s="242"/>
      <c r="F20" s="244"/>
    </row>
    <row r="21" spans="2:7" ht="15" customHeight="1">
      <c r="B21" s="235" t="s">
        <v>295</v>
      </c>
      <c r="C21" s="236">
        <v>518850</v>
      </c>
      <c r="D21" s="236">
        <v>35708</v>
      </c>
      <c r="E21" s="236">
        <v>156853</v>
      </c>
      <c r="F21" s="236">
        <f>SUM(C21:E21)</f>
        <v>711411</v>
      </c>
    </row>
    <row r="22" spans="2:7" ht="15" customHeight="1">
      <c r="B22" s="235" t="s">
        <v>296</v>
      </c>
      <c r="C22" s="236">
        <v>518850</v>
      </c>
      <c r="D22" s="236">
        <v>35708</v>
      </c>
      <c r="E22" s="236">
        <v>137104</v>
      </c>
      <c r="F22" s="236">
        <f t="shared" ref="F22:F25" si="0">SUM(C22:E22)</f>
        <v>691662</v>
      </c>
    </row>
    <row r="23" spans="2:7" ht="15" customHeight="1">
      <c r="B23" s="235" t="s">
        <v>297</v>
      </c>
      <c r="C23" s="236">
        <v>607273</v>
      </c>
      <c r="D23" s="236">
        <v>250205</v>
      </c>
      <c r="E23" s="236">
        <v>117355</v>
      </c>
      <c r="F23" s="236">
        <f t="shared" si="0"/>
        <v>974833</v>
      </c>
    </row>
    <row r="24" spans="2:7" ht="15" customHeight="1">
      <c r="B24" s="235" t="s">
        <v>298</v>
      </c>
      <c r="C24" s="236">
        <v>265270</v>
      </c>
      <c r="D24" s="236">
        <v>643490</v>
      </c>
      <c r="E24" s="236">
        <v>87970</v>
      </c>
      <c r="F24" s="236">
        <f t="shared" si="0"/>
        <v>996730</v>
      </c>
    </row>
    <row r="25" spans="2:7" ht="15" customHeight="1">
      <c r="B25" s="235" t="s">
        <v>299</v>
      </c>
      <c r="C25" s="236">
        <v>530539</v>
      </c>
      <c r="D25" s="236">
        <v>1286981</v>
      </c>
      <c r="E25" s="236">
        <v>87970</v>
      </c>
      <c r="F25" s="236">
        <f t="shared" si="0"/>
        <v>1905490</v>
      </c>
    </row>
    <row r="26" spans="2:7">
      <c r="B26" s="238" t="s">
        <v>304</v>
      </c>
      <c r="C26" s="239">
        <f>SUM(C21:C25)</f>
        <v>2440782</v>
      </c>
      <c r="D26" s="239">
        <f>SUM(D21:D25)</f>
        <v>2252092</v>
      </c>
      <c r="E26" s="239">
        <f>SUM(E21:E25)</f>
        <v>587252</v>
      </c>
      <c r="F26" s="239">
        <f>SUM(F21:F25)</f>
        <v>5280126</v>
      </c>
      <c r="G26" s="294"/>
    </row>
    <row r="29" spans="2:7">
      <c r="B29" s="240" t="s">
        <v>345</v>
      </c>
    </row>
    <row r="30" spans="2:7" ht="18" customHeight="1">
      <c r="B30" s="241"/>
      <c r="C30" s="242" t="s">
        <v>300</v>
      </c>
      <c r="D30" s="243" t="s">
        <v>301</v>
      </c>
      <c r="E30" s="242" t="s">
        <v>302</v>
      </c>
      <c r="F30" s="242" t="s">
        <v>303</v>
      </c>
    </row>
    <row r="31" spans="2:7">
      <c r="B31" s="241"/>
      <c r="C31" s="242"/>
      <c r="D31" s="243"/>
      <c r="E31" s="242"/>
      <c r="F31" s="244"/>
    </row>
    <row r="32" spans="2:7" ht="15" customHeight="1">
      <c r="B32" s="235" t="s">
        <v>295</v>
      </c>
      <c r="C32" s="236">
        <v>0</v>
      </c>
      <c r="D32" s="236">
        <v>61667</v>
      </c>
      <c r="E32" s="236">
        <v>95746</v>
      </c>
      <c r="F32" s="236">
        <f>SUM(C32:E32)</f>
        <v>157413</v>
      </c>
    </row>
    <row r="33" spans="2:6" ht="15" customHeight="1">
      <c r="B33" s="235" t="s">
        <v>296</v>
      </c>
      <c r="C33" s="236">
        <v>0</v>
      </c>
      <c r="D33" s="236">
        <v>123333</v>
      </c>
      <c r="E33" s="236">
        <v>92674</v>
      </c>
      <c r="F33" s="236">
        <f t="shared" ref="F33:F36" si="1">SUM(C33:E33)</f>
        <v>216007</v>
      </c>
    </row>
    <row r="34" spans="2:6" ht="15" customHeight="1">
      <c r="B34" s="235" t="s">
        <v>297</v>
      </c>
      <c r="C34" s="236">
        <v>0</v>
      </c>
      <c r="D34" s="236">
        <v>101667</v>
      </c>
      <c r="E34" s="236">
        <v>87890</v>
      </c>
      <c r="F34" s="236">
        <f t="shared" si="1"/>
        <v>189557</v>
      </c>
    </row>
    <row r="35" spans="2:6" ht="15" customHeight="1">
      <c r="B35" s="235" t="s">
        <v>298</v>
      </c>
      <c r="C35" s="236">
        <v>0</v>
      </c>
      <c r="D35" s="236">
        <v>301667</v>
      </c>
      <c r="E35" s="236">
        <v>84078</v>
      </c>
      <c r="F35" s="236">
        <f t="shared" si="1"/>
        <v>385745</v>
      </c>
    </row>
    <row r="36" spans="2:6" ht="15" customHeight="1">
      <c r="B36" s="235" t="s">
        <v>299</v>
      </c>
      <c r="C36" s="236">
        <v>799240</v>
      </c>
      <c r="D36" s="236">
        <v>1567860</v>
      </c>
      <c r="E36" s="236">
        <v>273841</v>
      </c>
      <c r="F36" s="236">
        <f t="shared" si="1"/>
        <v>2640941</v>
      </c>
    </row>
    <row r="37" spans="2:6">
      <c r="B37" s="238" t="s">
        <v>304</v>
      </c>
      <c r="C37" s="239">
        <f>SUM(C32:C36)</f>
        <v>799240</v>
      </c>
      <c r="D37" s="239">
        <f>SUM(D32:D36)</f>
        <v>2156194</v>
      </c>
      <c r="E37" s="239">
        <f>SUM(E32:E36)</f>
        <v>634229</v>
      </c>
      <c r="F37" s="239">
        <f>SUM(F32:F36)</f>
        <v>3589663</v>
      </c>
    </row>
    <row r="38" spans="2:6">
      <c r="B38" s="240"/>
    </row>
    <row r="39" spans="2:6">
      <c r="B39" s="240"/>
    </row>
    <row r="40" spans="2:6">
      <c r="B40" s="240" t="s">
        <v>346</v>
      </c>
    </row>
    <row r="41" spans="2:6">
      <c r="B41" s="241"/>
      <c r="C41" s="242" t="s">
        <v>300</v>
      </c>
      <c r="D41" s="243" t="s">
        <v>301</v>
      </c>
      <c r="E41" s="242" t="s">
        <v>302</v>
      </c>
      <c r="F41" s="242" t="s">
        <v>303</v>
      </c>
    </row>
    <row r="42" spans="2:6">
      <c r="B42" s="241"/>
      <c r="C42" s="242"/>
      <c r="D42" s="243"/>
      <c r="E42" s="242"/>
      <c r="F42" s="244"/>
    </row>
    <row r="43" spans="2:6">
      <c r="B43" s="235" t="s">
        <v>295</v>
      </c>
      <c r="C43" s="236">
        <v>0</v>
      </c>
      <c r="D43" s="236">
        <v>343556</v>
      </c>
      <c r="E43" s="236">
        <v>64234</v>
      </c>
      <c r="F43" s="236">
        <f>SUM(C43:E43)</f>
        <v>407790</v>
      </c>
    </row>
    <row r="44" spans="2:6">
      <c r="B44" s="235" t="s">
        <v>296</v>
      </c>
      <c r="C44" s="236">
        <v>0</v>
      </c>
      <c r="D44" s="236">
        <v>221556</v>
      </c>
      <c r="E44" s="236">
        <v>48678</v>
      </c>
      <c r="F44" s="236">
        <f t="shared" ref="F44:F47" si="2">SUM(C44:E44)</f>
        <v>270234</v>
      </c>
    </row>
    <row r="45" spans="2:6">
      <c r="B45" s="235" t="s">
        <v>297</v>
      </c>
      <c r="C45" s="236">
        <v>0</v>
      </c>
      <c r="D45" s="236">
        <v>6000</v>
      </c>
      <c r="E45" s="236">
        <v>42534</v>
      </c>
      <c r="F45" s="236">
        <f t="shared" si="2"/>
        <v>48534</v>
      </c>
    </row>
    <row r="46" spans="2:6">
      <c r="B46" s="235" t="s">
        <v>298</v>
      </c>
      <c r="C46" s="236">
        <v>0</v>
      </c>
      <c r="D46" s="236">
        <v>6000</v>
      </c>
      <c r="E46" s="236">
        <v>42356</v>
      </c>
      <c r="F46" s="236">
        <f t="shared" si="2"/>
        <v>48356</v>
      </c>
    </row>
    <row r="47" spans="2:6">
      <c r="B47" s="235" t="s">
        <v>299</v>
      </c>
      <c r="C47" s="236">
        <v>0</v>
      </c>
      <c r="D47" s="236">
        <v>1239000</v>
      </c>
      <c r="E47" s="236">
        <v>68667</v>
      </c>
      <c r="F47" s="236">
        <f t="shared" si="2"/>
        <v>1307667</v>
      </c>
    </row>
    <row r="48" spans="2:6">
      <c r="B48" s="238" t="s">
        <v>304</v>
      </c>
      <c r="C48" s="239">
        <f>SUM(C43:C47)</f>
        <v>0</v>
      </c>
      <c r="D48" s="239">
        <f>SUM(D43:D47)</f>
        <v>1816112</v>
      </c>
      <c r="E48" s="239">
        <f>SUM(E43:E47)</f>
        <v>266469</v>
      </c>
      <c r="F48" s="239">
        <f>SUM(F43:F47)</f>
        <v>2082581</v>
      </c>
    </row>
    <row r="49" spans="2:6" ht="12.75" customHeight="1"/>
    <row r="50" spans="2:6" ht="12.75" customHeight="1">
      <c r="B50" s="240" t="s">
        <v>329</v>
      </c>
    </row>
    <row r="51" spans="2:6" ht="12.75" customHeight="1">
      <c r="B51" s="241"/>
      <c r="C51" s="242" t="s">
        <v>300</v>
      </c>
      <c r="D51" s="243" t="s">
        <v>301</v>
      </c>
      <c r="E51" s="242" t="s">
        <v>302</v>
      </c>
      <c r="F51" s="242" t="s">
        <v>303</v>
      </c>
    </row>
    <row r="52" spans="2:6" ht="12.75" customHeight="1">
      <c r="B52" s="241"/>
      <c r="C52" s="242"/>
      <c r="D52" s="243"/>
      <c r="E52" s="242"/>
      <c r="F52" s="244"/>
    </row>
    <row r="53" spans="2:6" ht="12.75" customHeight="1">
      <c r="B53" s="235" t="s">
        <v>295</v>
      </c>
      <c r="C53" s="236">
        <f>C43+C32+C21</f>
        <v>518850</v>
      </c>
      <c r="D53" s="236">
        <f>D43+D32+D21</f>
        <v>440931</v>
      </c>
      <c r="E53" s="236">
        <f>E43+E32+E21</f>
        <v>316833</v>
      </c>
      <c r="F53" s="236">
        <f>F43+F32+F21</f>
        <v>1276614</v>
      </c>
    </row>
    <row r="54" spans="2:6" ht="12.75" customHeight="1">
      <c r="B54" s="235" t="s">
        <v>296</v>
      </c>
      <c r="C54" s="236">
        <f t="shared" ref="C54:F57" si="3">C44+C33+C22</f>
        <v>518850</v>
      </c>
      <c r="D54" s="236">
        <f t="shared" si="3"/>
        <v>380597</v>
      </c>
      <c r="E54" s="236">
        <f t="shared" si="3"/>
        <v>278456</v>
      </c>
      <c r="F54" s="236">
        <f t="shared" si="3"/>
        <v>1177903</v>
      </c>
    </row>
    <row r="55" spans="2:6" ht="12.75" customHeight="1">
      <c r="B55" s="235" t="s">
        <v>297</v>
      </c>
      <c r="C55" s="236">
        <f t="shared" si="3"/>
        <v>607273</v>
      </c>
      <c r="D55" s="236">
        <f t="shared" si="3"/>
        <v>357872</v>
      </c>
      <c r="E55" s="236">
        <f t="shared" si="3"/>
        <v>247779</v>
      </c>
      <c r="F55" s="236">
        <f t="shared" si="3"/>
        <v>1212924</v>
      </c>
    </row>
    <row r="56" spans="2:6" ht="12.75" customHeight="1">
      <c r="B56" s="235" t="s">
        <v>298</v>
      </c>
      <c r="C56" s="236">
        <f t="shared" si="3"/>
        <v>265270</v>
      </c>
      <c r="D56" s="236">
        <f t="shared" si="3"/>
        <v>951157</v>
      </c>
      <c r="E56" s="236">
        <f t="shared" si="3"/>
        <v>214404</v>
      </c>
      <c r="F56" s="236">
        <f t="shared" si="3"/>
        <v>1430831</v>
      </c>
    </row>
    <row r="57" spans="2:6" ht="12.75" customHeight="1">
      <c r="B57" s="235" t="s">
        <v>299</v>
      </c>
      <c r="C57" s="236">
        <f t="shared" si="3"/>
        <v>1329779</v>
      </c>
      <c r="D57" s="236">
        <f t="shared" si="3"/>
        <v>4093841</v>
      </c>
      <c r="E57" s="236">
        <f t="shared" si="3"/>
        <v>430478</v>
      </c>
      <c r="F57" s="236">
        <f t="shared" si="3"/>
        <v>5854098</v>
      </c>
    </row>
    <row r="58" spans="2:6" ht="12.75" customHeight="1">
      <c r="B58" s="238" t="s">
        <v>304</v>
      </c>
      <c r="C58" s="239">
        <f>SUM(C53:C57)</f>
        <v>3240022</v>
      </c>
      <c r="D58" s="239">
        <f>SUM(D53:D57)</f>
        <v>6224398</v>
      </c>
      <c r="E58" s="239">
        <f>SUM(E53:E57)</f>
        <v>1487950</v>
      </c>
      <c r="F58" s="239">
        <f>SUM(F53:F57)</f>
        <v>10952370</v>
      </c>
    </row>
    <row r="59" spans="2:6" ht="12.75" customHeight="1">
      <c r="B59" s="240"/>
    </row>
    <row r="61" spans="2:6">
      <c r="B61" s="240" t="s">
        <v>330</v>
      </c>
    </row>
    <row r="62" spans="2:6">
      <c r="B62" s="241"/>
      <c r="C62" s="242" t="s">
        <v>300</v>
      </c>
      <c r="D62" s="243" t="s">
        <v>301</v>
      </c>
      <c r="E62" s="242" t="s">
        <v>302</v>
      </c>
      <c r="F62" s="242" t="s">
        <v>303</v>
      </c>
    </row>
    <row r="63" spans="2:6">
      <c r="B63" s="241"/>
      <c r="C63" s="242"/>
      <c r="D63" s="243"/>
      <c r="E63" s="242"/>
      <c r="F63" s="244"/>
    </row>
    <row r="64" spans="2:6">
      <c r="B64" s="235" t="s">
        <v>295</v>
      </c>
      <c r="C64" s="236">
        <v>0</v>
      </c>
      <c r="D64" s="236">
        <v>6818</v>
      </c>
      <c r="E64" s="236">
        <v>116</v>
      </c>
      <c r="F64" s="236">
        <f>SUM(C64:E64)</f>
        <v>6934</v>
      </c>
    </row>
    <row r="65" spans="2:6">
      <c r="B65" s="235" t="s">
        <v>296</v>
      </c>
      <c r="C65" s="236">
        <v>0</v>
      </c>
      <c r="D65" s="236">
        <v>0</v>
      </c>
      <c r="E65" s="236">
        <v>0</v>
      </c>
      <c r="F65" s="236">
        <f t="shared" ref="F65:F68" si="4">SUM(C65:E65)</f>
        <v>0</v>
      </c>
    </row>
    <row r="66" spans="2:6">
      <c r="B66" s="235" t="s">
        <v>297</v>
      </c>
      <c r="C66" s="237">
        <v>0</v>
      </c>
      <c r="D66" s="236">
        <v>0</v>
      </c>
      <c r="E66" s="236">
        <v>0</v>
      </c>
      <c r="F66" s="236">
        <f t="shared" si="4"/>
        <v>0</v>
      </c>
    </row>
    <row r="67" spans="2:6">
      <c r="B67" s="235" t="s">
        <v>298</v>
      </c>
      <c r="C67" s="237">
        <v>0</v>
      </c>
      <c r="D67" s="236">
        <v>0</v>
      </c>
      <c r="E67" s="236">
        <v>0</v>
      </c>
      <c r="F67" s="236">
        <f t="shared" si="4"/>
        <v>0</v>
      </c>
    </row>
    <row r="68" spans="2:6">
      <c r="B68" s="235" t="s">
        <v>299</v>
      </c>
      <c r="C68" s="236">
        <v>0</v>
      </c>
      <c r="D68" s="236">
        <v>0</v>
      </c>
      <c r="E68" s="236">
        <v>0</v>
      </c>
      <c r="F68" s="236">
        <f t="shared" si="4"/>
        <v>0</v>
      </c>
    </row>
    <row r="69" spans="2:6">
      <c r="B69" s="238" t="s">
        <v>304</v>
      </c>
      <c r="C69" s="239">
        <f>SUM(C64:C68)</f>
        <v>0</v>
      </c>
      <c r="D69" s="239">
        <f>SUM(D64:D68)</f>
        <v>6818</v>
      </c>
      <c r="E69" s="239">
        <f>SUM(E64:E68)</f>
        <v>116</v>
      </c>
      <c r="F69" s="239">
        <f>SUM(F64:F68)</f>
        <v>6934</v>
      </c>
    </row>
    <row r="70" spans="2:6" ht="6.75" customHeight="1">
      <c r="B70" s="43"/>
      <c r="C70" s="44"/>
      <c r="D70" s="44"/>
      <c r="E70" s="44"/>
      <c r="F70" s="44"/>
    </row>
  </sheetData>
  <pageMargins left="0.70866141732283472" right="0.70866141732283472" top="0.39370078740157483" bottom="0.59055118110236227" header="0.11811023622047245" footer="0.31496062992125984"/>
  <pageSetup paperSize="9" orientation="landscape" r:id="rId1"/>
  <headerFooter>
    <oddHeader>&amp;CBezeq - The Israel Telecommunication Corp. Ltd</oddHeader>
    <oddFooter>&amp;R&amp;P of &amp;N
Debt Ratings and Repayments</oddFooter>
  </headerFooter>
  <rowBreaks count="1" manualBreakCount="1">
    <brk id="37" min="1" max="5"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7"/>
  <sheetViews>
    <sheetView showGridLines="0" tabSelected="1" zoomScale="140" zoomScaleNormal="140" workbookViewId="0">
      <selection activeCell="M32" sqref="M32"/>
    </sheetView>
  </sheetViews>
  <sheetFormatPr defaultRowHeight="12.75"/>
  <cols>
    <col min="1" max="1" width="1.28515625" style="233" customWidth="1"/>
    <col min="2" max="2" width="39.42578125" style="233" customWidth="1"/>
    <col min="3" max="4" width="9.140625" style="233"/>
    <col min="5" max="5" width="10.7109375" style="233" customWidth="1"/>
    <col min="6" max="6" width="1.7109375" style="233" customWidth="1"/>
    <col min="7" max="7" width="27.85546875" style="233" customWidth="1"/>
    <col min="8" max="16384" width="9.140625" style="233"/>
  </cols>
  <sheetData>
    <row r="1" spans="2:7">
      <c r="B1" s="245"/>
      <c r="C1" s="245"/>
      <c r="D1" s="246"/>
      <c r="E1" s="246"/>
      <c r="F1" s="246"/>
    </row>
    <row r="2" spans="2:7">
      <c r="B2" s="245"/>
      <c r="C2" s="245"/>
      <c r="D2" s="245"/>
      <c r="E2" s="245"/>
      <c r="F2" s="245"/>
    </row>
    <row r="3" spans="2:7">
      <c r="B3" s="46"/>
      <c r="C3" s="46" t="s">
        <v>5</v>
      </c>
      <c r="D3" s="46" t="s">
        <v>5</v>
      </c>
      <c r="E3" s="46" t="s">
        <v>5</v>
      </c>
      <c r="F3" s="46"/>
      <c r="G3" s="262" t="s">
        <v>321</v>
      </c>
    </row>
    <row r="4" spans="2:7">
      <c r="B4" s="47"/>
      <c r="C4" s="46">
        <v>2017</v>
      </c>
      <c r="D4" s="46">
        <v>2018</v>
      </c>
      <c r="E4" s="46">
        <v>2019</v>
      </c>
      <c r="F4" s="46"/>
    </row>
    <row r="5" spans="2:7" ht="4.5" customHeight="1">
      <c r="B5" s="43"/>
      <c r="C5" s="43"/>
      <c r="D5" s="247"/>
      <c r="E5" s="247"/>
      <c r="F5" s="247"/>
      <c r="G5" s="247"/>
    </row>
    <row r="6" spans="2:7">
      <c r="B6" s="248"/>
      <c r="C6" s="248"/>
      <c r="D6" s="248"/>
      <c r="E6" s="248"/>
      <c r="F6" s="248"/>
      <c r="G6" s="248"/>
    </row>
    <row r="7" spans="2:7" ht="20.25">
      <c r="B7" s="34" t="s">
        <v>320</v>
      </c>
      <c r="C7" s="27"/>
      <c r="D7" s="249"/>
      <c r="E7" s="249"/>
      <c r="F7" s="249"/>
      <c r="G7" s="249"/>
    </row>
    <row r="8" spans="2:7">
      <c r="B8" s="250"/>
      <c r="C8" s="250"/>
      <c r="D8" s="250"/>
      <c r="E8" s="250"/>
      <c r="F8" s="250"/>
      <c r="G8" s="250"/>
    </row>
    <row r="9" spans="2:7">
      <c r="B9" s="39" t="s">
        <v>323</v>
      </c>
      <c r="C9" s="39"/>
      <c r="D9" s="41"/>
      <c r="E9" s="41"/>
      <c r="F9" s="41"/>
      <c r="G9" s="41"/>
    </row>
    <row r="10" spans="2:7" ht="15" customHeight="1">
      <c r="B10" s="251" t="s">
        <v>305</v>
      </c>
      <c r="C10" s="255">
        <v>1725</v>
      </c>
      <c r="D10" s="255">
        <v>1740</v>
      </c>
      <c r="E10" s="255">
        <v>1593</v>
      </c>
      <c r="F10" s="255"/>
      <c r="G10" s="258" t="s">
        <v>332</v>
      </c>
    </row>
    <row r="11" spans="2:7" ht="15" customHeight="1">
      <c r="B11" s="251" t="s">
        <v>305</v>
      </c>
      <c r="C11" s="255">
        <v>631</v>
      </c>
      <c r="D11" s="255">
        <v>417</v>
      </c>
      <c r="E11" s="255">
        <v>243</v>
      </c>
      <c r="F11" s="255"/>
      <c r="G11" s="258" t="s">
        <v>328</v>
      </c>
    </row>
    <row r="12" spans="2:7" ht="15" customHeight="1">
      <c r="B12" s="251" t="s">
        <v>306</v>
      </c>
      <c r="C12" s="255">
        <v>675</v>
      </c>
      <c r="D12" s="255">
        <v>500</v>
      </c>
      <c r="E12" s="195" t="s">
        <v>138</v>
      </c>
      <c r="F12" s="195"/>
      <c r="G12" s="258" t="s">
        <v>327</v>
      </c>
    </row>
    <row r="13" spans="2:7" ht="15" customHeight="1">
      <c r="B13" s="251" t="s">
        <v>305</v>
      </c>
      <c r="C13" s="255">
        <v>300</v>
      </c>
      <c r="D13" s="195" t="s">
        <v>138</v>
      </c>
      <c r="E13" s="195" t="s">
        <v>138</v>
      </c>
      <c r="F13" s="195"/>
      <c r="G13" s="259"/>
    </row>
    <row r="14" spans="2:7" ht="15" customHeight="1">
      <c r="B14" s="252" t="s">
        <v>307</v>
      </c>
      <c r="C14" s="257">
        <f>SUM(C10:C13)</f>
        <v>3331</v>
      </c>
      <c r="D14" s="257">
        <f>SUM(D10:D13)</f>
        <v>2657</v>
      </c>
      <c r="E14" s="257">
        <f>SUM(E10:E13)</f>
        <v>1836</v>
      </c>
      <c r="F14" s="257"/>
      <c r="G14" s="258"/>
    </row>
    <row r="15" spans="2:7" ht="15" customHeight="1">
      <c r="B15" s="252"/>
      <c r="C15" s="255"/>
      <c r="D15" s="255"/>
      <c r="E15" s="255"/>
      <c r="F15" s="255"/>
      <c r="G15" s="258"/>
    </row>
    <row r="16" spans="2:7" ht="15" customHeight="1">
      <c r="B16" s="39" t="s">
        <v>322</v>
      </c>
      <c r="C16" s="215"/>
      <c r="D16" s="256"/>
      <c r="E16" s="256"/>
      <c r="F16" s="256"/>
      <c r="G16" s="260"/>
    </row>
    <row r="17" spans="2:7" ht="15" customHeight="1">
      <c r="B17" s="251" t="s">
        <v>305</v>
      </c>
      <c r="C17" s="255">
        <v>1695</v>
      </c>
      <c r="D17" s="255">
        <v>2014</v>
      </c>
      <c r="E17" s="255">
        <v>1517</v>
      </c>
      <c r="F17" s="255"/>
      <c r="G17" s="261" t="s">
        <v>333</v>
      </c>
    </row>
    <row r="18" spans="2:7" ht="15" customHeight="1">
      <c r="B18" s="251" t="s">
        <v>305</v>
      </c>
      <c r="C18" s="255">
        <v>67</v>
      </c>
      <c r="D18" s="255">
        <v>50</v>
      </c>
      <c r="E18" s="255">
        <v>33</v>
      </c>
      <c r="F18" s="255"/>
      <c r="G18" s="261">
        <v>5.2499999999999998E-2</v>
      </c>
    </row>
    <row r="19" spans="2:7" ht="15" customHeight="1">
      <c r="B19" s="252" t="s">
        <v>308</v>
      </c>
      <c r="C19" s="257">
        <f>SUM(C17:C18)</f>
        <v>1762</v>
      </c>
      <c r="D19" s="257">
        <f t="shared" ref="D19:E19" si="0">SUM(D17:D18)</f>
        <v>2064</v>
      </c>
      <c r="E19" s="257">
        <f t="shared" si="0"/>
        <v>1550</v>
      </c>
      <c r="F19" s="257"/>
      <c r="G19" s="258"/>
    </row>
    <row r="20" spans="2:7" ht="3.75" customHeight="1">
      <c r="B20" s="253"/>
      <c r="C20" s="255"/>
      <c r="D20" s="255"/>
      <c r="E20" s="255"/>
      <c r="F20" s="255"/>
      <c r="G20" s="258"/>
    </row>
    <row r="21" spans="2:7" ht="15" customHeight="1">
      <c r="B21" s="252" t="s">
        <v>309</v>
      </c>
      <c r="C21" s="257">
        <f>C19+C14</f>
        <v>5093</v>
      </c>
      <c r="D21" s="257">
        <f t="shared" ref="D21:E21" si="1">D19+D14</f>
        <v>4721</v>
      </c>
      <c r="E21" s="257">
        <f t="shared" si="1"/>
        <v>3386</v>
      </c>
      <c r="F21" s="257"/>
      <c r="G21" s="258"/>
    </row>
    <row r="22" spans="2:7" ht="15" customHeight="1">
      <c r="B22" s="253"/>
      <c r="C22" s="255"/>
      <c r="D22" s="255"/>
      <c r="E22" s="255"/>
      <c r="F22" s="255"/>
      <c r="G22" s="258"/>
    </row>
    <row r="23" spans="2:7" ht="15" customHeight="1">
      <c r="B23" s="39" t="s">
        <v>310</v>
      </c>
      <c r="C23" s="215"/>
      <c r="D23" s="256"/>
      <c r="E23" s="256"/>
      <c r="F23" s="256"/>
      <c r="G23" s="260"/>
    </row>
    <row r="24" spans="2:7" ht="15" customHeight="1">
      <c r="B24" s="251" t="s">
        <v>311</v>
      </c>
      <c r="C24" s="255">
        <v>3176</v>
      </c>
      <c r="D24" s="255">
        <v>2553</v>
      </c>
      <c r="E24" s="255">
        <v>1600</v>
      </c>
      <c r="F24" s="255"/>
      <c r="G24" s="261">
        <v>3.6999999999999998E-2</v>
      </c>
    </row>
    <row r="25" spans="2:7" ht="15" customHeight="1">
      <c r="B25" s="251" t="s">
        <v>324</v>
      </c>
      <c r="C25" s="255">
        <v>732</v>
      </c>
      <c r="D25" s="255">
        <v>586</v>
      </c>
      <c r="E25" s="255">
        <v>107</v>
      </c>
      <c r="F25" s="255"/>
      <c r="G25" s="258" t="s">
        <v>326</v>
      </c>
    </row>
    <row r="26" spans="2:7" ht="15" customHeight="1">
      <c r="B26" s="251" t="s">
        <v>325</v>
      </c>
      <c r="C26" s="255">
        <v>1645</v>
      </c>
      <c r="D26" s="255">
        <v>2208</v>
      </c>
      <c r="E26" s="255">
        <v>2197</v>
      </c>
      <c r="F26" s="255"/>
      <c r="G26" s="261">
        <v>3.6499999999999998E-2</v>
      </c>
    </row>
    <row r="27" spans="2:7" ht="15" customHeight="1">
      <c r="B27" s="251" t="s">
        <v>312</v>
      </c>
      <c r="C27" s="255">
        <v>900</v>
      </c>
      <c r="D27" s="255">
        <v>903</v>
      </c>
      <c r="E27" s="255">
        <v>902</v>
      </c>
      <c r="F27" s="255"/>
      <c r="G27" s="259">
        <v>2.1999999999999999E-2</v>
      </c>
    </row>
    <row r="28" spans="2:7" ht="15" customHeight="1">
      <c r="B28" s="252" t="s">
        <v>313</v>
      </c>
      <c r="C28" s="257">
        <f>SUM(C24:C27)</f>
        <v>6453</v>
      </c>
      <c r="D28" s="257">
        <f t="shared" ref="D28:E28" si="2">SUM(D24:D27)</f>
        <v>6250</v>
      </c>
      <c r="E28" s="257">
        <f t="shared" si="2"/>
        <v>4806</v>
      </c>
      <c r="F28" s="257"/>
      <c r="G28" s="258"/>
    </row>
    <row r="29" spans="2:7" ht="15" customHeight="1">
      <c r="B29" s="252"/>
      <c r="C29" s="257"/>
      <c r="D29" s="257"/>
      <c r="E29" s="257"/>
      <c r="F29" s="257"/>
      <c r="G29" s="258"/>
    </row>
    <row r="30" spans="2:7" ht="15" customHeight="1">
      <c r="B30" s="39" t="s">
        <v>334</v>
      </c>
      <c r="C30" s="215"/>
      <c r="D30" s="260"/>
      <c r="E30" s="260"/>
      <c r="F30" s="260"/>
      <c r="G30" s="260"/>
    </row>
    <row r="31" spans="2:7" ht="15" customHeight="1">
      <c r="B31" s="251" t="s">
        <v>335</v>
      </c>
      <c r="C31" s="195" t="s">
        <v>138</v>
      </c>
      <c r="D31" s="195" t="s">
        <v>138</v>
      </c>
      <c r="E31" s="257">
        <v>605</v>
      </c>
      <c r="F31" s="257"/>
      <c r="G31" s="259">
        <v>3.5999999999999997E-2</v>
      </c>
    </row>
    <row r="32" spans="2:7" ht="15" customHeight="1">
      <c r="B32" s="251" t="s">
        <v>336</v>
      </c>
      <c r="C32" s="195" t="s">
        <v>138</v>
      </c>
      <c r="D32" s="195" t="s">
        <v>138</v>
      </c>
      <c r="E32" s="257">
        <v>761</v>
      </c>
      <c r="F32" s="257"/>
      <c r="G32" s="259">
        <v>2.1000000000000001E-2</v>
      </c>
    </row>
    <row r="33" spans="2:7" ht="15" customHeight="1">
      <c r="B33" s="252" t="s">
        <v>313</v>
      </c>
      <c r="C33" s="195" t="s">
        <v>138</v>
      </c>
      <c r="D33" s="195" t="s">
        <v>138</v>
      </c>
      <c r="E33" s="266">
        <f>E31+E32</f>
        <v>1366</v>
      </c>
      <c r="F33" s="266"/>
      <c r="G33" s="258"/>
    </row>
    <row r="34" spans="2:7" ht="15" customHeight="1">
      <c r="B34" s="252"/>
      <c r="C34" s="255"/>
      <c r="D34" s="255"/>
      <c r="E34" s="255"/>
      <c r="F34" s="255"/>
      <c r="G34" s="258"/>
    </row>
    <row r="35" spans="2:7" ht="15" customHeight="1">
      <c r="B35" s="39" t="s">
        <v>331</v>
      </c>
      <c r="C35" s="215"/>
      <c r="D35" s="260"/>
      <c r="E35" s="260"/>
      <c r="F35" s="260"/>
      <c r="G35" s="260"/>
    </row>
    <row r="36" spans="2:7" ht="33.75" customHeight="1">
      <c r="B36" s="251" t="s">
        <v>314</v>
      </c>
      <c r="C36" s="255">
        <v>15</v>
      </c>
      <c r="D36" s="255">
        <v>8</v>
      </c>
      <c r="E36" s="257">
        <f t="shared" ref="D36:E38" si="3">SUM(E34:E35)</f>
        <v>0</v>
      </c>
      <c r="F36" s="257"/>
      <c r="G36" s="261"/>
    </row>
    <row r="37" spans="2:7" ht="21" customHeight="1">
      <c r="B37" s="251" t="s">
        <v>315</v>
      </c>
      <c r="C37" s="255">
        <v>300</v>
      </c>
      <c r="D37" s="255">
        <v>200</v>
      </c>
      <c r="E37" s="257">
        <f t="shared" si="3"/>
        <v>0</v>
      </c>
      <c r="F37" s="257"/>
      <c r="G37" s="261"/>
    </row>
    <row r="38" spans="2:7" ht="22.5" customHeight="1">
      <c r="B38" s="252" t="s">
        <v>316</v>
      </c>
      <c r="C38" s="257">
        <f>SUM(C36:C37)</f>
        <v>315</v>
      </c>
      <c r="D38" s="257">
        <f t="shared" si="3"/>
        <v>208</v>
      </c>
      <c r="E38" s="257">
        <f t="shared" si="3"/>
        <v>0</v>
      </c>
      <c r="F38" s="257"/>
      <c r="G38" s="258"/>
    </row>
    <row r="39" spans="2:7" ht="15" customHeight="1">
      <c r="B39" s="252" t="s">
        <v>317</v>
      </c>
      <c r="C39" s="257">
        <f>C38+C28</f>
        <v>6768</v>
      </c>
      <c r="D39" s="257">
        <f>D38+D28</f>
        <v>6458</v>
      </c>
      <c r="E39" s="257">
        <f>E28+E33+E38</f>
        <v>6172</v>
      </c>
      <c r="F39" s="257"/>
    </row>
    <row r="40" spans="2:7" ht="15" customHeight="1">
      <c r="C40" s="255"/>
      <c r="D40" s="255"/>
      <c r="E40" s="255"/>
      <c r="F40" s="255"/>
    </row>
    <row r="41" spans="2:7" ht="15" customHeight="1">
      <c r="B41" s="252" t="s">
        <v>318</v>
      </c>
      <c r="C41" s="257">
        <f>C39+C21</f>
        <v>11861</v>
      </c>
      <c r="D41" s="257">
        <f>D39+D21</f>
        <v>11179</v>
      </c>
      <c r="E41" s="257">
        <f>E39+E21</f>
        <v>9558</v>
      </c>
      <c r="F41" s="257"/>
    </row>
    <row r="42" spans="2:7" ht="4.5" customHeight="1">
      <c r="B42" s="43"/>
      <c r="C42" s="43"/>
      <c r="D42" s="247"/>
      <c r="E42" s="247"/>
      <c r="F42" s="247"/>
      <c r="G42" s="247"/>
    </row>
    <row r="43" spans="2:7" ht="15" customHeight="1">
      <c r="B43" s="254"/>
      <c r="C43" s="255"/>
      <c r="D43" s="255"/>
      <c r="E43" s="255"/>
      <c r="F43" s="255"/>
    </row>
    <row r="44" spans="2:7" ht="15" customHeight="1">
      <c r="B44" s="254"/>
      <c r="C44" s="255"/>
      <c r="D44" s="255"/>
      <c r="E44" s="255"/>
      <c r="F44" s="255"/>
    </row>
    <row r="45" spans="2:7" ht="15" customHeight="1">
      <c r="B45" s="254"/>
      <c r="C45" s="255"/>
      <c r="D45" s="255"/>
      <c r="E45" s="255"/>
      <c r="F45" s="255"/>
    </row>
    <row r="46" spans="2:7" ht="15" customHeight="1">
      <c r="D46" s="257"/>
      <c r="E46" s="257"/>
      <c r="F46" s="257"/>
    </row>
    <row r="47" spans="2:7" ht="15" customHeight="1"/>
    <row r="56" spans="4:6">
      <c r="D56" s="257"/>
      <c r="E56" s="257"/>
      <c r="F56" s="257"/>
    </row>
    <row r="67" spans="4:6">
      <c r="D67" s="257"/>
      <c r="E67" s="257"/>
      <c r="F67" s="257"/>
    </row>
  </sheetData>
  <pageMargins left="0.70866141732283472" right="0.70866141732283472" top="0.39370078740157483" bottom="0.39370078740157483" header="0.11811023622047245" footer="0.31496062992125984"/>
  <pageSetup paperSize="9" scale="88" orientation="landscape" r:id="rId1"/>
  <headerFooter>
    <oddHeader>&amp;CBezeq - The Israel Telecommunication Corp. Ltd</oddHeader>
    <oddFooter>&amp;R&amp;P of &amp;N
Debt Terms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4"/>
  <sheetViews>
    <sheetView showGridLines="0" tabSelected="1" topLeftCell="A34" zoomScale="120" zoomScaleNormal="120" workbookViewId="0">
      <selection activeCell="M32" sqref="M32"/>
    </sheetView>
  </sheetViews>
  <sheetFormatPr defaultRowHeight="12.75"/>
  <cols>
    <col min="1" max="1" width="0.85546875" customWidth="1"/>
    <col min="2" max="2" width="56.42578125" customWidth="1"/>
    <col min="3" max="3" width="20.28515625" customWidth="1"/>
    <col min="4" max="4" width="15.5703125" customWidth="1"/>
    <col min="5" max="5" width="17" customWidth="1"/>
  </cols>
  <sheetData>
    <row r="1" spans="2:5" ht="15.75">
      <c r="B1" s="29"/>
      <c r="C1" s="29"/>
      <c r="D1" s="29"/>
      <c r="E1" s="65"/>
    </row>
    <row r="2" spans="2:5">
      <c r="B2" s="29"/>
      <c r="C2" s="29"/>
      <c r="D2" s="29"/>
      <c r="E2" s="29"/>
    </row>
    <row r="3" spans="2:5">
      <c r="B3" s="30"/>
      <c r="C3" s="291" t="s">
        <v>394</v>
      </c>
      <c r="D3" s="290" t="s">
        <v>395</v>
      </c>
      <c r="E3" s="290" t="s">
        <v>397</v>
      </c>
    </row>
    <row r="4" spans="2:5">
      <c r="B4" s="268" t="s">
        <v>169</v>
      </c>
      <c r="C4" s="292" t="s">
        <v>393</v>
      </c>
      <c r="D4" s="291" t="s">
        <v>396</v>
      </c>
      <c r="E4" s="291" t="s">
        <v>398</v>
      </c>
    </row>
    <row r="5" spans="2:5" ht="7.5" customHeight="1">
      <c r="B5" s="43"/>
      <c r="C5" s="43"/>
      <c r="D5" s="43"/>
      <c r="E5" s="45"/>
    </row>
    <row r="6" spans="2:5" ht="7.5" customHeight="1">
      <c r="B6" s="57"/>
      <c r="C6" s="57"/>
      <c r="D6" s="57"/>
      <c r="E6" s="57"/>
    </row>
    <row r="7" spans="2:5" ht="20.25">
      <c r="B7" s="34" t="s">
        <v>399</v>
      </c>
      <c r="C7" s="34"/>
      <c r="D7" s="34"/>
      <c r="E7" s="20"/>
    </row>
    <row r="8" spans="2:5" ht="6.75" customHeight="1">
      <c r="B8" s="39"/>
      <c r="C8" s="39"/>
      <c r="D8" s="39"/>
      <c r="E8" s="41"/>
    </row>
    <row r="9" spans="2:5" ht="12.6" customHeight="1">
      <c r="B9" s="77" t="s">
        <v>366</v>
      </c>
      <c r="C9" s="290">
        <v>644</v>
      </c>
      <c r="D9" s="182">
        <v>1070</v>
      </c>
      <c r="E9" s="182">
        <v>1333</v>
      </c>
    </row>
    <row r="10" spans="2:5" ht="12.6" customHeight="1">
      <c r="B10" s="69"/>
      <c r="C10" s="69"/>
      <c r="D10" s="71"/>
      <c r="E10" s="70"/>
    </row>
    <row r="11" spans="2:5" ht="12.6" customHeight="1">
      <c r="B11" s="284" t="s">
        <v>367</v>
      </c>
      <c r="C11" s="284"/>
      <c r="D11" s="284"/>
      <c r="E11" s="285"/>
    </row>
    <row r="12" spans="2:5" ht="12.6" customHeight="1">
      <c r="B12" s="272" t="s">
        <v>368</v>
      </c>
      <c r="C12" s="276">
        <v>1195</v>
      </c>
      <c r="D12" s="276">
        <v>1999</v>
      </c>
      <c r="E12" s="276">
        <v>1966</v>
      </c>
    </row>
    <row r="13" spans="2:5" ht="12.6" customHeight="1">
      <c r="B13" s="273" t="s">
        <v>369</v>
      </c>
      <c r="C13" s="273">
        <v>218</v>
      </c>
      <c r="D13" s="273">
        <v>135</v>
      </c>
      <c r="E13" s="273">
        <v>7</v>
      </c>
    </row>
    <row r="14" spans="2:5" ht="12.6" customHeight="1">
      <c r="B14" s="273" t="s">
        <v>370</v>
      </c>
      <c r="C14" s="274">
        <v>754</v>
      </c>
      <c r="D14" s="274">
        <v>300</v>
      </c>
      <c r="E14" s="280" t="s">
        <v>138</v>
      </c>
    </row>
    <row r="15" spans="2:5" ht="12.6" customHeight="1">
      <c r="B15" s="273" t="s">
        <v>371</v>
      </c>
      <c r="C15" s="273">
        <v>4</v>
      </c>
      <c r="D15" s="273">
        <v>59</v>
      </c>
      <c r="E15" s="273">
        <v>61</v>
      </c>
    </row>
    <row r="16" spans="2:5" ht="12.6" customHeight="1">
      <c r="B16" s="272" t="s">
        <v>372</v>
      </c>
      <c r="C16" s="276">
        <f>SUM(C13:C15)</f>
        <v>976</v>
      </c>
      <c r="D16" s="276">
        <f>SUM(D13:D15)</f>
        <v>494</v>
      </c>
      <c r="E16" s="276">
        <f>SUM(E13:E15)</f>
        <v>68</v>
      </c>
    </row>
    <row r="17" spans="2:5" ht="12.6" customHeight="1">
      <c r="B17" s="273" t="s">
        <v>405</v>
      </c>
      <c r="C17" s="273">
        <v>900</v>
      </c>
      <c r="D17" s="273">
        <v>700</v>
      </c>
      <c r="E17" s="273">
        <v>700</v>
      </c>
    </row>
    <row r="18" spans="2:5" ht="12.6" customHeight="1">
      <c r="B18" s="272" t="s">
        <v>373</v>
      </c>
      <c r="C18" s="277">
        <f>C17</f>
        <v>900</v>
      </c>
      <c r="D18" s="277">
        <f>D17</f>
        <v>700</v>
      </c>
      <c r="E18" s="277">
        <f>E17</f>
        <v>700</v>
      </c>
    </row>
    <row r="19" spans="2:5" ht="12.6" customHeight="1">
      <c r="B19" s="271" t="s">
        <v>377</v>
      </c>
      <c r="C19" s="281">
        <f>C12+C16+C18</f>
        <v>3071</v>
      </c>
      <c r="D19" s="281">
        <f>D12+D16+D18</f>
        <v>3193</v>
      </c>
      <c r="E19" s="281">
        <f>E12+E16+E18</f>
        <v>2734</v>
      </c>
    </row>
    <row r="20" spans="2:5" ht="5.25" customHeight="1">
      <c r="B20" s="270"/>
      <c r="C20" s="269"/>
      <c r="D20" s="269"/>
      <c r="E20" s="269"/>
    </row>
    <row r="21" spans="2:5" ht="12.6" customHeight="1">
      <c r="B21" s="273" t="s">
        <v>374</v>
      </c>
      <c r="C21" s="273">
        <v>36</v>
      </c>
      <c r="D21" s="273">
        <v>83</v>
      </c>
      <c r="E21" s="273">
        <v>207</v>
      </c>
    </row>
    <row r="22" spans="2:5" ht="12.6" customHeight="1">
      <c r="B22" s="273" t="s">
        <v>375</v>
      </c>
      <c r="C22" s="273">
        <v>16</v>
      </c>
      <c r="D22" s="280" t="s">
        <v>138</v>
      </c>
      <c r="E22" s="280" t="s">
        <v>138</v>
      </c>
    </row>
    <row r="23" spans="2:5" ht="12.6" customHeight="1">
      <c r="B23" s="273" t="s">
        <v>371</v>
      </c>
      <c r="C23" s="280" t="s">
        <v>138</v>
      </c>
      <c r="D23" s="280" t="s">
        <v>138</v>
      </c>
      <c r="E23" s="280" t="s">
        <v>138</v>
      </c>
    </row>
    <row r="24" spans="2:5" ht="12.6" customHeight="1">
      <c r="B24" s="272" t="s">
        <v>376</v>
      </c>
      <c r="C24" s="277">
        <f>SUM(C21:C23)</f>
        <v>52</v>
      </c>
      <c r="D24" s="277">
        <f>SUM(D21:D23)</f>
        <v>83</v>
      </c>
      <c r="E24" s="277">
        <f>SUM(E21:E23)</f>
        <v>207</v>
      </c>
    </row>
    <row r="25" spans="2:5" ht="12.6" customHeight="1">
      <c r="B25" s="286" t="s">
        <v>389</v>
      </c>
      <c r="C25" s="287">
        <f>C19+C24</f>
        <v>3123</v>
      </c>
      <c r="D25" s="287">
        <f>D19+D24</f>
        <v>3276</v>
      </c>
      <c r="E25" s="287">
        <f>E19+E24</f>
        <v>2941</v>
      </c>
    </row>
    <row r="26" spans="2:5" ht="7.5" customHeight="1">
      <c r="B26" s="69"/>
      <c r="C26" s="71"/>
      <c r="D26" s="71"/>
      <c r="E26" s="70"/>
    </row>
    <row r="27" spans="2:5" ht="12.6" customHeight="1">
      <c r="B27" s="286" t="s">
        <v>384</v>
      </c>
      <c r="C27" s="288"/>
      <c r="D27" s="288"/>
      <c r="E27" s="288"/>
    </row>
    <row r="28" spans="2:5" ht="12.6" customHeight="1">
      <c r="B28" s="273" t="s">
        <v>378</v>
      </c>
      <c r="C28" s="195">
        <v>-658</v>
      </c>
      <c r="D28" s="195">
        <v>-906</v>
      </c>
      <c r="E28" s="195">
        <v>-906</v>
      </c>
    </row>
    <row r="29" spans="2:5" ht="12.6" customHeight="1">
      <c r="B29" s="273" t="s">
        <v>379</v>
      </c>
      <c r="C29" s="195">
        <v>-5</v>
      </c>
      <c r="D29" s="280" t="s">
        <v>138</v>
      </c>
      <c r="E29" s="195" t="s">
        <v>138</v>
      </c>
    </row>
    <row r="30" spans="2:5" ht="12.6" customHeight="1">
      <c r="B30" s="272" t="s">
        <v>380</v>
      </c>
      <c r="C30" s="278">
        <f>SUM(C28:C29)</f>
        <v>-663</v>
      </c>
      <c r="D30" s="278">
        <f>SUM(D28:D29)</f>
        <v>-906</v>
      </c>
      <c r="E30" s="278">
        <f>SUM(E28:E29)</f>
        <v>-906</v>
      </c>
    </row>
    <row r="31" spans="2:5" ht="12.6" customHeight="1">
      <c r="B31" s="273" t="s">
        <v>406</v>
      </c>
      <c r="C31" s="195">
        <v>-344</v>
      </c>
      <c r="D31" s="195">
        <v>-762</v>
      </c>
      <c r="E31" s="195">
        <v>-306</v>
      </c>
    </row>
    <row r="32" spans="2:5" ht="12.6" customHeight="1">
      <c r="B32" s="273" t="s">
        <v>400</v>
      </c>
      <c r="C32" s="195">
        <v>-557</v>
      </c>
      <c r="D32" s="195">
        <v>-563</v>
      </c>
      <c r="E32" s="195">
        <v>-874</v>
      </c>
    </row>
    <row r="33" spans="2:6" ht="12.6" customHeight="1">
      <c r="B33" s="273" t="s">
        <v>407</v>
      </c>
      <c r="C33" s="195">
        <v>-562</v>
      </c>
      <c r="D33" s="195">
        <v>-98</v>
      </c>
      <c r="E33" s="195">
        <v>-77</v>
      </c>
    </row>
    <row r="34" spans="2:6" ht="12.6" customHeight="1">
      <c r="B34" s="273" t="s">
        <v>381</v>
      </c>
      <c r="C34" s="195">
        <v>-79</v>
      </c>
      <c r="D34" s="195">
        <v>-115</v>
      </c>
      <c r="E34" s="195">
        <v>-122</v>
      </c>
    </row>
    <row r="35" spans="2:6" ht="12.6" customHeight="1">
      <c r="B35" s="273" t="s">
        <v>382</v>
      </c>
      <c r="C35" s="195">
        <v>-356</v>
      </c>
      <c r="D35" s="195">
        <v>-327</v>
      </c>
      <c r="E35" s="195">
        <v>-283</v>
      </c>
    </row>
    <row r="36" spans="2:6" ht="12.6" customHeight="1">
      <c r="B36" s="273" t="s">
        <v>371</v>
      </c>
      <c r="C36" s="195">
        <v>-14</v>
      </c>
      <c r="D36" s="195">
        <v>-29</v>
      </c>
      <c r="E36" s="195">
        <v>-24</v>
      </c>
    </row>
    <row r="37" spans="2:6" ht="12.6" customHeight="1">
      <c r="B37" s="272" t="s">
        <v>383</v>
      </c>
      <c r="C37" s="278">
        <f>SUM(C31:C36)</f>
        <v>-1912</v>
      </c>
      <c r="D37" s="278">
        <f>SUM(D31:D36)</f>
        <v>-1894</v>
      </c>
      <c r="E37" s="278">
        <f>SUM(E31:E36)</f>
        <v>-1686</v>
      </c>
    </row>
    <row r="38" spans="2:6" ht="12.6" customHeight="1">
      <c r="B38" s="279" t="s">
        <v>304</v>
      </c>
      <c r="C38" s="282">
        <f>C30+C37</f>
        <v>-2575</v>
      </c>
      <c r="D38" s="282">
        <f>D30+D37</f>
        <v>-2800</v>
      </c>
      <c r="E38" s="282">
        <f>E30+E37</f>
        <v>-2592</v>
      </c>
    </row>
    <row r="39" spans="2:6" ht="6" customHeight="1">
      <c r="B39" s="69"/>
      <c r="C39" s="71"/>
      <c r="D39" s="71"/>
      <c r="E39" s="71"/>
    </row>
    <row r="40" spans="2:6" s="283" customFormat="1" ht="12.6" customHeight="1">
      <c r="B40" s="273" t="s">
        <v>385</v>
      </c>
      <c r="C40" s="195">
        <v>-90</v>
      </c>
      <c r="D40" s="195">
        <v>-170</v>
      </c>
      <c r="E40" s="195">
        <v>-130</v>
      </c>
    </row>
    <row r="41" spans="2:6" s="283" customFormat="1" ht="12.6" customHeight="1">
      <c r="B41" s="273" t="s">
        <v>386</v>
      </c>
      <c r="C41" s="195">
        <v>-32</v>
      </c>
      <c r="D41" s="195">
        <v>-37</v>
      </c>
      <c r="E41" s="195">
        <v>-40</v>
      </c>
      <c r="F41" s="278"/>
    </row>
    <row r="42" spans="2:6" s="283" customFormat="1" ht="12.6" customHeight="1">
      <c r="B42" s="273" t="s">
        <v>401</v>
      </c>
      <c r="C42" s="280" t="s">
        <v>138</v>
      </c>
      <c r="D42" s="195">
        <v>-6</v>
      </c>
      <c r="E42" s="280" t="s">
        <v>138</v>
      </c>
      <c r="F42" s="278"/>
    </row>
    <row r="43" spans="2:6" s="283" customFormat="1" ht="12.6" customHeight="1">
      <c r="B43" s="273" t="s">
        <v>402</v>
      </c>
      <c r="C43" s="280" t="s">
        <v>138</v>
      </c>
      <c r="D43" s="280" t="s">
        <v>138</v>
      </c>
      <c r="E43" s="195">
        <v>-130</v>
      </c>
      <c r="F43" s="278"/>
    </row>
    <row r="44" spans="2:6" s="283" customFormat="1" ht="12.6" customHeight="1">
      <c r="B44" s="272" t="s">
        <v>387</v>
      </c>
      <c r="C44" s="278">
        <f>SUM(C40:C43)</f>
        <v>-122</v>
      </c>
      <c r="D44" s="278">
        <f>SUM(D40:D43)</f>
        <v>-213</v>
      </c>
      <c r="E44" s="278">
        <f>SUM(E40:E43)</f>
        <v>-300</v>
      </c>
      <c r="F44" s="278"/>
    </row>
    <row r="45" spans="2:6" s="283" customFormat="1" ht="12.6" customHeight="1">
      <c r="B45" s="286" t="s">
        <v>390</v>
      </c>
      <c r="C45" s="289">
        <f>C38+C44</f>
        <v>-2697</v>
      </c>
      <c r="D45" s="289">
        <f>D38+D44</f>
        <v>-3013</v>
      </c>
      <c r="E45" s="289">
        <f>E38+E44</f>
        <v>-2892</v>
      </c>
    </row>
    <row r="46" spans="2:6" s="283" customFormat="1" ht="5.25" customHeight="1">
      <c r="B46" s="272"/>
      <c r="C46" s="272"/>
      <c r="D46" s="272"/>
      <c r="E46" s="272"/>
    </row>
    <row r="47" spans="2:6" s="283" customFormat="1" ht="12.6" customHeight="1">
      <c r="B47" s="279" t="s">
        <v>388</v>
      </c>
      <c r="C47" s="275">
        <f>C9+C25+C45</f>
        <v>1070</v>
      </c>
      <c r="D47" s="275">
        <f>D9+D25+D45</f>
        <v>1333</v>
      </c>
      <c r="E47" s="275">
        <f>E9+E25+E45</f>
        <v>1382</v>
      </c>
    </row>
    <row r="48" spans="2:6" s="283" customFormat="1" ht="4.5" customHeight="1">
      <c r="B48" s="43"/>
      <c r="C48" s="45"/>
      <c r="D48" s="45"/>
      <c r="E48" s="45"/>
    </row>
    <row r="49" spans="2:5" ht="24.75" customHeight="1">
      <c r="B49" s="297" t="s">
        <v>404</v>
      </c>
      <c r="C49" s="298"/>
      <c r="D49" s="298"/>
      <c r="E49" s="298"/>
    </row>
    <row r="50" spans="2:5" ht="12.75" customHeight="1">
      <c r="B50" s="67"/>
      <c r="C50" s="67"/>
      <c r="D50" s="71"/>
      <c r="E50" s="74"/>
    </row>
    <row r="51" spans="2:5" ht="12.75" customHeight="1">
      <c r="B51" s="69"/>
      <c r="C51" s="69"/>
      <c r="D51" s="71"/>
      <c r="E51" s="70"/>
    </row>
    <row r="52" spans="2:5" ht="12.75" customHeight="1">
      <c r="B52" s="69"/>
      <c r="C52" s="69"/>
      <c r="D52" s="71"/>
      <c r="E52" s="71"/>
    </row>
    <row r="53" spans="2:5" ht="12.75" customHeight="1">
      <c r="B53" s="99"/>
      <c r="C53" s="99"/>
      <c r="D53" s="71"/>
      <c r="E53" s="79"/>
    </row>
    <row r="54" spans="2:5" ht="12.75" customHeight="1">
      <c r="B54" s="69"/>
      <c r="C54" s="69"/>
      <c r="D54" s="71"/>
      <c r="E54" s="70"/>
    </row>
    <row r="55" spans="2:5" ht="12.75" customHeight="1">
      <c r="B55" s="69"/>
      <c r="C55" s="69"/>
      <c r="D55" s="71"/>
      <c r="E55" s="71"/>
    </row>
    <row r="56" spans="2:5" ht="12.75" customHeight="1">
      <c r="B56" s="69"/>
      <c r="C56" s="69"/>
      <c r="D56" s="71"/>
      <c r="E56" s="71"/>
    </row>
    <row r="57" spans="2:5" ht="12.75" customHeight="1">
      <c r="B57" s="67"/>
      <c r="C57" s="67"/>
      <c r="D57" s="71"/>
      <c r="E57" s="78"/>
    </row>
    <row r="58" spans="2:5" ht="12.75" customHeight="1">
      <c r="B58" s="69"/>
      <c r="C58" s="69"/>
      <c r="D58" s="71"/>
      <c r="E58" s="71"/>
    </row>
    <row r="59" spans="2:5" ht="12.75" customHeight="1">
      <c r="B59" s="69"/>
      <c r="C59" s="69"/>
      <c r="D59" s="71"/>
      <c r="E59" s="71"/>
    </row>
    <row r="60" spans="2:5">
      <c r="B60" s="67"/>
      <c r="C60" s="67"/>
      <c r="D60" s="71"/>
      <c r="E60" s="71"/>
    </row>
    <row r="61" spans="2:5">
      <c r="B61" s="67"/>
      <c r="C61" s="67"/>
      <c r="D61" s="71"/>
      <c r="E61" s="71"/>
    </row>
    <row r="62" spans="2:5">
      <c r="B62" s="67"/>
      <c r="C62" s="67"/>
      <c r="D62" s="71"/>
      <c r="E62" s="71"/>
    </row>
    <row r="63" spans="2:5" ht="6" customHeight="1"/>
    <row r="64" spans="2:5">
      <c r="B64" s="92"/>
      <c r="C64" s="92"/>
      <c r="D64" s="69"/>
      <c r="E64" s="69"/>
    </row>
  </sheetData>
  <mergeCells count="1">
    <mergeCell ref="B49:E49"/>
  </mergeCells>
  <pageMargins left="0.70866141732283472" right="0.70866141732283472" top="0.39370078740157483" bottom="0.31496062992125984" header="0.11811023622047245" footer="0.31496062992125984"/>
  <pageSetup paperSize="9" scale="95" orientation="landscape" r:id="rId1"/>
  <headerFooter>
    <oddHeader>&amp;CBezeq - The Israel Telecommunication Corp. Ltd</oddHeader>
    <oddFooter>&amp;R&amp;P of &amp;N
Fixed-Line Cash Flow Forecast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5"/>
  <sheetViews>
    <sheetView showGridLines="0" tabSelected="1" view="pageBreakPreview" zoomScaleSheetLayoutView="100" workbookViewId="0">
      <selection activeCell="M32" sqref="M32"/>
    </sheetView>
  </sheetViews>
  <sheetFormatPr defaultColWidth="8.7109375" defaultRowHeight="12.75"/>
  <cols>
    <col min="1" max="1" width="25.42578125" style="100" customWidth="1"/>
    <col min="2" max="2" width="19.28515625" style="100" customWidth="1"/>
    <col min="3" max="3" width="23.28515625" style="100" customWidth="1"/>
    <col min="4" max="4" width="49.28515625" style="128" customWidth="1"/>
    <col min="5" max="5" width="29.42578125" style="100" customWidth="1"/>
    <col min="6" max="9" width="10.28515625" style="100" customWidth="1"/>
    <col min="10" max="10" width="10.42578125" style="100" customWidth="1"/>
    <col min="11" max="11" width="10.28515625" style="100" customWidth="1"/>
    <col min="12" max="12" width="17.7109375" style="103" customWidth="1"/>
    <col min="13" max="13" width="9.28515625" style="103" customWidth="1"/>
    <col min="14" max="74" width="8.7109375" style="103"/>
    <col min="75" max="16384" width="8.7109375" style="100"/>
  </cols>
  <sheetData>
    <row r="1" spans="1:74" s="101" customFormat="1" ht="15.75">
      <c r="B1" s="122"/>
      <c r="C1"/>
      <c r="D1" s="25"/>
      <c r="E1"/>
      <c r="F1"/>
      <c r="G1"/>
      <c r="H1"/>
      <c r="I1"/>
      <c r="J1"/>
      <c r="K1"/>
      <c r="L1" s="102"/>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row>
    <row r="2" spans="1:74" s="101" customFormat="1">
      <c r="D2" s="130"/>
      <c r="L2" s="102"/>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row>
    <row r="3" spans="1:74" s="101" customFormat="1" ht="23.25">
      <c r="B3" s="123"/>
      <c r="C3"/>
      <c r="D3" s="25"/>
      <c r="E3"/>
      <c r="F3"/>
      <c r="G3"/>
      <c r="H3"/>
      <c r="I3"/>
      <c r="J3"/>
      <c r="K3"/>
      <c r="L3" s="102"/>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row>
    <row r="4" spans="1:74" s="55" customFormat="1" ht="6" customHeight="1">
      <c r="A4" s="56"/>
      <c r="B4" s="46"/>
      <c r="C4" s="46"/>
      <c r="D4" s="46"/>
      <c r="E4" s="46"/>
      <c r="F4" s="46"/>
      <c r="G4" s="46"/>
      <c r="H4" s="46"/>
      <c r="I4" s="46"/>
      <c r="J4" s="46"/>
      <c r="K4" s="46"/>
      <c r="L4" s="46"/>
      <c r="M4" s="46"/>
      <c r="N4" s="46"/>
      <c r="O4" s="46"/>
    </row>
    <row r="5" spans="1:74" s="24" customFormat="1" ht="4.5" customHeight="1">
      <c r="A5" s="43"/>
      <c r="B5" s="44"/>
      <c r="C5" s="44"/>
      <c r="D5" s="44"/>
      <c r="E5" s="44"/>
      <c r="F5" s="44"/>
      <c r="G5" s="44"/>
      <c r="H5" s="44"/>
      <c r="I5" s="44"/>
      <c r="J5" s="44"/>
      <c r="K5" s="44"/>
      <c r="L5" s="44"/>
      <c r="M5" s="44"/>
      <c r="N5" s="44"/>
      <c r="O5" s="44"/>
    </row>
    <row r="6" spans="1:74" s="3" customFormat="1" ht="18">
      <c r="A6" s="158" t="s">
        <v>116</v>
      </c>
      <c r="B6" s="26"/>
      <c r="C6" s="26"/>
      <c r="D6" s="131"/>
      <c r="E6" s="26"/>
      <c r="F6" s="26"/>
      <c r="G6" s="26"/>
      <c r="H6" s="26"/>
      <c r="I6" s="26"/>
      <c r="J6" s="26"/>
      <c r="K6" s="26"/>
      <c r="L6" s="26"/>
      <c r="M6" s="26"/>
      <c r="N6" s="26"/>
      <c r="O6" s="26"/>
    </row>
    <row r="7" spans="1:74" s="3" customFormat="1" ht="7.5" customHeight="1">
      <c r="A7" s="59"/>
      <c r="B7" s="60"/>
      <c r="C7" s="60"/>
      <c r="D7" s="132"/>
      <c r="E7" s="60"/>
      <c r="F7" s="60"/>
      <c r="G7" s="60"/>
      <c r="H7" s="60"/>
      <c r="I7" s="60"/>
      <c r="J7" s="60"/>
      <c r="K7" s="60"/>
      <c r="L7" s="60"/>
      <c r="M7" s="60"/>
      <c r="N7" s="60"/>
      <c r="O7" s="60"/>
    </row>
    <row r="8" spans="1:74" s="3" customFormat="1">
      <c r="A8" s="157" t="s">
        <v>96</v>
      </c>
      <c r="B8" s="41"/>
      <c r="C8" s="41"/>
      <c r="D8" s="133"/>
      <c r="E8" s="41"/>
      <c r="F8" s="41"/>
      <c r="G8" s="41"/>
      <c r="H8" s="41"/>
      <c r="I8" s="41"/>
      <c r="J8" s="41"/>
      <c r="K8" s="41"/>
      <c r="L8" s="41"/>
      <c r="M8" s="41"/>
      <c r="N8" s="41"/>
      <c r="O8" s="41"/>
    </row>
    <row r="9" spans="1:74" s="124" customFormat="1" ht="19.5" customHeight="1">
      <c r="A9" s="150" t="s">
        <v>117</v>
      </c>
      <c r="B9" s="150" t="s">
        <v>118</v>
      </c>
      <c r="C9" s="150" t="s">
        <v>99</v>
      </c>
      <c r="D9" s="151" t="s">
        <v>119</v>
      </c>
      <c r="E9" s="152"/>
      <c r="F9" s="125"/>
      <c r="G9" s="125"/>
      <c r="H9" s="125"/>
      <c r="I9" s="125"/>
      <c r="J9" s="125"/>
      <c r="K9" s="125"/>
      <c r="L9" s="125"/>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row>
    <row r="10" spans="1:74" s="137" customFormat="1" ht="19.5" customHeight="1">
      <c r="A10" s="199" t="s">
        <v>244</v>
      </c>
      <c r="B10" s="200">
        <v>318</v>
      </c>
      <c r="C10" s="199">
        <v>0.11</v>
      </c>
      <c r="D10" s="201" t="s">
        <v>120</v>
      </c>
      <c r="E10" s="153"/>
      <c r="F10" s="135"/>
      <c r="G10" s="135"/>
      <c r="H10" s="135"/>
      <c r="I10" s="135"/>
      <c r="J10" s="135"/>
      <c r="K10" s="135"/>
      <c r="L10" s="135"/>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row>
    <row r="11" spans="1:74" s="137" customFormat="1" ht="18" customHeight="1">
      <c r="A11" s="199" t="s">
        <v>234</v>
      </c>
      <c r="B11" s="200">
        <v>368</v>
      </c>
      <c r="C11" s="199">
        <v>0.13</v>
      </c>
      <c r="D11" s="201" t="s">
        <v>154</v>
      </c>
      <c r="E11" s="153"/>
      <c r="F11" s="135"/>
      <c r="G11" s="135"/>
      <c r="H11" s="135"/>
      <c r="I11" s="135"/>
      <c r="J11" s="135"/>
      <c r="K11" s="135"/>
      <c r="L11" s="135"/>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row>
    <row r="12" spans="1:74" s="137" customFormat="1" ht="18" customHeight="1">
      <c r="A12" s="199" t="s">
        <v>196</v>
      </c>
      <c r="B12" s="200">
        <v>708</v>
      </c>
      <c r="C12" s="199">
        <v>0.26</v>
      </c>
      <c r="D12" s="201" t="s">
        <v>154</v>
      </c>
      <c r="E12" s="153"/>
      <c r="F12" s="135"/>
      <c r="G12" s="135"/>
      <c r="H12" s="135"/>
      <c r="I12" s="135"/>
      <c r="J12" s="135"/>
      <c r="K12" s="135"/>
      <c r="L12" s="135"/>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row>
    <row r="13" spans="1:74" s="137" customFormat="1" ht="18" customHeight="1">
      <c r="A13" s="202" t="s">
        <v>192</v>
      </c>
      <c r="B13" s="200">
        <v>578</v>
      </c>
      <c r="C13" s="202">
        <v>0.21</v>
      </c>
      <c r="D13" s="201" t="s">
        <v>154</v>
      </c>
      <c r="E13" s="154"/>
      <c r="F13" s="192"/>
      <c r="G13" s="192"/>
      <c r="H13" s="192"/>
      <c r="I13" s="135"/>
      <c r="J13" s="135"/>
      <c r="K13" s="135"/>
      <c r="L13" s="135"/>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row>
    <row r="14" spans="1:74" s="137" customFormat="1" ht="18" customHeight="1">
      <c r="A14" s="199" t="s">
        <v>183</v>
      </c>
      <c r="B14" s="200">
        <v>665</v>
      </c>
      <c r="C14" s="203">
        <v>0.24046770000000001</v>
      </c>
      <c r="D14" s="201" t="s">
        <v>154</v>
      </c>
      <c r="E14" s="154"/>
      <c r="F14" s="135"/>
      <c r="G14" s="135"/>
      <c r="H14" s="135"/>
      <c r="I14" s="135"/>
      <c r="J14" s="135"/>
      <c r="K14" s="135"/>
      <c r="L14" s="135"/>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row>
    <row r="15" spans="1:74" s="137" customFormat="1" ht="18" customHeight="1">
      <c r="A15" s="204">
        <v>42520</v>
      </c>
      <c r="B15" s="200">
        <v>776</v>
      </c>
      <c r="C15" s="205">
        <v>0.28060590000000002</v>
      </c>
      <c r="D15" s="201" t="s">
        <v>120</v>
      </c>
      <c r="E15" s="153"/>
      <c r="F15" s="135"/>
      <c r="G15" s="135"/>
      <c r="H15" s="135"/>
      <c r="I15" s="135"/>
      <c r="J15" s="135"/>
      <c r="K15" s="135"/>
      <c r="L15" s="135"/>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row>
    <row r="16" spans="1:74" s="137" customFormat="1" ht="18" customHeight="1">
      <c r="A16" s="199" t="s">
        <v>144</v>
      </c>
      <c r="B16" s="200">
        <v>933</v>
      </c>
      <c r="C16" s="203">
        <v>0.33895799999999998</v>
      </c>
      <c r="D16" s="201" t="s">
        <v>120</v>
      </c>
      <c r="E16" s="153"/>
      <c r="F16" s="135"/>
      <c r="G16" s="135"/>
      <c r="H16" s="135"/>
      <c r="I16" s="135"/>
      <c r="J16" s="135"/>
      <c r="K16" s="135"/>
      <c r="L16" s="135"/>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row>
    <row r="17" spans="1:74" s="137" customFormat="1" ht="18" customHeight="1">
      <c r="A17" s="199" t="s">
        <v>137</v>
      </c>
      <c r="B17" s="200">
        <v>844</v>
      </c>
      <c r="C17" s="199">
        <v>0.31</v>
      </c>
      <c r="D17" s="201" t="s">
        <v>154</v>
      </c>
      <c r="E17" s="153"/>
      <c r="F17" s="135"/>
      <c r="G17" s="135"/>
      <c r="H17" s="135"/>
      <c r="I17" s="135"/>
      <c r="J17" s="135"/>
      <c r="K17" s="135"/>
      <c r="L17" s="135"/>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row>
    <row r="18" spans="1:74" s="137" customFormat="1" ht="18" customHeight="1">
      <c r="A18" s="199" t="s">
        <v>136</v>
      </c>
      <c r="B18" s="200">
        <v>1267</v>
      </c>
      <c r="C18" s="203">
        <v>0.4627</v>
      </c>
      <c r="D18" s="201" t="s">
        <v>154</v>
      </c>
      <c r="E18" s="153"/>
      <c r="F18" s="135"/>
      <c r="G18" s="135"/>
      <c r="H18" s="135"/>
      <c r="I18" s="135"/>
      <c r="J18" s="135"/>
      <c r="K18" s="135"/>
      <c r="L18" s="135"/>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row>
    <row r="19" spans="1:74" s="137" customFormat="1" ht="18" customHeight="1">
      <c r="A19" s="199" t="s">
        <v>134</v>
      </c>
      <c r="B19" s="200">
        <v>802</v>
      </c>
      <c r="C19" s="203">
        <v>0.29365089999999999</v>
      </c>
      <c r="D19" s="201" t="s">
        <v>120</v>
      </c>
      <c r="E19" s="154"/>
      <c r="F19" s="135"/>
      <c r="G19" s="135"/>
      <c r="H19" s="135"/>
      <c r="I19" s="135"/>
      <c r="J19" s="135"/>
      <c r="K19" s="135"/>
      <c r="L19" s="135"/>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row>
    <row r="20" spans="1:74" ht="18" customHeight="1">
      <c r="A20" s="206" t="s">
        <v>115</v>
      </c>
      <c r="B20" s="200">
        <v>500</v>
      </c>
      <c r="C20" s="207">
        <v>0.35539340000000003</v>
      </c>
      <c r="D20" s="201" t="s">
        <v>122</v>
      </c>
      <c r="E20" s="155"/>
    </row>
    <row r="21" spans="1:74" ht="18" customHeight="1">
      <c r="A21" s="206" t="s">
        <v>115</v>
      </c>
      <c r="B21" s="200">
        <v>969</v>
      </c>
      <c r="C21" s="207">
        <v>0.1833815</v>
      </c>
      <c r="D21" s="201" t="s">
        <v>120</v>
      </c>
      <c r="E21" s="155"/>
    </row>
    <row r="22" spans="1:74" ht="18" customHeight="1">
      <c r="A22" s="206" t="s">
        <v>114</v>
      </c>
      <c r="B22" s="200">
        <v>500</v>
      </c>
      <c r="C22" s="207">
        <v>0.18347540000000001</v>
      </c>
      <c r="D22" s="201" t="s">
        <v>123</v>
      </c>
      <c r="E22" s="155"/>
    </row>
    <row r="23" spans="1:74" ht="18" customHeight="1">
      <c r="A23" s="206" t="s">
        <v>114</v>
      </c>
      <c r="B23" s="200">
        <v>861</v>
      </c>
      <c r="C23" s="207">
        <v>0.31594460000000002</v>
      </c>
      <c r="D23" s="201" t="s">
        <v>120</v>
      </c>
      <c r="E23" s="155"/>
    </row>
    <row r="24" spans="1:74" ht="18" customHeight="1">
      <c r="A24" s="206" t="s">
        <v>113</v>
      </c>
      <c r="B24" s="200">
        <v>500</v>
      </c>
      <c r="C24" s="207">
        <v>0.18353149999999999</v>
      </c>
      <c r="D24" s="201" t="s">
        <v>124</v>
      </c>
      <c r="E24" s="155"/>
    </row>
    <row r="25" spans="1:74" ht="18" customHeight="1">
      <c r="A25" s="206" t="s">
        <v>113</v>
      </c>
      <c r="B25" s="200">
        <v>997</v>
      </c>
      <c r="C25" s="207">
        <v>0.3659618</v>
      </c>
      <c r="D25" s="201" t="s">
        <v>120</v>
      </c>
      <c r="E25" s="155"/>
    </row>
    <row r="26" spans="1:74" ht="18" customHeight="1">
      <c r="A26" s="206" t="s">
        <v>112</v>
      </c>
      <c r="B26" s="200">
        <v>500</v>
      </c>
      <c r="C26" s="207">
        <v>0.18397520000000001</v>
      </c>
      <c r="D26" s="201" t="s">
        <v>125</v>
      </c>
      <c r="E26" s="155"/>
    </row>
    <row r="27" spans="1:74" ht="18" customHeight="1">
      <c r="A27" s="206" t="s">
        <v>112</v>
      </c>
      <c r="B27" s="200">
        <v>1074</v>
      </c>
      <c r="C27" s="207">
        <v>0.3951788</v>
      </c>
      <c r="D27" s="201" t="s">
        <v>120</v>
      </c>
      <c r="E27" s="155"/>
    </row>
    <row r="28" spans="1:74" ht="18" customHeight="1">
      <c r="A28" s="206" t="s">
        <v>111</v>
      </c>
      <c r="B28" s="200">
        <v>500</v>
      </c>
      <c r="C28" s="207">
        <v>0.18459929999999999</v>
      </c>
      <c r="D28" s="201" t="s">
        <v>126</v>
      </c>
      <c r="E28" s="155"/>
    </row>
    <row r="29" spans="1:74" ht="18" customHeight="1">
      <c r="A29" s="206" t="s">
        <v>111</v>
      </c>
      <c r="B29" s="200">
        <v>992</v>
      </c>
      <c r="C29" s="207">
        <v>0.36624509999999999</v>
      </c>
      <c r="D29" s="201" t="s">
        <v>120</v>
      </c>
      <c r="E29" s="155"/>
    </row>
    <row r="30" spans="1:74" ht="18" customHeight="1">
      <c r="A30" s="206" t="s">
        <v>110</v>
      </c>
      <c r="B30" s="200">
        <v>500</v>
      </c>
      <c r="C30" s="207">
        <v>0.18511250000000001</v>
      </c>
      <c r="D30" s="201" t="s">
        <v>121</v>
      </c>
      <c r="E30" s="155"/>
    </row>
    <row r="31" spans="1:74" ht="18" customHeight="1">
      <c r="A31" s="206" t="s">
        <v>110</v>
      </c>
      <c r="B31" s="200">
        <v>1163</v>
      </c>
      <c r="C31" s="207">
        <v>0.4305716</v>
      </c>
      <c r="D31" s="201" t="s">
        <v>120</v>
      </c>
      <c r="E31" s="155"/>
    </row>
    <row r="32" spans="1:74" ht="18" customHeight="1">
      <c r="A32" s="206" t="s">
        <v>109</v>
      </c>
      <c r="B32" s="200">
        <v>1280</v>
      </c>
      <c r="C32" s="207">
        <v>0.47804590000000002</v>
      </c>
      <c r="D32" s="201" t="s">
        <v>120</v>
      </c>
      <c r="E32" s="155"/>
    </row>
    <row r="33" spans="1:12" ht="18" customHeight="1">
      <c r="A33" s="206" t="s">
        <v>108</v>
      </c>
      <c r="B33" s="200">
        <v>2453</v>
      </c>
      <c r="C33" s="207">
        <v>0.91706790000000005</v>
      </c>
      <c r="D33" s="201" t="s">
        <v>120</v>
      </c>
      <c r="E33" s="155"/>
    </row>
    <row r="34" spans="1:12" ht="18" customHeight="1">
      <c r="A34" s="206" t="s">
        <v>107</v>
      </c>
      <c r="B34" s="200">
        <v>1149</v>
      </c>
      <c r="C34" s="207">
        <v>0.43297429999999998</v>
      </c>
      <c r="D34" s="201" t="s">
        <v>120</v>
      </c>
      <c r="E34" s="155"/>
    </row>
    <row r="35" spans="1:12" ht="18" customHeight="1">
      <c r="A35" s="206" t="s">
        <v>106</v>
      </c>
      <c r="B35" s="200">
        <v>792</v>
      </c>
      <c r="C35" s="207">
        <v>0.30130249999999997</v>
      </c>
      <c r="D35" s="201" t="s">
        <v>120</v>
      </c>
      <c r="E35" s="155"/>
    </row>
    <row r="36" spans="1:12" ht="18" customHeight="1">
      <c r="A36" s="206" t="s">
        <v>105</v>
      </c>
      <c r="B36" s="200">
        <v>835</v>
      </c>
      <c r="C36" s="207">
        <v>0.32053179999999998</v>
      </c>
      <c r="D36" s="201" t="s">
        <v>120</v>
      </c>
      <c r="E36" s="155"/>
    </row>
    <row r="37" spans="1:12" ht="18" customHeight="1">
      <c r="A37" s="206" t="s">
        <v>104</v>
      </c>
      <c r="B37" s="200">
        <v>679</v>
      </c>
      <c r="C37" s="207">
        <v>0.26064799999999999</v>
      </c>
      <c r="D37" s="201" t="s">
        <v>120</v>
      </c>
      <c r="E37" s="155"/>
    </row>
    <row r="38" spans="1:12" ht="18" customHeight="1">
      <c r="A38" s="208" t="s">
        <v>103</v>
      </c>
      <c r="B38" s="209">
        <v>760</v>
      </c>
      <c r="C38" s="207">
        <v>0.29174149999999999</v>
      </c>
      <c r="D38" s="201" t="s">
        <v>120</v>
      </c>
      <c r="E38" s="156"/>
      <c r="F38" s="101"/>
      <c r="G38" s="101"/>
      <c r="H38" s="101"/>
      <c r="I38" s="101"/>
      <c r="J38" s="101"/>
      <c r="K38" s="101"/>
      <c r="L38" s="102"/>
    </row>
    <row r="39" spans="1:12" ht="18" customHeight="1">
      <c r="A39" s="208" t="s">
        <v>102</v>
      </c>
      <c r="B39" s="209">
        <v>1800</v>
      </c>
      <c r="C39" s="207">
        <v>0.69096679999999999</v>
      </c>
      <c r="D39" s="201" t="s">
        <v>127</v>
      </c>
      <c r="E39" s="156"/>
      <c r="F39" s="101"/>
      <c r="G39" s="101"/>
      <c r="H39" s="101"/>
      <c r="I39" s="101"/>
      <c r="J39" s="101"/>
      <c r="K39" s="101"/>
      <c r="L39" s="102"/>
    </row>
    <row r="40" spans="1:12" ht="18" customHeight="1">
      <c r="A40" s="208" t="s">
        <v>101</v>
      </c>
      <c r="B40" s="209">
        <v>300</v>
      </c>
      <c r="C40" s="207">
        <v>0.11516120000000001</v>
      </c>
      <c r="D40" s="201" t="s">
        <v>120</v>
      </c>
      <c r="E40" s="156"/>
      <c r="F40" s="101"/>
      <c r="G40" s="101"/>
      <c r="H40" s="101"/>
      <c r="I40" s="101"/>
      <c r="J40" s="101"/>
      <c r="K40" s="101"/>
      <c r="L40" s="102"/>
    </row>
    <row r="41" spans="1:12" ht="18" customHeight="1">
      <c r="A41" s="208" t="s">
        <v>100</v>
      </c>
      <c r="B41" s="209">
        <v>400</v>
      </c>
      <c r="C41" s="207">
        <v>0.1535482</v>
      </c>
      <c r="D41" s="201" t="s">
        <v>120</v>
      </c>
      <c r="E41" s="156"/>
      <c r="F41" s="101"/>
      <c r="G41" s="101"/>
      <c r="H41" s="101"/>
      <c r="I41" s="101"/>
      <c r="J41" s="101"/>
      <c r="K41" s="101"/>
      <c r="L41" s="102"/>
    </row>
    <row r="42" spans="1:12" ht="18" customHeight="1">
      <c r="A42" s="208" t="s">
        <v>98</v>
      </c>
      <c r="B42" s="209">
        <v>1200</v>
      </c>
      <c r="C42" s="207">
        <v>0.46064460000000002</v>
      </c>
      <c r="D42" s="201" t="s">
        <v>120</v>
      </c>
      <c r="E42" s="156"/>
      <c r="F42" s="101"/>
      <c r="G42" s="101"/>
      <c r="H42" s="101"/>
      <c r="I42" s="101"/>
      <c r="J42" s="101"/>
      <c r="K42" s="101"/>
      <c r="L42" s="102"/>
    </row>
    <row r="43" spans="1:12" ht="18" customHeight="1">
      <c r="A43" s="127"/>
      <c r="B43" s="129"/>
      <c r="C43" s="101"/>
      <c r="E43" s="101"/>
      <c r="F43" s="101"/>
      <c r="G43" s="101"/>
      <c r="H43" s="101"/>
      <c r="I43" s="101"/>
      <c r="J43" s="101"/>
      <c r="K43" s="101"/>
      <c r="L43" s="102"/>
    </row>
    <row r="44" spans="1:12" ht="18" customHeight="1">
      <c r="A44" s="127"/>
      <c r="B44" s="129"/>
      <c r="C44" s="101"/>
      <c r="E44" s="101"/>
      <c r="F44" s="101"/>
      <c r="G44" s="101"/>
      <c r="H44" s="101"/>
      <c r="I44" s="101"/>
      <c r="J44" s="101"/>
      <c r="K44" s="101"/>
      <c r="L44" s="102"/>
    </row>
    <row r="45" spans="1:12" ht="18" customHeight="1">
      <c r="A45" s="127"/>
      <c r="B45" s="129"/>
      <c r="C45" s="101"/>
      <c r="E45" s="101"/>
      <c r="F45" s="101"/>
      <c r="G45" s="101"/>
      <c r="H45" s="101"/>
      <c r="I45" s="101"/>
      <c r="J45" s="101"/>
      <c r="K45" s="101"/>
      <c r="L45" s="102"/>
    </row>
  </sheetData>
  <customSheetViews>
    <customSheetView guid="{7DC6D345-C4C0-4162-8636-D495A245EBF8}" showPageBreaks="1">
      <pane xSplit="1" ySplit="4" topLeftCell="B5" activePane="bottomRight" state="frozenSplit"/>
      <selection pane="bottomRight" activeCell="C9" sqref="C9"/>
      <pageMargins left="0.7" right="0.7" top="0.75" bottom="0.75" header="0.3" footer="0.3"/>
      <pageSetup paperSize="9" orientation="portrait"/>
    </customSheetView>
    <customSheetView guid="{67DDFA58-7FF7-4BDB-BFFF-31DB4021D095}" showPageBreaks="1" showGridLines="0">
      <selection activeCell="D15" sqref="D15"/>
      <pageMargins left="0.7" right="0.7" top="0.75" bottom="0.75" header="0.3" footer="0.3"/>
      <pageSetup paperSize="9" orientation="landscape"/>
    </customSheetView>
  </customSheetViews>
  <pageMargins left="0.19685039370078741" right="0.19685039370078741" top="0.23622047244094491" bottom="0" header="0.11811023622047245" footer="0.31496062992125984"/>
  <pageSetup paperSize="9" orientation="landscape" r:id="rId1"/>
  <headerFooter>
    <oddHeader>&amp;CBezeq - The Israel Telecommunication Corp. Ltd</oddHeader>
    <oddFooter>&amp;R&amp;P of &amp;N
Dividends</oddFooter>
  </headerFooter>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254"/>
  <sheetViews>
    <sheetView showGridLines="0" tabSelected="1" zoomScale="120" zoomScaleNormal="120" workbookViewId="0">
      <selection activeCell="M32" sqref="M32"/>
    </sheetView>
  </sheetViews>
  <sheetFormatPr defaultColWidth="8.7109375" defaultRowHeight="12.75"/>
  <cols>
    <col min="1" max="1" width="34.42578125" style="100" customWidth="1"/>
    <col min="2" max="2" width="2.28515625" style="100" customWidth="1"/>
    <col min="3" max="10" width="10.28515625" style="100" customWidth="1"/>
    <col min="11" max="11" width="10.42578125" style="100" customWidth="1"/>
    <col min="12" max="12" width="17.42578125" style="100" customWidth="1"/>
    <col min="13" max="13" width="17.7109375" style="103" customWidth="1"/>
    <col min="14" max="14" width="9.28515625" style="103" customWidth="1"/>
    <col min="15" max="89" width="8.7109375" style="103"/>
    <col min="90" max="16384" width="8.7109375" style="100"/>
  </cols>
  <sheetData>
    <row r="1" spans="1:256" s="101" customFormat="1" ht="15.75">
      <c r="C1" s="299" t="s">
        <v>4</v>
      </c>
      <c r="D1" s="299"/>
      <c r="E1" s="299"/>
      <c r="F1" s="299"/>
      <c r="G1" s="299"/>
      <c r="H1" s="299"/>
      <c r="I1" s="299"/>
      <c r="J1" s="299"/>
      <c r="K1" s="299"/>
      <c r="L1" s="299"/>
      <c r="M1" s="102"/>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row>
    <row r="2" spans="1:256" s="101" customFormat="1">
      <c r="M2" s="102"/>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row>
    <row r="3" spans="1:256" s="101" customFormat="1" ht="23.25">
      <c r="C3" s="300" t="s">
        <v>49</v>
      </c>
      <c r="D3" s="300"/>
      <c r="E3" s="300"/>
      <c r="F3" s="300"/>
      <c r="G3" s="300"/>
      <c r="H3" s="300"/>
      <c r="I3" s="300"/>
      <c r="J3" s="300"/>
      <c r="K3" s="300"/>
      <c r="L3" s="300"/>
      <c r="M3" s="102"/>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row>
    <row r="4" spans="1:256" s="101" customFormat="1" ht="9.75" customHeight="1">
      <c r="M4" s="102"/>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row>
    <row r="5" spans="1:256" s="107" customFormat="1" ht="6.75" customHeight="1">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c r="HD5" s="106"/>
      <c r="HE5" s="106"/>
      <c r="HF5" s="106"/>
      <c r="HG5" s="106"/>
      <c r="HH5" s="106"/>
      <c r="HI5" s="106"/>
      <c r="HJ5" s="106"/>
      <c r="HK5" s="106"/>
      <c r="HL5" s="106"/>
      <c r="HM5" s="106"/>
      <c r="HN5" s="106"/>
      <c r="HO5" s="106"/>
      <c r="HP5" s="106"/>
      <c r="HQ5" s="106"/>
      <c r="HR5" s="106"/>
      <c r="HS5" s="106"/>
      <c r="HT5" s="106"/>
      <c r="HU5" s="106"/>
      <c r="HV5" s="106"/>
      <c r="HW5" s="106"/>
      <c r="HX5" s="106"/>
      <c r="HY5" s="106"/>
      <c r="HZ5" s="106"/>
      <c r="IA5" s="106"/>
      <c r="IB5" s="106"/>
      <c r="IC5" s="106"/>
      <c r="ID5" s="106"/>
      <c r="IE5" s="106"/>
      <c r="IF5" s="106"/>
      <c r="IG5" s="106"/>
      <c r="IH5" s="106"/>
      <c r="II5" s="106"/>
      <c r="IJ5" s="106"/>
      <c r="IK5" s="106"/>
      <c r="IL5" s="106"/>
      <c r="IM5" s="106"/>
      <c r="IN5" s="106"/>
      <c r="IO5" s="106"/>
      <c r="IP5" s="106"/>
      <c r="IQ5" s="106"/>
      <c r="IR5" s="106"/>
      <c r="IS5" s="106"/>
      <c r="IT5" s="106"/>
      <c r="IU5" s="106"/>
      <c r="IV5" s="106"/>
    </row>
    <row r="6" spans="1:256">
      <c r="A6" s="108"/>
      <c r="B6" s="101"/>
      <c r="C6" s="101"/>
      <c r="D6" s="101"/>
      <c r="E6" s="101"/>
      <c r="F6" s="101"/>
      <c r="G6" s="101"/>
      <c r="H6" s="101"/>
      <c r="I6" s="101"/>
      <c r="J6" s="101"/>
      <c r="K6" s="101"/>
      <c r="L6" s="101"/>
      <c r="M6" s="102"/>
    </row>
    <row r="7" spans="1:256" s="110" customFormat="1">
      <c r="A7" s="109" t="s">
        <v>37</v>
      </c>
    </row>
    <row r="8" spans="1:256">
      <c r="A8" s="101"/>
      <c r="B8" s="101"/>
      <c r="C8" s="111"/>
      <c r="D8" s="101"/>
      <c r="E8" s="101"/>
      <c r="F8" s="101"/>
      <c r="G8" s="101"/>
      <c r="H8" s="101"/>
      <c r="I8" s="101"/>
      <c r="J8" s="101"/>
      <c r="K8" s="101"/>
      <c r="L8" s="101"/>
      <c r="M8" s="102"/>
    </row>
    <row r="9" spans="1:256">
      <c r="A9" s="112" t="s">
        <v>9</v>
      </c>
      <c r="B9" s="112" t="s">
        <v>34</v>
      </c>
      <c r="C9" s="112" t="s">
        <v>271</v>
      </c>
      <c r="D9" s="101"/>
      <c r="E9" s="101"/>
      <c r="F9" s="101"/>
      <c r="G9" s="101"/>
      <c r="H9" s="101"/>
      <c r="I9" s="101"/>
      <c r="J9" s="101"/>
      <c r="K9" s="101"/>
      <c r="L9" s="101"/>
      <c r="M9" s="102"/>
    </row>
    <row r="10" spans="1:256">
      <c r="A10" s="112" t="s">
        <v>187</v>
      </c>
      <c r="B10" s="112" t="s">
        <v>34</v>
      </c>
      <c r="C10" s="112" t="s">
        <v>354</v>
      </c>
      <c r="D10" s="101"/>
      <c r="E10" s="101"/>
      <c r="F10" s="101"/>
      <c r="G10" s="101"/>
      <c r="H10" s="101"/>
      <c r="I10" s="101"/>
      <c r="J10" s="101"/>
      <c r="K10" s="101"/>
      <c r="L10" s="101"/>
      <c r="M10" s="102"/>
    </row>
    <row r="11" spans="1:256">
      <c r="A11" s="112" t="s">
        <v>264</v>
      </c>
      <c r="B11" s="112" t="s">
        <v>34</v>
      </c>
      <c r="C11" s="112" t="s">
        <v>355</v>
      </c>
      <c r="D11" s="101"/>
      <c r="E11" s="101"/>
      <c r="F11" s="101"/>
      <c r="G11" s="101"/>
      <c r="H11" s="101"/>
      <c r="I11" s="101"/>
      <c r="J11" s="101"/>
      <c r="K11" s="101"/>
      <c r="L11" s="101"/>
      <c r="M11" s="102"/>
    </row>
    <row r="12" spans="1:256">
      <c r="A12" s="112"/>
      <c r="B12" s="112"/>
      <c r="C12" s="112" t="s">
        <v>272</v>
      </c>
      <c r="D12" s="101"/>
      <c r="E12" s="101"/>
      <c r="F12" s="101"/>
      <c r="G12" s="101"/>
      <c r="H12" s="101"/>
      <c r="I12" s="101"/>
      <c r="J12" s="101"/>
      <c r="K12" s="101"/>
      <c r="L12" s="101"/>
      <c r="M12" s="102"/>
    </row>
    <row r="13" spans="1:256">
      <c r="A13" s="112" t="s">
        <v>13</v>
      </c>
      <c r="B13" s="112" t="s">
        <v>34</v>
      </c>
      <c r="C13" s="112" t="s">
        <v>237</v>
      </c>
      <c r="D13" s="101"/>
      <c r="E13" s="101"/>
      <c r="F13" s="101"/>
      <c r="G13" s="101"/>
      <c r="H13" s="101"/>
      <c r="I13" s="101"/>
      <c r="J13" s="101"/>
      <c r="K13" s="101"/>
      <c r="L13" s="101"/>
      <c r="M13" s="102"/>
    </row>
    <row r="14" spans="1:256">
      <c r="A14" s="112" t="s">
        <v>53</v>
      </c>
      <c r="B14" s="112" t="s">
        <v>34</v>
      </c>
      <c r="C14" s="112" t="s">
        <v>69</v>
      </c>
      <c r="D14" s="101"/>
      <c r="E14" s="101"/>
      <c r="F14" s="101"/>
      <c r="G14" s="101"/>
      <c r="H14" s="101"/>
      <c r="I14" s="101"/>
      <c r="J14" s="101"/>
      <c r="K14" s="101"/>
      <c r="L14" s="101"/>
      <c r="M14" s="102"/>
    </row>
    <row r="15" spans="1:256">
      <c r="A15" s="112" t="s">
        <v>236</v>
      </c>
      <c r="B15" s="112" t="s">
        <v>34</v>
      </c>
      <c r="C15" s="112" t="s">
        <v>243</v>
      </c>
      <c r="D15" s="101"/>
      <c r="E15" s="101"/>
      <c r="F15" s="101"/>
      <c r="G15" s="101"/>
      <c r="H15" s="101"/>
      <c r="I15" s="101"/>
      <c r="J15" s="101"/>
      <c r="K15" s="101"/>
      <c r="L15" s="101"/>
      <c r="M15" s="102"/>
    </row>
    <row r="16" spans="1:256">
      <c r="A16" s="112" t="s">
        <v>67</v>
      </c>
      <c r="B16" s="112" t="s">
        <v>34</v>
      </c>
      <c r="C16" s="112" t="s">
        <v>68</v>
      </c>
      <c r="D16" s="101"/>
      <c r="E16" s="101"/>
      <c r="F16" s="101"/>
      <c r="G16" s="101"/>
      <c r="H16" s="101"/>
      <c r="I16" s="101"/>
      <c r="J16" s="101"/>
      <c r="K16" s="101"/>
      <c r="L16" s="101"/>
      <c r="M16" s="102"/>
    </row>
    <row r="17" spans="1:13">
      <c r="A17" s="112" t="s">
        <v>33</v>
      </c>
      <c r="B17" s="112" t="s">
        <v>34</v>
      </c>
      <c r="C17" s="112" t="s">
        <v>54</v>
      </c>
      <c r="D17" s="101"/>
      <c r="E17" s="101"/>
      <c r="F17" s="101"/>
      <c r="G17" s="101"/>
      <c r="H17" s="101"/>
      <c r="I17" s="101"/>
      <c r="J17" s="101"/>
      <c r="K17" s="101"/>
      <c r="L17" s="101"/>
      <c r="M17" s="102"/>
    </row>
    <row r="18" spans="1:13">
      <c r="A18" s="112" t="s">
        <v>35</v>
      </c>
      <c r="B18" s="112" t="s">
        <v>34</v>
      </c>
      <c r="C18" s="112" t="s">
        <v>55</v>
      </c>
      <c r="D18" s="101"/>
      <c r="E18" s="101"/>
      <c r="F18" s="101"/>
      <c r="G18" s="101"/>
      <c r="H18" s="101"/>
      <c r="I18" s="101"/>
      <c r="J18" s="101"/>
      <c r="K18" s="101"/>
      <c r="L18" s="101"/>
      <c r="M18" s="102"/>
    </row>
    <row r="19" spans="1:13">
      <c r="A19" s="112" t="s">
        <v>40</v>
      </c>
      <c r="B19" s="112" t="s">
        <v>34</v>
      </c>
      <c r="C19" s="112" t="s">
        <v>56</v>
      </c>
      <c r="D19" s="101"/>
      <c r="E19" s="101"/>
      <c r="F19" s="101"/>
      <c r="G19" s="101"/>
      <c r="H19" s="101"/>
      <c r="I19" s="101"/>
      <c r="J19" s="101"/>
      <c r="K19" s="101"/>
      <c r="L19" s="101"/>
      <c r="M19" s="102"/>
    </row>
    <row r="20" spans="1:13">
      <c r="A20" s="112" t="s">
        <v>39</v>
      </c>
      <c r="B20" s="112" t="s">
        <v>34</v>
      </c>
      <c r="C20" s="112" t="s">
        <v>57</v>
      </c>
      <c r="D20" s="101"/>
      <c r="E20" s="101"/>
      <c r="F20" s="101"/>
      <c r="G20" s="101"/>
      <c r="H20" s="101"/>
      <c r="I20" s="101"/>
      <c r="J20" s="101"/>
      <c r="K20" s="101"/>
      <c r="L20" s="101"/>
      <c r="M20" s="102"/>
    </row>
    <row r="21" spans="1:13">
      <c r="A21" s="112" t="s">
        <v>269</v>
      </c>
      <c r="B21" s="112" t="s">
        <v>34</v>
      </c>
      <c r="C21" s="112" t="s">
        <v>270</v>
      </c>
      <c r="D21" s="101"/>
      <c r="E21" s="101"/>
      <c r="F21" s="101"/>
      <c r="G21" s="101"/>
      <c r="H21" s="101"/>
      <c r="I21" s="101"/>
      <c r="J21" s="101"/>
      <c r="K21" s="101"/>
      <c r="L21" s="101"/>
      <c r="M21" s="102"/>
    </row>
    <row r="22" spans="1:13">
      <c r="A22" s="113"/>
    </row>
    <row r="25" spans="1:13" ht="6" customHeight="1"/>
    <row r="27" spans="1:13">
      <c r="A27" s="114"/>
    </row>
    <row r="28" spans="1:13" ht="7.5" customHeight="1"/>
    <row r="252" spans="23:23">
      <c r="W252" s="103">
        <v>118</v>
      </c>
    </row>
    <row r="254" spans="23:23">
      <c r="W254" s="117">
        <v>-9.1999999999999998E-2</v>
      </c>
    </row>
  </sheetData>
  <dataConsolidate/>
  <customSheetViews>
    <customSheetView guid="{C6BBAF30-1E81-42FB-BA93-01B6813E2C8C}" showPageBreaks="1" printArea="1" showRuler="0">
      <pageMargins left="0.7" right="0.7" top="0.75" bottom="0.75" header="0.3" footer="0.3"/>
      <printOptions horizontalCentered="1"/>
      <pageSetup scale="83" orientation="landscape"/>
      <headerFooter alignWithMargins="0"/>
    </customSheetView>
    <customSheetView guid="{F07085DA-2B2D-4BE1-891D-F25D604A092E}" showPageBreaks="1" printArea="1" showRuler="0" topLeftCell="A22">
      <selection activeCell="A77" sqref="A77"/>
      <pageMargins left="0.7" right="0.7" top="0.75" bottom="0.75" header="0.3" footer="0.3"/>
      <pageSetup scale="85" orientation="landscape"/>
      <headerFooter alignWithMargins="0"/>
    </customSheetView>
    <customSheetView guid="{6A44E415-E6EC-4CA2-8B4C-A374F00F0261}" showPageBreaks="1" printArea="1" showRuler="0">
      <pageMargins left="0.7" right="0.7" top="0.75" bottom="0.75" header="0.3" footer="0.3"/>
      <pageSetup scale="85" orientation="landscape"/>
      <headerFooter alignWithMargins="0"/>
    </customSheetView>
    <customSheetView guid="{C32ED439-2914-4073-BFBF-7718D6CFE811}" showPageBreaks="1" showGridLines="0" printArea="1">
      <selection activeCell="I17" sqref="I17"/>
      <pageMargins left="0.7" right="0.7" top="0.75" bottom="0.75" header="0.3" footer="0.3"/>
      <pageSetup scale="80" orientation="landscape"/>
      <headerFooter scaleWithDoc="0" alignWithMargins="0"/>
    </customSheetView>
    <customSheetView guid="{44BC518B-F505-4956-BE42-792973965029}" showPageBreaks="1" showGridLines="0" printArea="1" showRuler="0" topLeftCell="A28">
      <selection activeCell="M263" sqref="M263"/>
      <pageMargins left="0.7" right="0.7" top="0.75" bottom="0.75" header="0.3" footer="0.3"/>
      <pageSetup scale="85" orientation="landscape"/>
      <headerFooter alignWithMargins="0"/>
    </customSheetView>
    <customSheetView guid="{7DC6D345-C4C0-4162-8636-D495A245EBF8}" showPageBreaks="1" showGridLines="0" printArea="1">
      <selection activeCell="A9" sqref="A9"/>
      <pageMargins left="0.7" right="0.7" top="0.75" bottom="0.75" header="0.3" footer="0.3"/>
      <pageSetup scale="85" orientation="landscape"/>
      <headerFooter scaleWithDoc="0" alignWithMargins="0"/>
    </customSheetView>
    <customSheetView guid="{67DDFA58-7FF7-4BDB-BFFF-31DB4021D095}" showGridLines="0">
      <selection activeCell="D27" sqref="D27"/>
      <pageMargins left="0.7" right="0.7" top="0.75" bottom="0.75" header="0.3" footer="0.3"/>
      <pageSetup scale="85" orientation="landscape"/>
      <headerFooter scaleWithDoc="0" alignWithMargins="0"/>
    </customSheetView>
  </customSheetViews>
  <mergeCells count="2">
    <mergeCell ref="C1:L1"/>
    <mergeCell ref="C3:L3"/>
  </mergeCells>
  <phoneticPr fontId="4" type="noConversion"/>
  <pageMargins left="0.19685039370078741" right="0.23622047244094491" top="0.47244094488188981" bottom="0.59055118110236227" header="0.51181102362204722" footer="0.23622047244094491"/>
  <pageSetup scale="75" orientation="landscape" r:id="rId1"/>
  <headerFooter scaleWithDoc="0" alignWithMargins="0">
    <oddHeader>&amp;CBezeq - The Israel Telecommunication Corp. Ltd</oddHeader>
    <oddFooter>&amp;R&amp;P of &amp;N
Glossary</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9</vt:i4>
      </vt:variant>
      <vt:variant>
        <vt:lpstr>טווחים בעלי שם</vt:lpstr>
      </vt:variant>
      <vt:variant>
        <vt:i4>16</vt:i4>
      </vt:variant>
    </vt:vector>
  </HeadingPairs>
  <TitlesOfParts>
    <vt:vector size="25" baseType="lpstr">
      <vt:lpstr>Index</vt:lpstr>
      <vt:lpstr>I - Financials</vt:lpstr>
      <vt:lpstr>II- Other income-exp</vt:lpstr>
      <vt:lpstr>III - KPIs</vt:lpstr>
      <vt:lpstr>IV - Debt Repayments</vt:lpstr>
      <vt:lpstr>IV-Debt Terms</vt:lpstr>
      <vt:lpstr>V-Fixed CF Forecast</vt:lpstr>
      <vt:lpstr>VI - Dividends</vt:lpstr>
      <vt:lpstr>VII - Glossary </vt:lpstr>
      <vt:lpstr>'III - KPIs'!_ftn1</vt:lpstr>
      <vt:lpstr>'III - KPIs'!_ftn2</vt:lpstr>
      <vt:lpstr>'III - KPIs'!_ftnref1</vt:lpstr>
      <vt:lpstr>'III - KPIs'!_ftnref2</vt:lpstr>
      <vt:lpstr>'I - Financials'!WPrint_Area_W</vt:lpstr>
      <vt:lpstr>'II- Other income-exp'!WPrint_Area_W</vt:lpstr>
      <vt:lpstr>'III - KPIs'!WPrint_Area_W</vt:lpstr>
      <vt:lpstr>Index!WPrint_Area_W</vt:lpstr>
      <vt:lpstr>'IV - Debt Repayments'!WPrint_Area_W</vt:lpstr>
      <vt:lpstr>'V-Fixed CF Forecast'!WPrint_Area_W</vt:lpstr>
      <vt:lpstr>'VI - Dividends'!WPrint_Area_W</vt:lpstr>
      <vt:lpstr>'VII - Glossary '!WPrint_Area_W</vt:lpstr>
      <vt:lpstr>'I - Financials'!WPrint_TitlesW</vt:lpstr>
      <vt:lpstr>'III - KPIs'!WPrint_TitlesW</vt:lpstr>
      <vt:lpstr>'IV - Debt Repayments'!WPrint_TitlesW</vt:lpstr>
      <vt:lpstr>'VI - Dividends'!WPrint_TitlesW</vt:lpstr>
    </vt:vector>
  </TitlesOfParts>
  <Company>בזק</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bezeq</dc:creator>
  <cp:lastModifiedBy>נפתלי שטרנליכט - חטיבת כספים - Naftali Shternlicht</cp:lastModifiedBy>
  <cp:lastPrinted>2020-05-20T13:48:57Z</cp:lastPrinted>
  <dcterms:created xsi:type="dcterms:W3CDTF">1999-09-09T08:56:33Z</dcterms:created>
  <dcterms:modified xsi:type="dcterms:W3CDTF">2020-05-21T11:32:05Z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